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MyProjects/antarctic_data_updater/data/wos/"/>
    </mc:Choice>
  </mc:AlternateContent>
  <xr:revisionPtr revIDLastSave="0" documentId="13_ncr:1_{A185506A-0ECC-B044-BE90-6FDC59C6AEA7}" xr6:coauthVersionLast="47" xr6:coauthVersionMax="47" xr10:uidLastSave="{00000000-0000-0000-0000-000000000000}"/>
  <bookViews>
    <workbookView xWindow="-4240" yWindow="-21100" windowWidth="38400" windowHeight="21100" xr2:uid="{00000000-000D-0000-FFFF-FFFF0000000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T5" i="1"/>
  <c r="BF6" i="1"/>
  <c r="BT6" i="1"/>
  <c r="BF7" i="1"/>
  <c r="BT7" i="1"/>
  <c r="BF8" i="1"/>
  <c r="BT8" i="1"/>
  <c r="BT9" i="1"/>
  <c r="BT10" i="1"/>
  <c r="BT11" i="1"/>
  <c r="BT12" i="1"/>
  <c r="BF13" i="1"/>
  <c r="BT13" i="1"/>
  <c r="BT14" i="1"/>
  <c r="BF15" i="1"/>
  <c r="BT15"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T31" i="1"/>
  <c r="BF32" i="1"/>
  <c r="BT32" i="1"/>
  <c r="BF33" i="1"/>
  <c r="BT33" i="1"/>
  <c r="BF34" i="1"/>
  <c r="BT34" i="1"/>
  <c r="BT35" i="1"/>
  <c r="BT36" i="1"/>
  <c r="BT37" i="1"/>
  <c r="BT38"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T63" i="1"/>
  <c r="BF64" i="1"/>
  <c r="BT64" i="1"/>
  <c r="BF65" i="1"/>
  <c r="BT65" i="1"/>
  <c r="BT66" i="1"/>
  <c r="BT67" i="1"/>
  <c r="BF68" i="1"/>
  <c r="BT68" i="1"/>
  <c r="BT69" i="1"/>
  <c r="BT70" i="1"/>
  <c r="BF71" i="1"/>
  <c r="BT71" i="1"/>
  <c r="BF72" i="1"/>
  <c r="BT72" i="1"/>
  <c r="BF73" i="1"/>
  <c r="BT73" i="1"/>
  <c r="BF74" i="1"/>
  <c r="BT74" i="1"/>
  <c r="BF75" i="1"/>
  <c r="BT75" i="1"/>
  <c r="BT76" i="1"/>
  <c r="BT77" i="1"/>
  <c r="BF78" i="1"/>
  <c r="BT78" i="1"/>
  <c r="BT79" i="1"/>
  <c r="BT80" i="1"/>
  <c r="BT81" i="1"/>
  <c r="BT82" i="1"/>
  <c r="BF83" i="1"/>
  <c r="BT83" i="1"/>
  <c r="BF84" i="1"/>
  <c r="BT84" i="1"/>
  <c r="BT85" i="1"/>
  <c r="BF86" i="1"/>
  <c r="BT86" i="1"/>
  <c r="BF87" i="1"/>
  <c r="BT87" i="1"/>
  <c r="BF88" i="1"/>
  <c r="BT88" i="1"/>
  <c r="BF89" i="1"/>
  <c r="BT89" i="1"/>
  <c r="BT90" i="1"/>
  <c r="BF91" i="1"/>
  <c r="BT91" i="1"/>
  <c r="BF92" i="1"/>
  <c r="BT92" i="1"/>
  <c r="BF93" i="1"/>
  <c r="BT93" i="1"/>
  <c r="BF94" i="1"/>
  <c r="BT94" i="1"/>
  <c r="BT95"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T121" i="1"/>
  <c r="BF122" i="1"/>
  <c r="BT122" i="1"/>
  <c r="BF123" i="1"/>
  <c r="BT123" i="1"/>
  <c r="BF124" i="1"/>
  <c r="BT124" i="1"/>
  <c r="BF125" i="1"/>
  <c r="BT125" i="1"/>
  <c r="BT126" i="1"/>
  <c r="BT127"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T150" i="1"/>
  <c r="BF151" i="1"/>
  <c r="BT151" i="1"/>
  <c r="BF152" i="1"/>
  <c r="BT152" i="1"/>
  <c r="BF153" i="1"/>
  <c r="BT153" i="1"/>
  <c r="BF154" i="1"/>
  <c r="BT154" i="1"/>
  <c r="BF155" i="1"/>
  <c r="BT155" i="1"/>
  <c r="BT156" i="1"/>
  <c r="BF157" i="1"/>
  <c r="BT157" i="1"/>
  <c r="BF158" i="1"/>
  <c r="BT158" i="1"/>
  <c r="BF159" i="1"/>
  <c r="BT159" i="1"/>
  <c r="BT160"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T180" i="1"/>
  <c r="BT181" i="1"/>
  <c r="BF182" i="1"/>
  <c r="BT182"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T253" i="1"/>
  <c r="BF254" i="1"/>
  <c r="BT254" i="1"/>
  <c r="BF255" i="1"/>
  <c r="BT255" i="1"/>
  <c r="BF256" i="1"/>
  <c r="BT256" i="1"/>
  <c r="BF257" i="1"/>
  <c r="BT257" i="1"/>
  <c r="BF258" i="1"/>
  <c r="BT258" i="1"/>
  <c r="BF259" i="1"/>
  <c r="BT259" i="1"/>
  <c r="BF260" i="1"/>
  <c r="BT260" i="1"/>
  <c r="BF261" i="1"/>
  <c r="BT261" i="1"/>
  <c r="BF262" i="1"/>
  <c r="BT262" i="1"/>
  <c r="BT263" i="1"/>
  <c r="BF264" i="1"/>
  <c r="BT264" i="1"/>
  <c r="BF265" i="1"/>
  <c r="BT265" i="1"/>
  <c r="BF266" i="1"/>
  <c r="BT266" i="1"/>
  <c r="BF267" i="1"/>
  <c r="BT267" i="1"/>
  <c r="BT268" i="1"/>
  <c r="BF269" i="1"/>
  <c r="BT269" i="1"/>
  <c r="BF270" i="1"/>
  <c r="BT270" i="1"/>
  <c r="BF271" i="1"/>
  <c r="BT271"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T315" i="1"/>
  <c r="BF316" i="1"/>
  <c r="BT316" i="1"/>
  <c r="BF317" i="1"/>
  <c r="BT317" i="1"/>
  <c r="BF318" i="1"/>
  <c r="BT318" i="1"/>
  <c r="BF319" i="1"/>
  <c r="BT319" i="1"/>
  <c r="BF320" i="1"/>
  <c r="BT320" i="1"/>
  <c r="BF321" i="1"/>
  <c r="BT321" i="1"/>
  <c r="BF322" i="1"/>
  <c r="BT322" i="1"/>
  <c r="BT323" i="1"/>
  <c r="BF324" i="1"/>
  <c r="BT324" i="1"/>
  <c r="BF325" i="1"/>
  <c r="BT325" i="1"/>
  <c r="BF326" i="1"/>
  <c r="BT326" i="1"/>
  <c r="BF327" i="1"/>
  <c r="BT327" i="1"/>
  <c r="BF328" i="1"/>
  <c r="BT328" i="1"/>
  <c r="BF329" i="1"/>
  <c r="BT329" i="1"/>
  <c r="BF330" i="1"/>
  <c r="BT330" i="1"/>
  <c r="BF331" i="1"/>
  <c r="BT331" i="1"/>
  <c r="BF332" i="1"/>
  <c r="BT332" i="1"/>
  <c r="BF333" i="1"/>
  <c r="BT333"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T419" i="1"/>
  <c r="BT420" i="1"/>
  <c r="BT421" i="1"/>
  <c r="BF422" i="1"/>
  <c r="BT422" i="1"/>
  <c r="BT423" i="1"/>
  <c r="BF424" i="1"/>
  <c r="BT424" i="1"/>
  <c r="BF425" i="1"/>
  <c r="BT425" i="1"/>
  <c r="BF426" i="1"/>
  <c r="BT426" i="1"/>
  <c r="BF427" i="1"/>
  <c r="BT427" i="1"/>
  <c r="BF428" i="1"/>
  <c r="BT428" i="1"/>
  <c r="BF429" i="1"/>
  <c r="BT429" i="1"/>
  <c r="BF430" i="1"/>
  <c r="BT430" i="1"/>
  <c r="BT431"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T546"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T560" i="1"/>
  <c r="BF561" i="1"/>
  <c r="BT561" i="1"/>
  <c r="BF562" i="1"/>
  <c r="BT562" i="1"/>
  <c r="BF563" i="1"/>
  <c r="BT563" i="1"/>
  <c r="BF564" i="1"/>
  <c r="BT564" i="1"/>
  <c r="BF565" i="1"/>
  <c r="BT565" i="1"/>
  <c r="BF566" i="1"/>
  <c r="BT566" i="1"/>
  <c r="BF567" i="1"/>
  <c r="BT567" i="1"/>
  <c r="BF568" i="1"/>
  <c r="BT568"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T595" i="1"/>
  <c r="BF596" i="1"/>
  <c r="BT596" i="1"/>
  <c r="BT597" i="1"/>
  <c r="BF598" i="1"/>
  <c r="BT598" i="1"/>
  <c r="BF599" i="1"/>
  <c r="BT599" i="1"/>
  <c r="BF600" i="1"/>
  <c r="BT600" i="1"/>
  <c r="BF601" i="1"/>
  <c r="BT601" i="1"/>
  <c r="BF602" i="1"/>
  <c r="BT602" i="1"/>
  <c r="BF603" i="1"/>
  <c r="BT603" i="1"/>
  <c r="BF604" i="1"/>
  <c r="BT604" i="1"/>
  <c r="BF605" i="1"/>
  <c r="BT605" i="1"/>
  <c r="BT606" i="1"/>
  <c r="BT607" i="1"/>
  <c r="BF608" i="1"/>
  <c r="BT608" i="1"/>
  <c r="BF609" i="1"/>
  <c r="BT609" i="1"/>
  <c r="BF610" i="1"/>
  <c r="BT610" i="1"/>
  <c r="BF611" i="1"/>
  <c r="BT611" i="1"/>
  <c r="BF612" i="1"/>
  <c r="BT612" i="1"/>
  <c r="BT613" i="1"/>
  <c r="BF614" i="1"/>
  <c r="BT614" i="1"/>
  <c r="BF615" i="1"/>
  <c r="BT615" i="1"/>
  <c r="BT616"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T644" i="1"/>
  <c r="BF645" i="1"/>
  <c r="BT645" i="1"/>
  <c r="BF646" i="1"/>
  <c r="BT646" i="1"/>
  <c r="BT647"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T666" i="1"/>
  <c r="BF667" i="1"/>
  <c r="BT667" i="1"/>
  <c r="BF668" i="1"/>
  <c r="BT668" i="1"/>
  <c r="BF669" i="1"/>
  <c r="BT669" i="1"/>
  <c r="BF670" i="1"/>
  <c r="BT670"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T736" i="1"/>
  <c r="BF737" i="1"/>
  <c r="BT737" i="1"/>
  <c r="BF738" i="1"/>
  <c r="BT738" i="1"/>
  <c r="BF739" i="1"/>
  <c r="BT739" i="1"/>
  <c r="BF740" i="1"/>
  <c r="BT740" i="1"/>
  <c r="BF741" i="1"/>
  <c r="BT741"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T836" i="1"/>
  <c r="BF837" i="1"/>
  <c r="BT837"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T862"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<sst xmlns="http://schemas.openxmlformats.org/spreadsheetml/2006/main" count="59656" uniqueCount="18609">
  <si>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</si>
  <si>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</si>
  <si>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</si>
  <si>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</si>
  <si>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</si>
  <si>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</si>
  <si>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</si>
  <si>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</si>
  <si>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</si>
  <si>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</si>
  <si>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</si>
  <si>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</si>
  <si>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</si>
  <si>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</si>
  <si>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</si>
  <si>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</si>
  <si>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</si>
  <si>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</si>
  <si>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</si>
  <si>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</si>
  <si>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</si>
  <si>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</si>
  <si>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</si>
  <si>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</si>
  <si>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</si>
  <si>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</si>
  <si>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</si>
  <si>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</si>
  <si>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</si>
  <si>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</si>
  <si>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</si>
  <si>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</si>
  <si>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</si>
  <si>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</si>
  <si>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</si>
  <si>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</si>
  <si>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</si>
  <si>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</si>
  <si>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</si>
  <si>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</si>
  <si>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</si>
  <si>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</si>
  <si>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</si>
  <si>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</si>
  <si>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</si>
  <si>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</si>
  <si>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</si>
  <si>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</si>
  <si>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</si>
  <si>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</si>
  <si>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</si>
  <si>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</si>
  <si>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</si>
  <si>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</si>
  <si>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</si>
  <si>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</si>
  <si>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</si>
  <si>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</si>
  <si>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</si>
  <si>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</si>
  <si>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</si>
  <si>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</si>
  <si>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</si>
  <si>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</si>
  <si>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</si>
  <si>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</si>
  <si>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</si>
  <si>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</si>
  <si>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</si>
  <si>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</si>
  <si>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</si>
  <si>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</si>
  <si>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</si>
  <si>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Popov, AV; Kubishkin, NV; Rubchenia, AV; Drabenko, DV</t>
  </si>
  <si>
    <t/>
  </si>
  <si>
    <t>Popov, A. V.; Kubishkin, N. V.; Rubchenia, A. V.; Drabenko, D. V.</t>
  </si>
  <si>
    <t>Dynamics of polynya in the River Ob Bay and predicting of its location</t>
  </si>
  <si>
    <t>LED I SNEG-ICE AND SNOW</t>
  </si>
  <si>
    <t>Russian</t>
  </si>
  <si>
    <t>Article</t>
  </si>
  <si>
    <t>Arctic Oscillation; Kara Sea; North Atlantic Oscillation; Ob Bay; polynya; Yamal; water coast</t>
  </si>
  <si>
    <t>Dynamics of the ice edge of (flaw lead) a large polynya in the River Ob Bay was investigated over the period 1997-2016 on the basis of satellite data. More than 800 satellite images were analyzed during the investigation. Relationship between the obtained time series of changing latitude of the ice edge and time series of air temperature, wind and indices of Wangenheim-Girs, the Arctic Oscillation (AO), and North Atlantic Oscillation (NAO) was studied by means of the correlation analysis. The statistical analysis made it possible to reveal that southern position of the ice edge in autumn indicated to warmer winter months. Boundaries of the polynya during every next decade were identically determined by its position during the preceding period, and therewith the pronounced trend of the ice edge shift to south was noticed in 1997-2012. In addition, periodic fluctuations with two different periods were found against the background of trend. During 19962006 the fluctuations were quasi-biennial while after 2006 the period of fluctuations increased up to 4-5 years. Effort to predict the ice edge position aimed at determination of the polynya boundaries in January-February of 2016 was undertaken; data on the air temperature and latitude of the ice edge position for preceding period were used as the predictors. The difference between the prediction and actual data was equal to 0.01 divided by-0.43 of latitude with the average value for six decades equal to 0.11 degrees. Analysis of inter-annual variability of the edge position indicated that the most close relationship took place with the Vangenheim-Girs index E in May (coefficient of correlation r = -0.73). Maximal values of r exceeding +/-0.7 were calculated for the Arctic Oscillation indices in February with a positive shift of one year. When investigating long-term large-scale changes of climatic parameters, analysis of anomalies of average latitude values of the polynya southern boundary had been performed. This allowed to reveal that period of 2005-2006 was a point of inflection. This substantiates the known thesis (conclusion) that a well developed polynya exerts the warming effect on adjacent territories.</t>
  </si>
  <si>
    <t>[Popov, A. V.; Kubishkin, N. V.; Drabenko, D. V.] Arctic &amp; Antarctic Res Inst, St Petersburg, Russia; [Rubchenia, A. V.] St Petersburg Univ, Inst Earth Sci, St Petersburg, Russia</t>
  </si>
  <si>
    <t>Arctic &amp; Antarctic Research Institute; Saint Petersburg State University</t>
  </si>
  <si>
    <t>Popov, AV (corresponding author), Arctic &amp; Antarctic Res Inst, St Petersburg, Russia.</t>
  </si>
  <si>
    <t>pp6077@mail.ru</t>
  </si>
  <si>
    <t>Драбенко, Дмитрий/JKJ-1304-2023; Rubchenia, Andrei V./F-9235-2013</t>
  </si>
  <si>
    <t>INST GEOGRAPHY, RUSSIAN ACAD SCIENCES</t>
  </si>
  <si>
    <t>MOSCOW</t>
  </si>
  <si>
    <t>PROFSOYUZNAYA UL 90, MOSCOW, 117864, RUSSIA</t>
  </si>
  <si>
    <t>2076-6734</t>
  </si>
  <si>
    <t>2412-3765</t>
  </si>
  <si>
    <t>LED SNEG</t>
  </si>
  <si>
    <t>Led Sneg</t>
  </si>
  <si>
    <t>10.15356/2076-6734-2016-3-387-398</t>
  </si>
  <si>
    <t>Geosciences, Multidisciplinary</t>
  </si>
  <si>
    <t>Emerging Sources Citation Index (ESCI)</t>
  </si>
  <si>
    <t>Geology</t>
  </si>
  <si>
    <t>FE5EZ</t>
  </si>
  <si>
    <t>gold</t>
  </si>
  <si>
    <t>2024-04-21</t>
  </si>
  <si>
    <t>WOS:000408236100008</t>
  </si>
  <si>
    <t>Popov, SV; Mezhonov, SV; Polyakov, SP; Mart'yanov, VL; Lukin, VV</t>
  </si>
  <si>
    <t>Popov, S. V.; Mezhonov, S. V.; Polyakov, S. P.; Mart'yanov, V. L.; Lukin, V. V.</t>
  </si>
  <si>
    <t>Glaciological and geophysical investigations aimed at organization of a new airfield at the Station Mirny (East Antarctica)</t>
  </si>
  <si>
    <t>airfield; crevasse detection; East Antarctica; GPR profiling; Station Mirny</t>
  </si>
  <si>
    <t>Main results of glaciological and geophysical engineering surveys, conducted during three summer field seasons of 20132016 (59-61st Russian Antarctic Expeditions - RAE) near the Russian Station Mirny (East Antarctica), are discussed in the paper. Objective of these works was to site and then to organize a new airfield for landing of medium-range aircrafts with ski landing gears. Investigations included aerial photography, GPR surveys (georadar profiling), ice core drilling, and installation of landmarks to measure velocity of the glacier motion. The GSSI ground-penetrating radars with the main frequencies of 270 MHz and 900 MHz were used. In addition, special explorations were conducted for detecting the englacial crevasses by means of remote-sensing methods. The GPR data allowed a revealing the boundary between snow-and-firn thickness and atmospheric ice. In the course of processing of 252 travel-time curves of the diffracted waves a kinematic model of the sub-surface part of the glacier has been constructed. It was found that the dielectric permittivity of the snow-firn thickness averages 2.43; similar value for the atmospheric ice amounts to 3.0. The GPR data made it possible to determine intraglacial (englacial) crevasses and to choose the most favorable field for the landing. On February 10, 2016, the first middle-range aircraft DC-3T (BT-67) had landed onto the new run-way near the station Mirny.</t>
  </si>
  <si>
    <t>[Popov, S. V.] Polar Marine Geosurvey Expedit, St Petersburg, Russia; [Mezhonov, S. V.; Polyakov, S. P.; Mart'yanov, V. L.; Lukin, V. V.] Arctic &amp; Antarctic Res Inst, St Petersburg, Russia</t>
  </si>
  <si>
    <t>Arctic &amp; Antarctic Research Institute</t>
  </si>
  <si>
    <t>Popov, SV (corresponding author), Polar Marine Geosurvey Expedit, St Petersburg, Russia.</t>
  </si>
  <si>
    <t>spopov67@yandex.ru</t>
  </si>
  <si>
    <t>Popov, Sergey V./I-2319-2013; Polyakov, Stanislav P./W-4949-2018; Popov, Sergey/IYJ-2371-2023</t>
  </si>
  <si>
    <t>Popov, Sergey V./0000-0002-1830-8658; Popov, Sergey/0000-0002-1830-8658</t>
  </si>
  <si>
    <t>10.15356/2076-6734-2016-3-413-426</t>
  </si>
  <si>
    <t>WOS:000408236100010</t>
  </si>
  <si>
    <t>Kotlyakov, VM; Krenev, VA</t>
  </si>
  <si>
    <t>Kotlyakov, V. M.; Krenev, V. A.</t>
  </si>
  <si>
    <t>Who discovered the Lake Vostok?</t>
  </si>
  <si>
    <t>Central Antarctica; subglacial lake; Vostok station</t>
  </si>
  <si>
    <t>ICE</t>
  </si>
  <si>
    <t>A history of the subglacial lake Vostok that had been revealed near this Soviet Antarctic Station is briefly described in the paper. Three participants of the Soviet Antarctic Expeditions played a significant part in the history of the Lake discovery, and they were a navigator of polar aviation R.V. Robinson, a physicist I. A. Zotikov, and a geographer A. P. Kapitsa. R. V. Robinson was the first man who had indicated to evidence of a subglacial lake in contours of the glacier surface; I. A. Zotikov had substantiated a hypothesis of a subglacial melting in central regions of the Antarctic continent and possible presence of water bodies in depressions of the glacier bed; A. P. Kapitsa had obtained by means of seismic sounding the original reflections which were later interpreted as reflections from subglacial water layer. And lastly, in some time later, the Britain glaciologist G. Robin had performed the thorough radio sounding in the vicinity of the Vostok station and finally proved existence of a large subglacial water body in this region. Further on, the lake was investigated by many participants of the Russian Antarctic Expeditions, as well as by scientists from the Britain Scott Institute and members of the American Antarctic Expeditions. Now this is the largest and the mostly studied subglacial lake in the Antarctica among almost 400 similar lakes revealed under the ice sheet.</t>
  </si>
  <si>
    <t>[Kotlyakov, V. M.; Krenev, V. A.] Russian Acad Sci, Inst Geog, Moscow, Russia</t>
  </si>
  <si>
    <t>Institute of Geography, Russian Academy of Sciences; Russian Academy of Sciences</t>
  </si>
  <si>
    <t>Kotlyakov, VM (corresponding author), Russian Acad Sci, Inst Geog, Moscow, Russia.</t>
  </si>
  <si>
    <t>vladkot6@gmail.com</t>
  </si>
  <si>
    <t>10.15356/2076-6734-2016-3-427-432</t>
  </si>
  <si>
    <t>WOS:000408236100011</t>
  </si>
  <si>
    <t>Vasilev, NI; Dmitriev, AN; Lipenkov, VY</t>
  </si>
  <si>
    <t>Vasilev, N. I.; Dmitriev, A. N.; Lipenkov, V. Ya.</t>
  </si>
  <si>
    <t>RESULTS OF THE 5G BOREHOLE DRILLING AT RUSSIAN ANTARCTIC STATION VOSTOK AND RESEARCHES OF ICE CORES</t>
  </si>
  <si>
    <t>JOURNAL OF MINING INSTITUTE</t>
  </si>
  <si>
    <t>Antarctica; drilling; additional hole; ice layer; ice; lake; borehole; core</t>
  </si>
  <si>
    <t>EAST ANTARCTICA; HISTORY; LAKE</t>
  </si>
  <si>
    <t>We produce an information about results and features of the 5G borehole drilling in Antarctic layer at Russian station Vostok. Main regularities of the change structured and physical properties by Antarctic ice layer depth, which determine mechanical and reological properties if ice, which influence to sinking of a borehole and to the maintaining of it in a working condition, the safe and competitive technologies creation for drilling of strong ice layers and the environmentally safe technology of the subglacial reservoirs unsealing. We also produce results of the ice cores researching and the paleoclimatic raws construction, which are reconstructed by the ice cores researching fiom Vostok station, which is compared with isotopic graph. This graph describes changes of World ocean level.</t>
  </si>
  <si>
    <t>[Dmitriev, A. N.] St Petersburg Min Univ, Engn Sci, St Petersburg, Russia; [Lipenkov, V. Ya.] Arctic &amp; Antarct Res Inst, Geog, St Petersburg, Russia</t>
  </si>
  <si>
    <t>Saint Petersburg Mining University</t>
  </si>
  <si>
    <t>Dmitriev, AN (corresponding author), St Petersburg Min Univ, Engn Sci, St Petersburg, Russia.</t>
  </si>
  <si>
    <t>vasilev_n@mail.ru; 1234567890nika@vail.ru; lipenkov@aari.ru</t>
  </si>
  <si>
    <t>SAINT-PETERSBURG MINING UNIV</t>
  </si>
  <si>
    <t>SANKT-PETERSBURG</t>
  </si>
  <si>
    <t>SAINT-PETERSBURG MINING UNIV, SANKT-PETERSBURG, 00000, RUSSIA</t>
  </si>
  <si>
    <t>2411-3336</t>
  </si>
  <si>
    <t>2541-9404</t>
  </si>
  <si>
    <t>J MIN INST</t>
  </si>
  <si>
    <t>J. Min. Inst.</t>
  </si>
  <si>
    <t>Mining &amp; Mineral Processing</t>
  </si>
  <si>
    <t>FD1SY</t>
  </si>
  <si>
    <t>WOS:000407318200001</t>
  </si>
  <si>
    <t>Borodkin, VA; Makshtas, AP; Bogorodsky, PV</t>
  </si>
  <si>
    <t>Borodkin, V. A.; Makshtas, A. P.; Bogorodsky, P. V.</t>
  </si>
  <si>
    <t>Coastal fast ice in the Shokalski Strait</t>
  </si>
  <si>
    <t>fast ice; ice polygon; model; snow cover; structure</t>
  </si>
  <si>
    <t>ANTARCTIC SEA-ICE; WEDDELL</t>
  </si>
  <si>
    <t>Field investigations of coastal fast ice near the research station Ice Base on the Cape Baranova, carried out in 2013-2014, made possible to reveal a number of characteristics of the sea ice cover formation. It has been shown that during winter and early spring the sea ice thickness, being formed due to intensive snow drift and caused by that flooding of the ice cover just near the coast of the Bolshevik Island, substantially grows at its upper boundary, that is typical for the Antarctic seas. At the same time, similar process of the ice growth at a relatively short distance from the coast shows all features characteristic for the ice cover in the Arctic seas, and that is well reproduced by the conceptual numerical sea ice model. Thus, the region of the Ice Base Cape Baranova represents a natural laboratory for studying the processes of the sea ice formation in both, the Arctic and Antarctic seas under condition of the same atmospheric forcing. Transformation of the fast ice structure during the summer time is described. Results of the investigations has demonstrated that despite the radical changes in the structure thicknesses of the fast ice remained almost unchanged due to the ice growth on the bottom boundary of the ice cover until a destruction of it in August.</t>
  </si>
  <si>
    <t>[Borodkin, V. A.; Makshtas, A. P.; Bogorodsky, P. V.] Arctic &amp; Antarctic Res Inst, St Petersburg, Russia</t>
  </si>
  <si>
    <t>Makshtas, AP (corresponding author), Arctic &amp; Antarctic Res Inst, St Petersburg, Russia.</t>
  </si>
  <si>
    <t>maksh@aari.ru</t>
  </si>
  <si>
    <t>Roshydromet CNTP project [1.5.3.4]; RFBR [14-05-00408-a]</t>
  </si>
  <si>
    <t>Roshydromet CNTP project; RFBR(Russian Foundation for Basic Research (RFBR))</t>
  </si>
  <si>
    <t>The authors are appreciated to D.G. Tuzlukov for the data about characteristics of fast ice in winter, and two anonymous reviewers for comments, significantly improved the article. The work had been done in frame of Roshydromet CNTP project 1.5.3.4 and under support of RFBR (project No 14-05-00408-a).</t>
  </si>
  <si>
    <t>10.15356/2076-6734-2016-4-525-532</t>
  </si>
  <si>
    <t>FE5FB</t>
  </si>
  <si>
    <t>WOS:000408236300008</t>
  </si>
  <si>
    <t>Vakulenko, NV; Kotlyakov, VM; Parrenin, F; Sonechkin, DM</t>
  </si>
  <si>
    <t>Vakulenko, N. V.; Kotlyakov, V. M.; Parrenin, F.; Sonechkin, D. M.</t>
  </si>
  <si>
    <t>A study of different-scale relationship between changes of the surface air temperature and the CO2 concentration in the atmosphere</t>
  </si>
  <si>
    <t>atmospheric CO2 concentration; crosswavelet analysis; global air temperature; the transition from the last glacial maximum to the Holocene</t>
  </si>
  <si>
    <t>VOSTOK ICE CORE; CARBON-DIOXIDE; ANTARCTIC TEMPERATURE; PHASE RELATION; CLIMATE</t>
  </si>
  <si>
    <t>A concept of the anthropogenic origin of the current global climate warming assumes that growth of concentration of the atmospheric carbon dioxide and other greenhouse gases is of great concern in this process. However, all earlier performed analyses of the Antarctic ice cores, covering the time interval of several glacial cycles for about 1 000 000 years, have demonstrated that the carbon dioxide concentration changes had a certain lag relative to the air temperature changes by several hundred years during every beginning of the glacial terminations as well as at endings of interglacials. In contrast to these findings, a recently published careful analysis of Antarctic ice cores (Parrenin et al., 2013) had shown that both, the carbon dioxide concentration and global temperature, varied almost synchronously during the transition from the last glacial maximum to the Holocene. To resolve this dilemma, a special technique for analysis of the paleoclimatic time series, based on the wavelets, had been developed and applied to the same carbon dioxide concentration and temperature time series which were used in the above paper of Parrenin et al., 2013. Specifically, a stack of the Antarctic delta O-18 time series (designated as ATS) and the deuterium Dome C - EPICA ones (dD) were compared to one another in order to: firstly, to quantitatively estimate differences between time scales of these series; and, secondly, to clear up the lead-lag relationships between different scales variations within these time series. It was found that accuracy of the mutual ATS and dD time series dating lay within the range of 80-160 years. Perhaps, the mutual dating of the temperature and carbon dioxide concentration series was even worse due to the assumed displacement of air bubbles within the ice. It made us to limit our analysis by the time scales of approximately from 800 to 6000 years. But it should be taken into account that any air bubble movement changes the time scale of the carbon dioxide series as a whole. Therefore, if a difference between variations in any temperature and the carbon dioxide time series is found to be longer than 80-160 years, and if these variations are timescale-dependent, it means that the bubble displacements are not essential, and so these advancing and delays are characteristic of the time series being compared. Our wavelet-based comparative and different-scale analysis confirms that the relationships between the carbon dioxide concentration and temperature variations were essentially timescale-dependent during the transition from the last glacial maximum to the Holocene. The carbon dioxide concentration variations were ahead of the temperature ones during transition from the glacial maximum to the Boelling - Alleroud warming as well as from the Young Drias cooling to the Holocene optimum. However, the temperature variations were ahead during the transition from the Boelling - Alleroud warming to the Young Drias cooling and during the transition from the Holocene optimum to the present-day climate.</t>
  </si>
  <si>
    <t>[Vakulenko, N. V.; Sonechkin, D. M.] Russian Acad Sci, Shirshov Oceanol Inst, Moscow, Russia; [Kotlyakov, V. M.] Russian Acad Sci, Inst Geog, Moscow, Russia; [Parrenin, F.] LGGE Grenoble, LGGE &amp; Grenoble Alpes, CNRS, Grenoble, France</t>
  </si>
  <si>
    <t>Russian Academy of Sciences; Shirshov Institute of Oceanology; Institute of Geography, Russian Academy of Sciences; Russian Academy of Sciences; Centre National de la Recherche Scientifique (CNRS)</t>
  </si>
  <si>
    <t>Sonechkin, DM (corresponding author), Russian Acad Sci, Shirshov Oceanol Inst, Moscow, Russia.</t>
  </si>
  <si>
    <t>dsonech@yandex.ru</t>
  </si>
  <si>
    <t>Parrenin, Frédéric/H-3054-2014</t>
  </si>
  <si>
    <t>Parrenin, Frédéric/0000-0002-9489-3991</t>
  </si>
  <si>
    <t>Russian Foundation for Basic Researches [15-05-00510]</t>
  </si>
  <si>
    <t>Russian Foundation for Basic Researches(Russian Foundation for Basic Research (RFBR))</t>
  </si>
  <si>
    <t>This was performed owing to financial support of the Russian Foundation for Basic Researches (grant No 15-05-00510). It had been presented at the Russian-French workshop (seminar) Glacial archives of data on the climate and environment (Sankt-Petersburg, 6-9 of May, 2015). Authors thank Dr. D. Raynaud (Grenoble, France) for his kind attention given to this work.</t>
  </si>
  <si>
    <t>10.15356/2076-6734-2016-4-533-544</t>
  </si>
  <si>
    <t>WOS:000408236300009</t>
  </si>
  <si>
    <t>Kotlyakov, VM; Macheret, YY</t>
  </si>
  <si>
    <t>Kotlyakov, V. M.; Macheret, Yu. Ya.</t>
  </si>
  <si>
    <t>Fifty years of geophysical researches of glaciers in Institute of Geography, the Russian Academy of Sciences, 1966-2016</t>
  </si>
  <si>
    <t>gravimetry; mountain glaciers; polar glaciers; radio-echo sounding</t>
  </si>
  <si>
    <t>In 1967-2015, Institute of Geography of the USSR/Russian Academy of Sciences together with other organizations carried out field expeditions in different areas of mountain and polar glaciations in many regions: the Polar Urals, Caucasus, Pamir, Zailiysky and Jungar Alatau, Tien-Shan, Pamir-Alai, the Kamchatka Peninsula, the Pyrenees, the Arctic - Spitsbergen, Novaya Zemlya, Franz Josef and Severnaya Zemlya, and Antarctica on the ice flow B, and in the sub-Antarctic - Islands King George, Galindez, and Livingston. The gravimetric and ground and aerial radar observations were made in these expeditions. About 300 glaciers of different morphological types and sizes with cold, subpolar and temperate thermal regime were studied. Basic results of these studies are the following: (1) the new data on the ice thicknesses, ice volumes, sub-glacial relief, internal structure, and thermal state of the glaciers were obtained; (2) the two-layered (polythermal) glaciers consisting of the upper layer of cold ice and the lower layer of temperate water-filled ice had been revealed in Svalbard for the first time; spatial distribution of cold, polythermal and temperate glaciers had been determined; (3) the evidences were obtained that measured changes in thickness of the upper cold ice layer in polythermal glaciers can be used to estimate the long-period variations of regional climates and serve as regional paleothermometers; (4) methods for estimating the water content in temperate and polythermal glaciers from the RES data were developed; and its space-time variations in temperate ices of the Svaldbald glaciers were estimated since even small water content inside of them can noticeably change their dynamic behavior; (5) methods for estimating the ice volume within glaciers in large regions of mountain and polar glaciations had been created; the ice storages were estimated in Svalbard, Franz Josef Land, Dzhungrsky Alatau, the Great Caucasus, and Mt. Elbrus; (6) detailed data on the ice thicknesses and the subglacial relief had been obtained for 40 glaciers in framework of different national and international programs and projects; the data can be used to solve a wide range of practical and theoretical problems, including numerical modeling. These studies demonstrated the following: (1) the use of monopulse radars VIRL-6 and VIRL-7 of decameter range (the central frequency is 20 MHz) with digital recording of the radar and GPS data is quite efficient for ground-based and airborne (from helicopters) radio-echo sounding of mountain and polar glaciers with their ice thicknesses up to 500-600 m; (2) it was found that thicknesses of glaciers in the Caucasus and Tien Shan can reach 330-430 m, while in regions of mountain, ice-sheet and transitional glaciation on the Spitsbergen Archipelago -300, 560 and 600 m, respectively, on the ice caps of the Franz-Josef Land and Severnaya Zemlya -450 and 813 m, and on King George and Livingston Islands (Sub-Antarctica) -330 and 500 m; (3) large parts of ice caps and outlet glaciers in Svalbard, Franz Josef Land, Severnaya Zemlya which beds were located below the sea level were found. Precisely these parts can be undergone quick shortening due to climate warming, and, thus, cause formation of icebergs making threats for ships and gas-oil marine platforms in the Barents and Kara seas; (4) data of the measurements made possible to calculate volumes of a number of investigated glaciers and ice caps and to estimate the ice storages in large areas of mountain and polar glaciations (the Jungar Alatau, Great Caucasus, Spitsbergen, Franz Josef Land); (5) decreasing of glacier volumes on the Franz Josef Land and some Spitsbergen glaciers for the last decades had been estimated. Analysis of the data obtained had shown that considerable part of polythermal glaciers in Spitsbergen belong to type of surging glaciers; they have the winter englacial runoff and form the near-glacier icings. It allows considering such glaciers as dynamically unstable, predisposed to surges as well as possible sources of winter water supply and additional sources of paleoinformation about long-period variations of regional climate.</t>
  </si>
  <si>
    <t>[Kotlyakov, V. M.; Macheret, Yu. Ya.] Russian Acad Sci, Inst Geog, Moscow, Russia</t>
  </si>
  <si>
    <t>Macheret, YY (corresponding author), Russian Acad Sci, Inst Geog, Moscow, Russia.</t>
  </si>
  <si>
    <t>macheret2011@yandex.ru</t>
  </si>
  <si>
    <t>Yury, Macheret/AAG-7696-2021</t>
  </si>
  <si>
    <t>Russian Foundation for Basic Researches [14-05-00022a]</t>
  </si>
  <si>
    <t>This work was supported by Russian Foundation for Basic Researches (grant 14-05-00022a. Authors thank all collaborators who participated in field researches of the glaciers, in processing and interpretation of the data obtained.</t>
  </si>
  <si>
    <t>10.15356/2076-6734-2016-4-561-574</t>
  </si>
  <si>
    <t>WOS:000408236300012</t>
  </si>
  <si>
    <t>S</t>
  </si>
  <si>
    <t>Mendo, J; Wolff, M; Mendo, T; Ysla, L</t>
  </si>
  <si>
    <t>Shumway, SE; Parsons, GJ</t>
  </si>
  <si>
    <t>Mendo, Jaime; Wolff, Matthias; Mendo, Tania; Ysla, Luis</t>
  </si>
  <si>
    <t>Scallop Fishery and Culture in Peru</t>
  </si>
  <si>
    <t>SCALLOPS: BIOLOGY, ECOLOGY, AQUACULTURE, AND FISHERIES, 3RD EDITION</t>
  </si>
  <si>
    <t>Developments in Aquaculture and Fisheries Science</t>
  </si>
  <si>
    <t>English</t>
  </si>
  <si>
    <t>Article; Book Chapter</t>
  </si>
  <si>
    <t>ARGOPECTEN-PURPURATUS; EL-NINO; VARIABILITY; GROWTH</t>
  </si>
  <si>
    <t>[Mendo, Jaime; Ysla, Luis] Univ Nacl Agr Molina, Dept Manejo Pesquero &amp; Medio Ambiente, Fac Pesqueria, Lima, Peru; [Wolff, Matthias] Leibniz Ctr Trop Marine Ecol, Theoret Ecol &amp; Modelling, Bremen, Germany; [Mendo, Tania] Univ Tasmania, Inst Marine &amp; Antarctic Studies, Taroona, Tas, Australia</t>
  </si>
  <si>
    <t>University Nacional Agraria La Molina; Leibniz Zentrum fur Marine Tropenforschung (ZMT); University of Tasmania</t>
  </si>
  <si>
    <t>Mendo, J (corresponding author), Univ Nacl Agr Molina, Dept Manejo Pesquero &amp; Medio Ambiente, Fac Pesqueria, Lima, Peru.</t>
  </si>
  <si>
    <t>Wolff, Matthias/E-7782-2011</t>
  </si>
  <si>
    <t>Mendo, Tania/0000-0003-4397-2064</t>
  </si>
  <si>
    <t>ELSEVIER SCIENCE BV</t>
  </si>
  <si>
    <t>AMSTERDAM</t>
  </si>
  <si>
    <t>SARA BURGERHARTSTRAAT 25, PO BOX 211, 1000 AE AMSTERDAM, NETHERLANDS</t>
  </si>
  <si>
    <t>0167-9309</t>
  </si>
  <si>
    <t>978-0-444-62719-3; 978-0-444-62710-0</t>
  </si>
  <si>
    <t>DEV AQUAC FISH SCI</t>
  </si>
  <si>
    <t>Dev. Aquac. Fish. Sci.</t>
  </si>
  <si>
    <t>Fisheries; Marine &amp; Freshwater Biology</t>
  </si>
  <si>
    <t>Book Citation Index – Science (BKCI-S)</t>
  </si>
  <si>
    <t>BH8PG</t>
  </si>
  <si>
    <t>WOS:000403548800031</t>
  </si>
  <si>
    <t>B</t>
  </si>
  <si>
    <t>Haward, M</t>
  </si>
  <si>
    <t>Bankes, N; Dahl, I; VanderZwaag, DL</t>
  </si>
  <si>
    <t>Haward, Marcus</t>
  </si>
  <si>
    <t>Australian aquaculture</t>
  </si>
  <si>
    <t>AQUACULTURE LAW AND POLICY: GLOBAL, REGIONAL AND NATIONAL PERSPECTIVES</t>
  </si>
  <si>
    <t>New Horizons in Environmental and Energy Law</t>
  </si>
  <si>
    <t>TASMANIA; LESSONS; SALMON</t>
  </si>
  <si>
    <t>[Haward, Marcus] Univ Tasmania, Inst Marine &amp; Antarctic Studies, Ocean &amp; Antarctic Governance, Hobart, Tas, Australia; [Haward, Marcus] Univ Tasmania, Ctr Marine Socioecol, Hobart, Tas, Australia</t>
  </si>
  <si>
    <t>University of Tasmania; University of Tasmania</t>
  </si>
  <si>
    <t>Haward, M (corresponding author), Univ Tasmania, Inst Marine &amp; Antarctic Studies, Ocean &amp; Antarctic Governance, Hobart, Tas, Australia.;Haward, M (corresponding author), Univ Tasmania, Ctr Marine Socioecol, Hobart, Tas, Australia.</t>
  </si>
  <si>
    <t>Haward, Marcus/G-3369-2014</t>
  </si>
  <si>
    <t>EDWARD ELGAR PUBLISHING LTD</t>
  </si>
  <si>
    <t>CHELTENHAM</t>
  </si>
  <si>
    <t>THE LYPIATTS, 15 LANSDOWN RD, CHELTENHAM GL50 2JA, GLOS, ENGLAND</t>
  </si>
  <si>
    <t>978-1-78471-811-4; 978-1-78471-810-7</t>
  </si>
  <si>
    <t>NEW HOR ENV ENERG</t>
  </si>
  <si>
    <t>10.4337/9781784718114</t>
  </si>
  <si>
    <t>Environmental Studies; Law</t>
  </si>
  <si>
    <t>Book Citation Index – Social Sciences &amp; Humanities (BKCI-SSH)</t>
  </si>
  <si>
    <t>Environmental Sciences &amp; Ecology; Government &amp; Law</t>
  </si>
  <si>
    <t>BH4DP</t>
  </si>
  <si>
    <t>Green Published</t>
  </si>
  <si>
    <t>WOS:000400255400007</t>
  </si>
  <si>
    <t>Gong, YY; Huang, YQ; Gao, LJ; Lu, JX; Huang, HL; Xia, YT</t>
  </si>
  <si>
    <t>Gong, Yang-yang; Huang, Yan-qing; Gao, Lu-jiao; Lu, Jian-xue; Huang, Hong-liang; Xia, Yong-tao</t>
  </si>
  <si>
    <t>Substitution of Krill meal for Fish Meal in Feed for Russian Sturgeon, Acipenser gueldenstaedtii</t>
  </si>
  <si>
    <t>ISRAELI JOURNAL OF AQUACULTURE-BAMIDGEH</t>
  </si>
  <si>
    <t>Russian sturgeon; fish meal; krill meal; growth; fluoride</t>
  </si>
  <si>
    <t>TROUT ONCORHYNCHUS-MYKISS; EUPHAUSIA-SUPERBA MEAL; SALMON SALMO-SALAR; COD GADUS-MORHUA; ATLANTIC SALMON; FLUORIDE RETENTION; TOTAL REPLACEMENT; ANTARCTIC KRILL; FRESH-WATER; DIETS</t>
  </si>
  <si>
    <t>Krill meal (KM) is a potential feed ingredient to partially replace fish meal (FM) in aquaculture. To better understand the efficacy of krill meal, a 200-day feeding trial was conducted with Russian sturgeon (Acipenser gueldenstaedtii). Four extruded diets in which KM replaced 0%, 10%, 20%, or 30% of FM in the formulation were fed to sturgeons (weight 481 g) for 200 days. Growth of Russian sturgeon fed diets containing KM was as good, or even better, than fish fed a FM control diet. No differences were observed in terms of dorsal muscle composition between the fish fed diets which contained KM and those fed the FM control diet. Fluoride concentrations in the dorsal muscle, liver, and kidney, as well as swim bladder in all dietary groups were below a detectable limit. In the gills, skin, vertebral bone and dorsal scutes, the fluoride content from the KM groups progressively increased with dietary fluoride concentration. In conclusion, KM can be a partial substitute for FM in the diets of Russian sturgeon without affecting normal growth performance.</t>
  </si>
  <si>
    <t>[Gong, Yang-yang; Huang, Yan-qing; Gao, Lu-jiao; Lu, Jian-xue; Huang, Hong-liang] Chinese Acad Fishery Sci, East China Sea Fisheries Res Inst, Minist Agr, Key Lab East China Sea &amp; Ocean Fishery Resources, Shanghai 200090, Peoples R China; [Xia, Yong-tao] Kaluga Queen Sturgeon Farming Co Ltd, Hangzhou 311700, Zhejiang, Peoples R China</t>
  </si>
  <si>
    <t>Ministry of Agriculture &amp; Rural Affairs; Chinese Academy of Fishery Sciences; East China Sea Fisheries Research Institute, CAFS</t>
  </si>
  <si>
    <t>Lu, JX (corresponding author), Chinese Acad Fishery Sci, East China Sea Fisheries Res Inst, Minist Agr, Key Lab East China Sea &amp; Ocean Fishery Resources, Shanghai 200090, Peoples R China.</t>
  </si>
  <si>
    <t>lujx@ecsf.ac.cn</t>
  </si>
  <si>
    <t>Huang, YQ/JOK-7580-2023; huang, yan/GWM-4747-2022</t>
  </si>
  <si>
    <t>Ministry of Industry and Information Technology of the People's Republic of China [ZD-2014-345]; Project on the Exploration of Fishery Resources in the Antarctic Ocean - Ministry of Agriculture; grant, Transformation and Application of Sturgeon Breeding and Farming Technology, from Ministry of Finance</t>
  </si>
  <si>
    <t>Ministry of Industry and Information Technology of the People's Republic of China; Project on the Exploration of Fishery Resources in the Antarctic Ocean - Ministry of Agriculture; grant, Transformation and Application of Sturgeon Breeding and Farming Technology, from Ministry of Finance</t>
  </si>
  <si>
    <t>Financial support for this research was provided by a grant, Transformation and Application of Sturgeon Breeding and Farming Technology, from the Ministry of Finance and Ministry of Industry and Information Technology of the People's Republic of China (grant No.ZD-2014-345), the Project on the Exploration of Fishery Resources in the Antarctic Ocean supported by the Ministry of Agriculture (2010-2016). The authors also wish to thank the technical staff at Kaluga Queen's sturgeon farm in Hangzhou for taking care of the fish.</t>
  </si>
  <si>
    <t>ASHRAT</t>
  </si>
  <si>
    <t>KIBBUTZ EIN HAMIFRATZ, D N, ASHRAT, 25210, ISRAEL</t>
  </si>
  <si>
    <t>0792-156X</t>
  </si>
  <si>
    <t>ISR J AQUACULT-BAMID</t>
  </si>
  <si>
    <t>Isr. J. Aquac.-Bamidgeh</t>
  </si>
  <si>
    <t>Fisheries</t>
  </si>
  <si>
    <t>Science Citation Index Expanded (SCI-EXPANDED)</t>
  </si>
  <si>
    <t>EA0VL</t>
  </si>
  <si>
    <t>WOS:000386305900001</t>
  </si>
  <si>
    <t>C</t>
  </si>
  <si>
    <t>Igarashi, K; Umeno, K; Okada, M; Kikuchi, M</t>
  </si>
  <si>
    <t>IEEE</t>
  </si>
  <si>
    <t>Igarashi, Kiyoshi; Umeno, Ken; Okada, Masaki; Kikuchi, Masayuki</t>
  </si>
  <si>
    <t>Study on Emergency Message Communication System for Ensuring Safety in Antarctica under Extremely Severe Environments</t>
  </si>
  <si>
    <t>2016 INTERNATIONAL CONFERENCE ON SMART GREEN TECHNOLOGY IN ELECTRICAL AND INFORMATION SYSTEMS (ICSGTEIS)</t>
  </si>
  <si>
    <t>Proceedings Paper</t>
  </si>
  <si>
    <t>International Conference on Smart Green Technology in Electrical and Information Systems (ICSGTEIS)</t>
  </si>
  <si>
    <t>OCT 06-08, 2016</t>
  </si>
  <si>
    <t>Bali, INDONESIA</t>
  </si>
  <si>
    <t>safety; satellite communication; emergency message communication system; Cospas-Sarsat system; search and rescue system; Iridium satellite system; IoT</t>
  </si>
  <si>
    <t>FIELD</t>
  </si>
  <si>
    <t>This paper presents a preliminary use case study with the bidirectional emergency message communication device via Iridium satellite in order to ensure Antarctic Research Expedition member's safety in Antarctica under extremely severe environments. It is proposed to carry out the emergency message communication experiments in Antarctica with using the message communication device designed for the emergency cases such as distress and emergency. The role of this device is discussed as one of communication devices and networks used in the field expedition by Japanese Antarctic Research Expedition.</t>
  </si>
  <si>
    <t>[Igarashi, Kiyoshi; Umeno, Ken] Kyoto Univ, Grad Sch Informat, Appl Math &amp; Phys Dept, Kyoto 6068501, Japan; [Okada, Masaki; Kikuchi, Masayuki] Res Org Informat &amp; Syst, Natl Inst Polar Res, Tachikawa, Tokyo 1908518, Japan</t>
  </si>
  <si>
    <t>Kyoto University; Research Organization of Information &amp; Systems (ROIS); National Institute of Polar Research (NIPR) - Japan</t>
  </si>
  <si>
    <t>Igarashi, K (corresponding author), Kyoto Univ, Grad Sch Informat, Appl Math &amp; Phys Dept, Kyoto 6068501, Japan.</t>
  </si>
  <si>
    <t>igarashi.kiyoshi.7e@kyoto-u.ac.jp; umeno.ken.8z@kyoto-u.ac.jp; okada.masaki@nipr.ac.jp; kikuchi@nipr.ac.jp</t>
  </si>
  <si>
    <t>Umeno, Ken/X-7405-2019</t>
  </si>
  <si>
    <t>Umeno, Ken/0000-0002-9162-1261</t>
  </si>
  <si>
    <t>National Institute of Polar Research (NIPR) [28-51]</t>
  </si>
  <si>
    <t>National Institute of Polar Research (NIPR)(National Institute of Polar Research (NIPR) - Japan)</t>
  </si>
  <si>
    <t>This study is supported by National Institute of Polar Research (NIPR) through General Collaboration Project no. 28-51.</t>
  </si>
  <si>
    <t>NEW YORK</t>
  </si>
  <si>
    <t>345 E 47TH ST, NEW YORK, NY 10017 USA</t>
  </si>
  <si>
    <t>978-1-5090-2690-6</t>
  </si>
  <si>
    <t>Computer Science, Information Systems; Green &amp; Sustainable Science &amp; Technology; Engineering, Electrical &amp; Electronic</t>
  </si>
  <si>
    <t>Conference Proceedings Citation Index - Science (CPCI-S)</t>
  </si>
  <si>
    <t>Computer Science; Science &amp; Technology - Other Topics; Engineering</t>
  </si>
  <si>
    <t>BI1JP</t>
  </si>
  <si>
    <t>WOS:000406122100020</t>
  </si>
  <si>
    <t>Dawson, P; Levy, R</t>
  </si>
  <si>
    <t>Dawson, Peter; Levy, Richard</t>
  </si>
  <si>
    <t>From Science to Survival: Using Virtual Exhibits to Communicate the Significance of Polar Heritage Sites in the Canadian Arctic</t>
  </si>
  <si>
    <t>OPEN ARCHAEOLOGY</t>
  </si>
  <si>
    <t>Arctic; Heritage; Fort Conger; Virtual Reality; Computer Modeling; Education; Climate Change; Polar Exploration; Digital Archaeology</t>
  </si>
  <si>
    <t>THAW SLUMP ACTIVITY; CLIMATE-CHANGE; COASTAL EROSION; YUKON-TERRITORY; HERSCHEL ISLAND; FORT-CONGER; PERMAFROST; DOCUMENTATION; MANAGEMENT; SEA</t>
  </si>
  <si>
    <t>Many of Canada's non-Indigenous polar heritage sites exist as memorials to the Heroic Age of arctic and Antarctic Exploration which is associated with such events as the First International Polar Year, the search for the Northwest Passage, and the race to the Poles. However, these and other key messages of significance are often challenging to communicate because the remote locations of such sites severely limit opportunities for visitor experience. This lack of awareness can make it difficult to rally support for costly heritage preservation projects in arctic and Antarctic regions. Given that many polar heritage sites are being severely impacted by human activity and a variety of climate change processes, this raises concerns. In this paper, we discuss how virtual heritage exhibits can provide a solution to this problem. Specifically, we discuss a recent project completed for the Virtual Museum of Canada at Fort Conger, a polar heritage site located in Quttinirpaaq National Park on northeastern Ellesmere Island (http://fortconger. org).</t>
  </si>
  <si>
    <t>[Dawson, Peter] Univ Calgary, Dept Anthropol &amp; Archaeol, Calgary, AB T2N 1N4, Canada; [Levy, Richard] Univ Calgary, Fac Environm Design, Calgary, AB T2N 1N4, Canada</t>
  </si>
  <si>
    <t>University of Calgary; University of Calgary</t>
  </si>
  <si>
    <t>Dawson, P (corresponding author), Univ Calgary, Dept Anthropol &amp; Archaeol, Calgary, AB T2N 1N4, Canada.</t>
  </si>
  <si>
    <t>pcdawson@ucalgary.ca</t>
  </si>
  <si>
    <t>Dawson, Peter/0000-0002-5090-6391</t>
  </si>
  <si>
    <t>DE GRUYTER POLAND SP Z O O</t>
  </si>
  <si>
    <t>WARSAW</t>
  </si>
  <si>
    <t>BOGUMILA ZUGA 32A STR, 01-811 WARSAW, MAZOVIA, POLAND</t>
  </si>
  <si>
    <t>2300-6560</t>
  </si>
  <si>
    <t>OPEN ARCHAEOL</t>
  </si>
  <si>
    <t>Open Archaeol.</t>
  </si>
  <si>
    <t>JAN</t>
  </si>
  <si>
    <t>10.1515/opar-2016-0016</t>
  </si>
  <si>
    <t>Archaeology</t>
  </si>
  <si>
    <t>EZ3MC</t>
  </si>
  <si>
    <t>WOS:000404614100016</t>
  </si>
  <si>
    <t>Richardson, BJ</t>
  </si>
  <si>
    <t>Richardson, Benjamin J.</t>
  </si>
  <si>
    <t>FOSSIL FUELS DIVESTMENT: IS IT LAWFUL?</t>
  </si>
  <si>
    <t>UNIVERSITY OF NEW SOUTH WALES LAW JOURNAL</t>
  </si>
  <si>
    <t>[Richardson, Benjamin J.] Univ Tasmania, Fac Law, Hobart, Tas, Australia; [Richardson, Benjamin J.] Univ Tasmania, Inst Marine &amp; Antarctic Studies, Hobart, Tas, Australia</t>
  </si>
  <si>
    <t>Richardson, BJ (corresponding author), Univ Tasmania, Fac Law, Hobart, Tas, Australia.;Richardson, BJ (corresponding author), Univ Tasmania, Inst Marine &amp; Antarctic Studies, Hobart, Tas, Australia.</t>
  </si>
  <si>
    <t>Richardson, Benjamin J/J-7340-2014</t>
  </si>
  <si>
    <t>UNIV NEW SOUTH WALES, FAC LAW</t>
  </si>
  <si>
    <t>KENSINGTON</t>
  </si>
  <si>
    <t>PO BOX 1, KENSINGTON, NSW 2033, AUSTRALIA</t>
  </si>
  <si>
    <t>0313-0096</t>
  </si>
  <si>
    <t>1839-2881</t>
  </si>
  <si>
    <t>U NSW LAW J</t>
  </si>
  <si>
    <t>Univ. NSW Law J.</t>
  </si>
  <si>
    <t>Law</t>
  </si>
  <si>
    <t>Government &amp; Law</t>
  </si>
  <si>
    <t>EX6NE</t>
  </si>
  <si>
    <t>WOS:000403358200016</t>
  </si>
  <si>
    <t>Pour, AB; Hashim, M; Hong, JK</t>
  </si>
  <si>
    <t>AbdulRahman, A; Ujang, U; Musliman, IA; Said, MN; Azri, S; Karim, H</t>
  </si>
  <si>
    <t>Pour, Amin Beiranvand; Hashim, Mazlan; Hong, Jong Kuk</t>
  </si>
  <si>
    <t>APPLICATION OF MULTISPECTRAL SATELLITE DATA FOR GEOLOGICAL MAPPING IN ANTARCTIC ENVIRONMENTS</t>
  </si>
  <si>
    <t>INTERNATIONAL CONFERENCE ON GEOMATIC AND GEOSPATIAL TECHNOLOGY (GGT) 2016</t>
  </si>
  <si>
    <t>International Archives of the Photogrammetry Remote Sensing and Spatial Information Sciences</t>
  </si>
  <si>
    <t>International Conference on Geomatic and Geospatial Technology (GGT)</t>
  </si>
  <si>
    <t>OCT 03-05, 2016</t>
  </si>
  <si>
    <t>Kuala Lumpur, MALAYSIA</t>
  </si>
  <si>
    <t>Multispectral satellite data; Geological mapping; Antarctic environments</t>
  </si>
  <si>
    <t>PALSAR DATA; PENINSULA; ACCRETION</t>
  </si>
  <si>
    <t>Remote sensing imagery is capable to provide a solution to overcome the difficulties associated with geological field mapping in the Antarctic. Advanced optical and radar satellite imagery is the most applicable tool for mapping and identification of inaccessible regions in Antarctic. Consequently, an improved scientific research using remote sensing technology would be essential to provide new and more complete lithological and structural data to fill the numerous knowledge gaps on Antarctica's geology. In this investigation, Oscar coast area in Graham Land, Antarctic Peninsula (AP) was selected to conduct a remote sensing study using Landsat-7 Thematic Mapper (TM), Landsat-8 and the Advanced Spaceborne Thermal Emission and Reflection Radiometer (ASTER) data. Contrast-enhanced Red-Green-Blue (RGB) composites, band ratios and Relative Band Depth (RBD) image processing techniques were applied to Landsat-8 and ASTER dataset for establishing the spectral separation of the main lithologic groups exposed in the study area. The outcomes of this investigation demonstrated the applications of SWIR and TIR bands of the multispectral remote sensing datasets to identify lithological units and producing geological maps with suitable accuracy of ice-free rock regions in the Antarctic Peninsula. The results could be extended to map coverage of non-investigated regions further east and validated previously inferred geological observations concerning other rocks and mineral deposits throughout the Antarctica.</t>
  </si>
  <si>
    <t>UTM, RISE, Geosci &amp; Digital Earth Ctr Geo DEC, Utm Skudai 81310, Johor Bahru, Malaysia; [Hong, Jong Kuk] Korea Polar Res Inst KOPRI, Songdomirae Ro, Incheon 21990, South Korea</t>
  </si>
  <si>
    <t>Universiti Teknologi Malaysia; Korea Polar Research Institute (KOPRI)</t>
  </si>
  <si>
    <t>a.beiranvand@utm.my</t>
  </si>
  <si>
    <t>Hashim, Mazlan/J-7291-2012; Beiranvand Pour, Amin/E-1723-2013</t>
  </si>
  <si>
    <t>Hashim, Mazlan/0000-0001-8284-3332; Beiranvand Pour, Amin/0000-0001-8783-5120</t>
  </si>
  <si>
    <t>Yayasan Penyelidikan Antartika Sultan Mizan (YPASM) research grant, Sultan Mizan Antarctic Research Foundation, Malaysia [R.J130000.7309.4B221]</t>
  </si>
  <si>
    <t>Yayasan Penyelidikan Antartika Sultan Mizan (YPASM) research grant, Sultan Mizan Antarctic Research Foundation, Malaysia</t>
  </si>
  <si>
    <t>This study was conducted as a part of Yayasan Penyelidikan Antartika Sultan Mizan (YPASM) research grant (Vote no: R.J130000.7309.4B221), Sultan Mizan Antarctic Research Foundation, Malaysia. We also would like to express our great appreciation to KOPRI (Korea Polar Research Institute) Asian Polar Science Fellowship Program 2016 for their great support during this research. We are thankful to the Universiti Teknologi Malaysia for providing the facilities for this investigation.</t>
  </si>
  <si>
    <t>COPERNICUS GESELLSCHAFT MBH</t>
  </si>
  <si>
    <t>GOTTINGEN</t>
  </si>
  <si>
    <t>BAHNHOFSALLE 1E, GOTTINGEN, 37081, GERMANY</t>
  </si>
  <si>
    <t>2194-9034</t>
  </si>
  <si>
    <t>INT ARCH PHOTOGRAMM</t>
  </si>
  <si>
    <t>42-4</t>
  </si>
  <si>
    <t>W1</t>
  </si>
  <si>
    <t>10.5194/isprs-archives-XLII-4-W1-77-2016</t>
  </si>
  <si>
    <t>Geography, Physical; Remote Sensing; Imaging Science &amp; Photographic Technology</t>
  </si>
  <si>
    <t>Physical Geography; Remote Sensing; Imaging Science &amp; Photographic Technology</t>
  </si>
  <si>
    <t>BH7IL</t>
  </si>
  <si>
    <t>gold, Green Submitted</t>
  </si>
  <si>
    <t>WOS:000402559600011</t>
  </si>
  <si>
    <t>Goldsworthy, L; Zuur, B; Llewellyn, G</t>
  </si>
  <si>
    <t>Fitzsimons, J; Wescott, G</t>
  </si>
  <si>
    <t>Goldsworthy, Lyn; Zuur, Bob; Llewellyn, Gilly</t>
  </si>
  <si>
    <t>Marine protected areas in the Antarctic and Sub-Antarctic region</t>
  </si>
  <si>
    <t>BIG, BOLD AND BLUE: LESSONS FROM AUSTRALIA'S MARINE PROTECTED AREAS</t>
  </si>
  <si>
    <t>[Goldsworthy, Lyn] Australian Natl Univ, Fenner Sch Environm &amp; Soc, Canberra, ACT 2601, Australia; [Zuur, Bob] WWF Australia, WWF Antarctic &amp; Southern Ocean Initiat, POB 528, Sydney, NSW 2001, Australia; [Llewellyn, Gilly] WWF Australia, POB 528, Sydney, NSW 2001, Australia</t>
  </si>
  <si>
    <t>Australian National University; World Wildlife Fund; World Wildlife Fund</t>
  </si>
  <si>
    <t>Goldsworthy, L (corresponding author), Australian Natl Univ, Fenner Sch Environm &amp; Soc, Canberra, ACT 2601, Australia.</t>
  </si>
  <si>
    <t>lyn.goldsworthy@anu.edu.au; bzuur@wwf.org.nz; gllwellyn@wwf.org.au</t>
  </si>
  <si>
    <t>CSIRO PUBLISHING</t>
  </si>
  <si>
    <t>CLAYTON</t>
  </si>
  <si>
    <t>UNIPARK, BLDG 1, LEVEL 1, 195 WELLINGTON RD, LOCKED BAG 10, CLAYTON, VIC 3168, AUSTRALIA</t>
  </si>
  <si>
    <t>978-1-4863-0195-9; 978-1-4863-0194-2</t>
  </si>
  <si>
    <t>Biodiversity Conservation; Marine &amp; Freshwater Biology</t>
  </si>
  <si>
    <t>Biodiversity &amp; Conservation; Marine &amp; Freshwater Biology</t>
  </si>
  <si>
    <t>BH6OY</t>
  </si>
  <si>
    <t>WOS:000401973100008</t>
  </si>
  <si>
    <t>Siegel, V</t>
  </si>
  <si>
    <t>Biology and Ecology of Antarctic Krill</t>
  </si>
  <si>
    <t>BIOLOGY AND ECOLOGY OF ANTARCTIC KRILL</t>
  </si>
  <si>
    <t>Advances in Polar Ecology</t>
  </si>
  <si>
    <t>Book</t>
  </si>
  <si>
    <t>SPRINGER INTERNATIONAL PUBLISHING AG</t>
  </si>
  <si>
    <t>CHAM</t>
  </si>
  <si>
    <t>GEWERBESTRASSE 11, CHAM, CH-6330, SWITZERLAND</t>
  </si>
  <si>
    <t>2468-5712</t>
  </si>
  <si>
    <t>978-3-319-29279-3; 978-3-319-29277-9</t>
  </si>
  <si>
    <t>ADV POL ECO</t>
  </si>
  <si>
    <t>10.1007/978-3-319-29279-3</t>
  </si>
  <si>
    <t>Biology; Ecology</t>
  </si>
  <si>
    <t>Life Sciences &amp; Biomedicine - Other Topics; Environmental Sciences &amp; Ecology</t>
  </si>
  <si>
    <t>BH6JD</t>
  </si>
  <si>
    <t>Green Submitted</t>
  </si>
  <si>
    <t>WOS:000401843300014</t>
  </si>
  <si>
    <t>Reiss, CS</t>
  </si>
  <si>
    <t>Reiss, Christian S.</t>
  </si>
  <si>
    <t>Age, Growth, Mortality, and Recruitment of Antarctic Krill, Euphausia superba</t>
  </si>
  <si>
    <t>Population dynamics; Life history; Vital rates; Southern Ocean; Climate change</t>
  </si>
  <si>
    <t>SOUTH SHETLAND-ISLANDS; INDIAN-OCEAN SECTOR; SEA-ICE; SCOTIA SEA; POPULATION-DYNAMICS; AUSTRAL SUMMER; BODY LENGTH; BIOCHEMICAL DIFFERENTIATION; SEASONAL DISTRIBUTION; MODELING GROWTH</t>
  </si>
  <si>
    <t>Laboratory and field studies on the age, growth, mortality, and recruitment dynamics of Antarctic krill (Euphausia superba; hereafter krill) have greatly increased knowledge of its life history over the last 30 years. The development of long, standardized time series of recruitment and abundance have provided data to test and refine conceptual models of krill recruitment, and to examine the role of environmental factors and climatic variability on recruitment and cohort size. Laboratory studies have also greatly increased knowledge about intrinsic and extrinsic factors governing growth and moulting frequency that have been used to develop more robust models for krill growth. These findings have demonstrated the plasticity of krill life history and can provide the foundation for understanding krill population response to future climate change. However, the lack of progress on the development of conservative, direct measures of krill age continue to hamper the ability to properly compare and contrast growth and recruitment across environments.</t>
  </si>
  <si>
    <t>[Reiss, Christian S.] NOAA Fisheries, Antarctic Ecosyst Res Div, Southwest Fisheries Sci Ctr, 8901 La Jolla Shores Dr Rm 333, La Jolla, CA 92037 USA</t>
  </si>
  <si>
    <t>National Oceanic Atmospheric Admin (NOAA) - USA</t>
  </si>
  <si>
    <t>Reiss, CS (corresponding author), NOAA Fisheries, Antarctic Ecosyst Res Div, Southwest Fisheries Sci Ctr, 8901 La Jolla Shores Dr Rm 333, La Jolla, CA 92037 USA.</t>
  </si>
  <si>
    <t>christian.reiss@noaa.gov</t>
  </si>
  <si>
    <t>10.1007/978-3-319-29279-3_3</t>
  </si>
  <si>
    <t>WOS:000401843300004</t>
  </si>
  <si>
    <t>Schmidt, K; Atkinson, A</t>
  </si>
  <si>
    <t>Schmidt, Katrin; Atkinson, Angus</t>
  </si>
  <si>
    <t>Feeding and Food Processing in Antarctic Krill (Euphausia superba Dana)</t>
  </si>
  <si>
    <t>Diet; Ingestion rates; Stable isotopes; Polyunsaturated fatty acids; Fecal pellets</t>
  </si>
  <si>
    <t>ZOOPLANKTON FECAL PELLETS; MARGINAL ICE-ZONE; SEA-ICE; SOUTHERN-OCEAN; SCOTIA SEA; BRANSFIELD STRAIT; THYSANOESSA-MACRURA; ENERGY BUDGETS; LARVAL KRILL; GROWTH-RATES</t>
  </si>
  <si>
    <t>Euphausia superba is exceptional among euphausiids for the large filtering surface of the feeding basket and its fine mesh size (2-3 mu m), which remain into adulthood. This enables them to feed efficiently on nano-and microplankton, and to reach substantial growth rates with food concentrations as low as 0.5 mu g Chlorophyll a L-1. Even though phytoplankton - in particular diatoms - are their staple food, protozoans and small copepods are ingested simultaneously and represent an important supplementary food source year-round. However, krill feeding behaviour is more complex than just filter-feeding in the water column, it includes raptorial capture of larger zooplankton, handling of 'giant' diatoms, scraping algae from beneath sea ice and lifting detritus from the seabed. High mobility and physiological robustness enable krill to explore three feeding grounds - the water column, the sea ice and the benthos. Variability in access and productivity of these feeding grounds leads to fundamental differences in krill overwintering across their habitats. Gut passage time, absorption efficiency and fecal pellet density vary with food concentration and nutritional needs. Therefore krill fecal pellets have a dual role; some promote the export of carbon and nutrients while others facilitate the recycling of material in the upper water column. Krill grazing can suppress phytoplankton blooms, but this tends to be a localised phenomenon where krill abundances are exceptionally high. Conversely, krill appear to have major conditioning effects due to nutrient supply (e.g. ammonium, iron), although their role in Southern Ocean biogeochemical cycles is only starting to be discovered.</t>
  </si>
  <si>
    <t>[Schmidt, Katrin] Sir Alister Hardy Fdn Ocean Sci, Citadel Hill, Plymouth PL1 2PB, Devon, England; [Atkinson, Angus] Plymouth Marine Lab, Prospect Pl, Plymouth PL1 3DH, Devon, England</t>
  </si>
  <si>
    <t>Plymouth Marine Laboratory</t>
  </si>
  <si>
    <t>Schmidt, K (corresponding author), Sir Alister Hardy Fdn Ocean Sci, Citadel Hill, Plymouth PL1 2PB, Devon, England.</t>
  </si>
  <si>
    <t>katsch@sahfos.ac.uk; aat@pml.ac.uk</t>
  </si>
  <si>
    <t>Atkinson, Angus/HOH-3417-2023</t>
  </si>
  <si>
    <t>NERC [pml010004, NE/L003279/1, pml010009] Funding Source: UKRI</t>
  </si>
  <si>
    <t>NERC(UK Research &amp; Innovation (UKRI)Natural Environment Research Council (NERC))</t>
  </si>
  <si>
    <t>10.1007/978-3-319-29279-3_5</t>
  </si>
  <si>
    <t>Green Accepted</t>
  </si>
  <si>
    <t>WOS:000401843300006</t>
  </si>
  <si>
    <t>Kawaguchi, S</t>
  </si>
  <si>
    <t>Kawaguchi, So</t>
  </si>
  <si>
    <t>Reproduction and Larval Development in Antarctic Krill (Euphausia superba)</t>
  </si>
  <si>
    <t>Maturation process; Light regime; Seasonal cycle; Sea ice; Climate change</t>
  </si>
  <si>
    <t>SIMULATED LIGHT REGIMES; MEGANYCTIPHANES-NORVEGICA; ENVIRONMENTAL VARIABILITY; BRANSFIELD STRAIT; MATURITY CYCLE; AUSTRAL SUMMER; CLIMATE-CHANGE; SEA-ICE; GROWTH; DANA</t>
  </si>
  <si>
    <t>An understanding of the reproduction and larval development of Antarctic krill is important since reproductive output is a key factor influencing their overall population size. Seasonal cycles of maturity in krill are known to be finely synchronized with seasonal cycles of food, sea-ice and the light regime in the Antarctic environment. This chapter will describe the progression of Antarctic krill development throughout their life cycle, including their maturation process, fecundity, spawning, and larval development, in relation to various environmental factors that are thought to govern these processes. The chapter will close with some remarks on possible effects of climate change on krill life history.</t>
  </si>
  <si>
    <t>[Kawaguchi, So] Australian Antarctic Div, 203 Channel Highway, Kingston, Tas 7050, Australia; [Kawaguchi, So] Antarctic Climate &amp; Ecosyst Cooperat Res Ctr, 20 Castray Esplanade, Hobart, Tas 7000, Australia</t>
  </si>
  <si>
    <t>Australian Antarctic Division; Antarctic Climate &amp; Ecosystems Cooperative Research Centre (ACE CRC)</t>
  </si>
  <si>
    <t>Kawaguchi, S (corresponding author), Australian Antarctic Div, 203 Channel Highway, Kingston, Tas 7050, Australia.;Kawaguchi, S (corresponding author), Antarctic Climate &amp; Ecosyst Cooperat Res Ctr, 20 Castray Esplanade, Hobart, Tas 7000, Australia.</t>
  </si>
  <si>
    <t>So.Kawaguchi@aad.gov.au</t>
  </si>
  <si>
    <t>Kawaguchi, So/N-1795-2017</t>
  </si>
  <si>
    <t>Kawaguchi, So/0000-0002-2042-5095</t>
  </si>
  <si>
    <t>10.1007/978-3-319-29279-3_6</t>
  </si>
  <si>
    <t>WOS:000401843300007</t>
  </si>
  <si>
    <t>Jarman, SN; Deagle, BE</t>
  </si>
  <si>
    <t>Jarman, Simon N.; Deagle, Bruce E.</t>
  </si>
  <si>
    <t>Genetics of Antarctic Krill</t>
  </si>
  <si>
    <t>Gene; Genome; Phylogeny; Panmixia; Expression</t>
  </si>
  <si>
    <t>EUPHAUSIA-SUPERBA DANA; GENERATION SEQUENCING TECHNOLOGIES; MITOCHONDRIAL GENOME; POPULATION-STRUCTURE; ENVIRONMENTAL DNA; PHYLOGENETIC ANALYSIS; SPECIES EUPHAUSIACEA; MOLECULAR APPROACH; SOUTHERN-OCEAN; DIVERSITY</t>
  </si>
  <si>
    <t>From a genetic perspective, Euphausia superba (krill) can be described as a non-model organism with a large genome and a large population size. The population genetics of krill has been studied extensively and a consensus on population structure is now emerging. Some preliminary characterization of the krill genome has been accomplished, but the genome is too large to sequence with current technologies. The major genetic resources currently available for krill are transcriptome assemblies and DNA sequences for specific regions. Genetic technologies have advanced rapidly in the past decade and a range of new genetic approaches for studying krill population genetics, physiology, gene function and ecology are now available. Several krill gene expression studies in recent years have revealed genes involved in a range of physiological processes and highlight the potential of this approach for answering a range of questions in krill biology. The rapid expansion in genetic methods available for studying non-model organisms like krill means many new questions can be addressed with these approaches. This is an exciting time for geneticists and krill biologists considering these questions.</t>
  </si>
  <si>
    <t>[Jarman, Simon N.] Univ Porto, CIBIO InBIO, Ctr Invest Biodiversidade &amp; Recursos Genet, P-4485661 Vairao, Portugal; [Jarman, Simon N.; Deagle, Bruce E.] Australian Antarctic Div, 203 Channel Highway, Kingston, Tas 7050, Australia</t>
  </si>
  <si>
    <t>Universidade do Porto; Australian Antarctic Division</t>
  </si>
  <si>
    <t>Jarman, SN (corresponding author), Univ Porto, CIBIO InBIO, Ctr Invest Biodiversidade &amp; Recursos Genet, P-4485661 Vairao, Portugal.;Jarman, SN (corresponding author), Australian Antarctic Div, 203 Channel Highway, Kingston, Tas 7050, Australia.</t>
  </si>
  <si>
    <t>simon.jarman@gmail.com</t>
  </si>
  <si>
    <t>Deagle, Bruce E/R-2999-2019; Jarman, Simon/H-9265-2016</t>
  </si>
  <si>
    <t>Deagle, Bruce E/0000-0001-7651-3687; Jarman, Simon/0000-0002-0792-9686</t>
  </si>
  <si>
    <t>10.1007/978-3-319-29279-3_7</t>
  </si>
  <si>
    <t>WOS:000401843300008</t>
  </si>
  <si>
    <t>Trathan, PN; Hill, SL</t>
  </si>
  <si>
    <t>Trathan, Philip N.; Hill, Simeon L.</t>
  </si>
  <si>
    <t>The Importance of Krill Predation in the Southern Ocean</t>
  </si>
  <si>
    <t>Krill consumption; Top-down control; Krill surplus hypothesis; Ecosystem perturbation; Ecosystem recovery</t>
  </si>
  <si>
    <t>PENGUINS EUDYPTES-CHRYSOLOPHUS; ANTARCTIC FUR SEALS; EUPHAUSIA-SUPERBA; MACARONI PENGUINS; FOOD-WEB; MARINE ECOSYSTEM; CLIMATE-CHANGE; INTERANNUAL VARIABILITY; ARCTOCEPHALUS-GAZELLA; EUBALAENA-AUSTRALIS</t>
  </si>
  <si>
    <t>Antarctic krill is a major prey species for a diverse array of Southern Ocean predators. The amount of krill that predators consume, and how this changes over space and time, is a key issue in understanding both regional and circumpolar aspects of the Southern Ocean food-web. We assess current knowledge of consumption by the various predator groups, and the ecological processes through which krill and its predators influence each other. Knowledge has improved greatly over recent decades and has revealed a high level of complexity in the processes that govern krill consumption. We focus on the Antarctic Peninsula and Scotia Sea region where both krill and its consumers occur in significant concentrations and where an updated estimate of krill consumption by the main vertebrate groups is 55 million tonnes per year. Research has mainly focused on mammalian and avian predators of post-larval krill, particularly penguins. Potentially important consumer groups like fish, cephalopods and carnivorous zooplankton remain poorly understood, as does consumption of the early life stages of krill. As a consequence of these knowledge gaps and the variability that arises from complexity, a reliable seasonally, spatially or taxonomically resolved description of krill consumption remains elusive. One of the key motivations for attempting to estimate krill consumption is to understand how changes in krill availability impact predator populations. Such understanding is an important requirement for ecosystem based management of the Antarctic krill fishery. We therefore propose that integrated study areas in strategic fishing locations should be developed to directly assess the response of krill predators to changes in krill availability.</t>
  </si>
  <si>
    <t>[Trathan, Philip N.; Hill, Simeon L.] British Antarctic Survey, NERC, Madingley Rd, Cambridge CB3 0ET, England</t>
  </si>
  <si>
    <t>UK Research &amp; Innovation (UKRI); Natural Environment Research Council (NERC); NERC British Antarctic Survey</t>
  </si>
  <si>
    <t>Trathan, PN (corresponding author), British Antarctic Survey, NERC, Madingley Rd, Cambridge CB3 0ET, England.</t>
  </si>
  <si>
    <t>pnt@bas.ac.uk; sih@bas.ac.uk</t>
  </si>
  <si>
    <t>Simeon, Hill L/B-2307-2008</t>
  </si>
  <si>
    <t>NERC [bas0100035] Funding Source: UKRI</t>
  </si>
  <si>
    <t>10.1007/978-3-319-29279-3_9</t>
  </si>
  <si>
    <t>WOS:000401843300010</t>
  </si>
  <si>
    <t>Gómez-Gutiérrez, J; Morales-Avila, JR</t>
  </si>
  <si>
    <t>Gomez-Gutierrez, Jaime; Raul Morales-Avila, Jose</t>
  </si>
  <si>
    <t>Parasites and Diseases</t>
  </si>
  <si>
    <t>Pathogens; Diversity; Prevalence; Intensity; Social behaviour</t>
  </si>
  <si>
    <t>KRILL EUPHAUSIA-SUPERBA; CILIATED PROTOZOAN CILIOPHORA; ANTARCTIC KRILL; CEPHALOIDOPHORA-PACIFICA; GYMNODINIOIDES-PACIFICA; PSEUDOCOLLINIA-BRINTONI; APOSTOMATIDA; BODY; DIVERSITY; DISCOVERY</t>
  </si>
  <si>
    <t>The Antarctic krill Euphausia superba is among the most studied species of the Order Euphausiacea in biological and ecological aspects; however, reports of their parasites and diseases are relatively scarce. A worldwide overview of all parasites known for 48 out 86 extant euphausiid species includes 17 distinct types of epibionts, pathogens, parasites, and parasitoids. So far, only seven of them have been reported interacting with E. superba [epibionts: exuviotrophic ciliates (Foettingeriidae) and microplanktophagous ciliates (Suctoridae, Ephelota), pathogens: chitinoclastic bacteria and fungi; and trophically transmitted endoparasites: Apicomplexans (Gregarinidae, Cephaloidophora), nematode infecting krill's eggs (under laboratory conditions), and histophagous parasites: Apostomatida ciliates of the family Pseudocollinidae]. The epibionts have interspecific associations that strongly depend on the krill's moult cycle, discarding them at each moulting event. Their colonization and intensity show a remarkable synchronization with the krill moulting process at individual, school, and population levels. The social and sometimes highly dense swarms and schools of E. superba, its keystone trophic function (both as voracious predator and as prey to multiple predators) should make it a critical vector for trophically transmitted parasites in the food web. However, E. superba interacts with a relatively low diversity of epibionts, pathogens, and parasites, in comparison with parasite diversity known for relatively well-studied temperate (Meganyctiphanes norvegica, Euphausia pacifica) and subtropical (Nyctiphanes simplex) euphausiid species. The apparently low parasite diversity of E. superba is likely associated with its Antarctic zoogeographic pattern; where, parasites have not invaded the Antarctic krill with the same evolutionary success as have occurred with other euphausiid species from tropical, subtropical, temperate, and even Arctic ecosystems.</t>
  </si>
  <si>
    <t>[Gomez-Gutierrez, Jaime; Raul Morales-Avila, Jose] Inst Politecn Nacl, Ctr Interdisciplinario Ciencias Marinas, La Paz, Mexico</t>
  </si>
  <si>
    <t>Instituto Politecnico Nacional - Mexico</t>
  </si>
  <si>
    <t>Gómez-Gutiérrez, J (corresponding author), Inst Politecn Nacl, Ctr Interdisciplinario Ciencias Marinas, La Paz, Mexico.</t>
  </si>
  <si>
    <t>jagomezg@ipn.mx; jrmoralesa@gmail.com</t>
  </si>
  <si>
    <t>10.1007/978-3-319-29279-3_10</t>
  </si>
  <si>
    <t>Bronze</t>
  </si>
  <si>
    <t>WOS:000401843300011</t>
  </si>
  <si>
    <t>Song, W; Li, LZ; Huang, HL; Zhao, MD; Jiang, KJ; Zhang, FY; Zhao, M; Chen, XZ; Ma, LB</t>
  </si>
  <si>
    <t>Song, Wei; Li, Lingzhi; Huang, Hongliang; Zhao, Mengdi; Jiang, Keji; Zhang, Fengying; Zhao, Ming; Chen, Xuezhong; Ma, Lingbo</t>
  </si>
  <si>
    <t>The complete mitochondrial genome sequence and gene organization of Trematomus bernacchii (Perciformes: Nototheniidae) with phylogenetic consideration</t>
  </si>
  <si>
    <t>MITOCHONDRIAL DNA PART B-RESOURCES</t>
  </si>
  <si>
    <t>Complete mitogenome; genome structure; phylogeny; Trematomus bernacchii</t>
  </si>
  <si>
    <t>In this study, the complete mitochondrial DNA sequence was obtained from Trematomus bernacchii. The full length of mitogenome was 16 018 bp, including 20 transfer RNA genes, a 16S ribosomal RNA genes and an incomplete 12S rRNA, 12 protein-coding genes and an incomplete ND6 protein-coding gene, and 2 non-coding regions: control region (D-loop) and origin of light-strand (L-strand) replication (OL). Most genes were located on the heavy-strand (H-strand), while ND6 and seven tRNA genes were located on the L-strand. T- bernacchii's mitogenome was comprised of 24.52% for A, 25.44% for C, 20.38% for G and 29.66% for T, with a higher A + T content (54.18%). From the NJ phylogenetic tree, it revealed that T. bernacchii's was genetically closest to species Dissostichus eleginoides among seven species within suborder Notothenioidei. This study could lay the foundation for the future studies in species identification, taxonomic status, molecular systematics, stock evaluation and conservation genetics for T. bernacchii's.</t>
  </si>
  <si>
    <t>[Song, Wei; Li, Lingzhi; Huang, Hongliang; Zhao, Mengdi; Jiang, Keji; Zhang, Fengying; Zhao, Ming; Chen, Xuezhong; Ma, Lingbo] Chinese Acad Fishery Sci, East China Sea Fisheries Res Inst, Minist Agr, Key Lab East China Sea &amp; Ocean Fishery Resources, Shanghai 200090, Peoples R China; [Zhao, Mengdi] Shanghai Ocean Univ, Coll Fisheries &amp; Life Sci, Shanghai, Peoples R China</t>
  </si>
  <si>
    <t>Ministry of Agriculture &amp; Rural Affairs; Chinese Academy of Fishery Sciences; East China Sea Fisheries Research Institute, CAFS; Shanghai Ocean University</t>
  </si>
  <si>
    <t>Jiang, KJ; Ma, LB (corresponding author), Chinese Acad Fishery Sci, East China Sea Fisheries Res Inst, Minist Agr, Key Lab East China Sea &amp; Ocean Fishery Resources, Shanghai 200090, Peoples R China.</t>
  </si>
  <si>
    <t>jiangkj@ecsf.ac.cn; malingbo@vip.sina.com</t>
  </si>
  <si>
    <t>Jiang, keji/F-1519-2010; Li, Lingzhi/K-9055-2016</t>
  </si>
  <si>
    <t>Chinese National Antarctic Research Expedition [CHINARE2014-01-06]</t>
  </si>
  <si>
    <t>Chinese National Antarctic Research Expedition</t>
  </si>
  <si>
    <t>This work was supported by the Chinese National Antarctic Research Expedition (CHINARE2014-01-06). The authors report no conflicts of interest. The authors alone are responsible for the content and writing of the article.</t>
  </si>
  <si>
    <t>TAYLOR &amp; FRANCIS LTD</t>
  </si>
  <si>
    <t>ABINGDON</t>
  </si>
  <si>
    <t>2-4 PARK SQUARE, MILTON PARK, ABINGDON OR14 4RN, OXON, ENGLAND</t>
  </si>
  <si>
    <t>2380-2359</t>
  </si>
  <si>
    <t>MITOCHONDRIAL DNA B</t>
  </si>
  <si>
    <t>Mitochondrial DNA Part B-Resour.</t>
  </si>
  <si>
    <t>10.1080/23802359.2015.1137818</t>
  </si>
  <si>
    <t>Genetics &amp; Heredity</t>
  </si>
  <si>
    <t>EV8OM</t>
  </si>
  <si>
    <t>gold, Green Published</t>
  </si>
  <si>
    <t>WOS:000402041200024</t>
  </si>
  <si>
    <t>Song, W; Li, LZ; Huang, HL; Meng, YY; Jiang, KJ; Zhang, FY; Chen, XZ; Ma, LB</t>
  </si>
  <si>
    <t>Song, Wei; Li, Lingzhi; Huang, Hongliang; Meng, Yongyong; Jiang, Keji; Zhang, Fengying; Chen, Xuezhong; Ma, Lingbo</t>
  </si>
  <si>
    <t>The complete mitochondrial genome of Chionodraco hamatus (Notothenioidei: Channichthyidae) with phylogenetic consideration</t>
  </si>
  <si>
    <t>Chionodraco hamatus; evolutionary relationships; gene order; genome structure; mitochondrial genome</t>
  </si>
  <si>
    <t>PERCIFORMES; FISHES</t>
  </si>
  <si>
    <t>The complete mitochondrial genome of Chionodraco hamatus was obtained, which was 17 457 bp in length. This genome consists of 13 protein-coding genes, 22 transfer RNA genes, 2 ribosomal RNA genes and a putative control region. Of the 37 genes, 28 were encoded by heavy strand, while 9 were encoded by light strand. Overall base composition of mitogenome is estimated to be 26.38% for A, 17.44% for G, 26.00% for T, 30.18% for C, respectively, with a slight A + T bias (52.38%). The phylogenetic analysis based on 13 concatenated protein-coding genes suggested that C. hamatus as a sister species to Chionodraco myersi was clustered in family Chionodraco. The complete mitochondrial genome sequence of C. hamatus could provide a basic data for the studies on evolution for low temperature adaptability, population structure, molecular systematic, stock evaluation and conservation genetics.</t>
  </si>
  <si>
    <t>[Song, Wei; Li, Lingzhi; Huang, Hongliang; Meng, Yongyong; Jiang, Keji; Zhang, Fengying; Chen, Xuezhong; Ma, Lingbo] Chinese Acad Fishery Sci, Minist Agr, East China Sea Fisheries Res Inst, Key Lab East China Sea &amp; Ocean Fishery Resources, Shanghai 200090, Peoples R China</t>
  </si>
  <si>
    <t>Jiang, KJ; Ma, LB (corresponding author), Chinese Acad Fishery Sci, Minist Agr, East China Sea Fisheries Res Inst, Key Lab East China Sea &amp; Ocean Fishery Resources, Shanghai 200090, Peoples R China.</t>
  </si>
  <si>
    <t>The authors report no conflicts of interest. The authors alone are responsible for the content and writing of the paper. This work was supported by the Chinese National Antarctic Research Expedition (CHINARE2014-01-06).</t>
  </si>
  <si>
    <t>10.1080/23802359.2015.1137819</t>
  </si>
  <si>
    <t>Green Published, gold</t>
  </si>
  <si>
    <t>WOS:000402041200025</t>
  </si>
  <si>
    <t>Liu, YM; Chen, LB; Zhang, DS</t>
  </si>
  <si>
    <t>Liu, Yimeng; Chen, Liangbiao; Zhang, Dongsheng</t>
  </si>
  <si>
    <t>Complete mitochondrial genome of the Antarctic crocodile icefish, Chionodraco hamatus (Perciformes: Channichthyidae)</t>
  </si>
  <si>
    <t>Chionodraco hamatus; icefish; mitogenome</t>
  </si>
  <si>
    <t>Antarctic icefish Chionodraco hamatus is an ideal model for studying cold adaptation mechanisms. The complete mitochondrial genome of C. hamatus was sequenced in this study. The genome sequence is 17 373 bp in length, which comprises 13 protein-coding genes, 22 tRNAs, two rRNAs and a control region. The overall base composition is A: 26.25%, T: 26.05%, G: 17.49% and C: 30.21%, with an A: T content of 52.3%. The phylogenetic analyses based on the concatenated nucleotide sequences of all the genes and control region supported a relatively close relationship with Parachaenichthys. charcoti. The complete mitochondrial genome sequence will be useful for evolutionary and functional studies of Antarctic Notothenioids.</t>
  </si>
  <si>
    <t>[Liu, Yimeng; Chen, Liangbiao; Zhang, Dongsheng] Shanghai Ocean Univ, Coll Fisheries &amp; Life Sci, Minist Educ, Key Lab Aquacultural Resources &amp; Utilizat, Shanghai, Peoples R China</t>
  </si>
  <si>
    <t>Shanghai Ocean University</t>
  </si>
  <si>
    <t>Zhang, DS (corresponding author), Shanghai Ocean Univ, Coll Fisheries &amp; Life Sci, Minist Educ, Key Lab Aquacultural Resources &amp; Utilizat, Shanghai, Peoples R China.</t>
  </si>
  <si>
    <t>dszhang@shou.edu.cn</t>
  </si>
  <si>
    <t>, liangbiao/0000-0002-0717-8536</t>
  </si>
  <si>
    <t>Major International Collaboration Program of Natural Science Foundation of China [30910103906]; Shanghai Municipal Project for First-class Discipline of Fishery; Shanghai Ocean University</t>
  </si>
  <si>
    <t>Major International Collaboration Program of Natural Science Foundation of China(National Natural Science Foundation of China (NSFC)); Shanghai Municipal Project for First-class Discipline of Fishery; Shanghai Ocean University</t>
  </si>
  <si>
    <t>The authors report no conflicts of interest. The authors alone are responsible for the content and writing of the paper. This work was supported by grants from The Major International Collaboration Program of Natural Science Foundation of China, No. 30910103906, Shanghai Municipal Project for First-class Discipline of Fishery to Shanghai Ocean University and PH.D starting funds of Shanghai Ocean University.</t>
  </si>
  <si>
    <t>10.1080/23802359.2016.1144098</t>
  </si>
  <si>
    <t>WOS:000402041200066</t>
  </si>
  <si>
    <t>Liu, YM; Yang, M; Zhou, T; Xing, H; Chen, LB; Zhang, DS</t>
  </si>
  <si>
    <t>Liu, Yimeng; Yang, Min; Zhou, Tao; Xing, Hu; Chen, Liangbiao; Zhang, Dongsheng</t>
  </si>
  <si>
    <t>Complete mitochondrial genome of the Antarctic cod icefish, Pagothenia borchgrevinki (Perciformes: Nototheniidae)</t>
  </si>
  <si>
    <t>Antarctic; bald notothen; mitogenome</t>
  </si>
  <si>
    <t>Antarctic icefish Pagothenia borchgrevinki is an ideal model for studying heat stress mechanisms. The complete mitochondrial genome of P. borchgrevinki was sequenced in this study. The genome sequence is 17,299 bp in length, which comprises 13 protein-coding genes, 22 tRNAs, 2 rRNAs and a control region. The overall base composition is 20.45% G, 25.11% A, 29.46% T and 24.98 C%, with an A: T content of 54.57%.</t>
  </si>
  <si>
    <t>[Liu, Yimeng; Yang, Min; Zhou, Tao; Xing, Hu; Chen, Liangbiao; Zhang, Dongsheng] Shanghai Ocean Univ, Coll Fisheries &amp; Life Sci, Key Lab Aquacultural Resources &amp; Utilizat, Minist Educ, Shanghai, Peoples R China</t>
  </si>
  <si>
    <t>Zhang, DS (corresponding author), Shanghai Ocean Univ, Coll Fisheries &amp; Life Sci, 999 Huchenghuan RD, Shanghai 201306, Peoples R China.</t>
  </si>
  <si>
    <t>Major International Collaboration Program of Natural Science Foundation of China [30910103906]; Shanghai Municipal Project for First-class Discipline of Fishery</t>
  </si>
  <si>
    <t>Major International Collaboration Program of Natural Science Foundation of China(National Natural Science Foundation of China (NSFC)); Shanghai Municipal Project for First-class Discipline of Fishery</t>
  </si>
  <si>
    <t>This work was supported by grants from The Major International Collaboration Program of Natural Science Foundation of China No. 30910103906, Shanghai Municipal Project for First-class Discipline of Fishery to Shanghai Ocean University to DZ.</t>
  </si>
  <si>
    <t>10.1080/23802359.2016.1180554</t>
  </si>
  <si>
    <t>WOS:000402041200200</t>
  </si>
  <si>
    <t>Baba, S; Marouchos, A</t>
  </si>
  <si>
    <t>Baba, Shoichiro; Marouchos, Andreas</t>
  </si>
  <si>
    <t>Validation of simulation against experimental data of deep water moorings in severe sea conditions</t>
  </si>
  <si>
    <t>OCEANS 2016 MTS/IEEE MONTEREY</t>
  </si>
  <si>
    <t>MTS/IEEE Oceans Conference</t>
  </si>
  <si>
    <t>SEP 19-23, 2016</t>
  </si>
  <si>
    <t>Monterey, CA</t>
  </si>
  <si>
    <t>oceanographic observation; mooring; simulation; sever sea; experimental data</t>
  </si>
  <si>
    <t>140-DEGREES-E</t>
  </si>
  <si>
    <t>JAMSTEC (Japan Agency for Marine Earth Science and Technology) deployed a deep water mooring down to 4 500 m which was deployed in 2012 and recovered in 2013 in the Southern Ocean at 60 degree south latitude. CSIRO (Commonwealth Science and Industry Research Organization) has also been operating deep water moorings down to 4 500 m south of Tasmania, Australia at 47 degree south latitude. Both of these moorings are designed to monitor both sub-surface and air-surface flux variability to study global climate change. CSIRO has been designing moorings using a CSIRO developed static analysis based design process. The CSIRO design approach is in strong contrast with that of JAMSTEC. In order to examine the performance and merits of these two approaches, a comparison of these methods is conducted along with data obtained from both moorings both at 47 degree and 60 degree south latitude, where sea conditions are severe. From the results, the maximum tension obtained from the mooring at 47 degree south latitude in the CSIRO analysis program showed variability between 20 to 40% when compared to field data. In the addition the maximum tension obtained from the mooring at 60 degree south latitude showed higher analysis variability from 50 to 100% variability. These results show that although both the JAMSTEC and CSIRO analysis methods can calculate appropriate tension trends and distributions for moorings at high latitudes, some adjustment in amplitudes may be warranted, as well as a potential adjustment to the factors of safety in use during mooring design. This paper presents the details of this analysis and makes recommendations on simulation methodology to improve results.</t>
  </si>
  <si>
    <t>[Baba, Shoichiro] JAMSTEC, Marine Technol Dev Dept, 2-15 Natsushima Cho, Yokosuka, Kanagawa, Japan; [Marouchos, Andreas] CSIRO, Oceans &amp; Atmosphere Flagship, Hobart, Tas, Australia</t>
  </si>
  <si>
    <t>Japan Agency for Marine-Earth Science &amp; Technology (JAMSTEC); Commonwealth Scientific &amp; Industrial Research Organisation (CSIRO)</t>
  </si>
  <si>
    <t>Baba, S (corresponding author), JAMSTEC, Marine Technol Dev Dept, 2-15 Natsushima Cho, Yokosuka, Kanagawa, Japan.</t>
  </si>
  <si>
    <t>sbaba@jamstec.go.jp; andreas.marouchos@csiro.au</t>
  </si>
  <si>
    <t>Marouchos, Andreas/E-8852-2012</t>
  </si>
  <si>
    <t>IMOS</t>
  </si>
  <si>
    <t>We are grateful to Captain Noda and the crew of the Umitaka Maru training ship of Tokyo University of Marine Science and Technology, who conducted the deployment of the present prototype surface observation buoy, m-Triton, in the Southern Ocean off the coast of Adelie. The voyage was performed in conjunction with the Japanese Antarctic Research Expeditions framework and implemented as a collaborative effort of Tokyo University of Maritime Science and Technology and the National Institute of Polar Research. Additional thanks are extended to Captain Tsutsumi and crew of the Mirai research vessel of JAMSTEC, who conducted the mooring system recovery in the Southern Ocean despite extremely rough sea conditions. We also thank the crew of the Southern Surveyor research vessel of CSIRO, who conducted the deployment and recover of the SOFS mooring. The SOFS mooring is funded by IMOS and operated jointly by the CSIRO and the Australian Bureau of Meteorology (BoM)</t>
  </si>
  <si>
    <t>978-1-5090-1537-5</t>
  </si>
  <si>
    <t>10.1109/OCEANS.2016.7761352</t>
  </si>
  <si>
    <t>Engineering, Ocean</t>
  </si>
  <si>
    <t>Engineering</t>
  </si>
  <si>
    <t>BH3QQ</t>
  </si>
  <si>
    <t>WOS:000399929002034</t>
  </si>
  <si>
    <t>Carvalho, F; Kohut, J; Gorbunov, M; Schofield, O; Oliver, MJ</t>
  </si>
  <si>
    <t>Carvalho, Filipa; Kohut, Josh; Gorbunov, Maxim; Schofield, Oscar; Oliver, Matthew J.</t>
  </si>
  <si>
    <t>Mapping Antarctic phytoplankton physiology using autonomous gliders</t>
  </si>
  <si>
    <t>gliders; phytoplankton; physiology; Antarctica; fluorescence induction and relaxation (FIRe) sensor</t>
  </si>
  <si>
    <t>PRODUCTIVITY</t>
  </si>
  <si>
    <t>[Carvalho, Filipa; Kohut, Josh; Gorbunov, Maxim; Schofield, Oscar] Rutgers State Univ, Dept Marine &amp; Coastal Sci, New Brunswick, NJ 08903 USA; [Oliver, Matthew J.] Univ Delaware, Coll Earth Ocean &amp; Environm, Lewes, DE 19958 USA</t>
  </si>
  <si>
    <t>Rutgers University System; Rutgers University New Brunswick; University of Delaware</t>
  </si>
  <si>
    <t>Carvalho, F (corresponding author), Rutgers State Univ, Dept Marine &amp; Coastal Sci, New Brunswick, NJ 08903 USA.</t>
  </si>
  <si>
    <t>filipa@marine.rutgers.edu</t>
  </si>
  <si>
    <t>Carvalho, Filipa/B-7223-2017; Schofield, Oscar/H-4169-2018</t>
  </si>
  <si>
    <t>Carvalho, Filipa/0000-0002-8355-4329; Schofield, Oscar/0000-0003-2359-4131</t>
  </si>
  <si>
    <t>Portuguese doctoral fellowship from Fundacao para a Ciencia e Tecnologia [DFRH - SFRH/BD/72705/2010]</t>
  </si>
  <si>
    <t>Portuguese doctoral fellowship from Fundacao para a Ciencia e Tecnologia</t>
  </si>
  <si>
    <t>We would like to thank the Rutgers glider team, Palmer Station personnel and ARSV Laurence M. Gould crew for support in deployments and recoveries. Filipa Carvalho was funded by a Portuguese doctoral fellowship from Fundacao para a Ciencia e Tecnologia (DFRH - SFRH/BD/72705/2010).</t>
  </si>
  <si>
    <t>10.1109/OCEANS.2016.7761193</t>
  </si>
  <si>
    <t>WOS:000399929001041</t>
  </si>
  <si>
    <t>Couto, N; Schofield, O; Kohut, J</t>
  </si>
  <si>
    <t>Couto, Nicole; Schofield, Oscar; Kohut, Josh</t>
  </si>
  <si>
    <t>Comparison between glider-derived geostrophic velocities and shipboard ADCP measurements</t>
  </si>
  <si>
    <t>geostrophic velocity; thermal wind; glider; vertical shear; Antarctic</t>
  </si>
  <si>
    <t>CIRCUMPOLAR DEEP-WATER</t>
  </si>
  <si>
    <t>On the continental shelf of the west Antarctic Peninsula (WAP), waters below the permanent pycnocline are strongly influenced by intrusions of water masses shed from the Antarctic Circumpolar Current. These intrusions carry relatively warm water toward the coast and to glacier grounding lines, but intrusion locations, mechanisms, and pathways by which this water moves on the shelf are still poorly understood. Dozens of deployments of autonomous underwater vehicles (gliders) in the vicinity of Palmer Deep, a biologically productive canyon on the WAP, have collected temperature and salinity data at extremely high spatial resolution. These data can be used to calculate geostrophic currents in the across-glider-track direction, and this would provide an extensive dataset to study circulation on the WAP shelf, but the relative importance of the geostrophic component to the total current field must first be determined. Here, we present a comparison between one ADCP transect and several repeat glider transects along the same line. Velocities measured by the ADCP are difficult to compare to geostrophic velocities because the shallowest ADCP bin is 46 m below the surface, while geostrophic velocities are referenced to dead-reckoned velocities with a significant contribution from surface currents. Despite limitations, depth-averaged geostrophic currents show promise in being a useful proxy for total depth-average currents on the WAP. The depth-averaged currents from glider deployments show significant day-to-day variability in both magnitude and direction, but the glider transect timed most closely to the ADCP transect showed a similar pattern. Vertical shear is predominantly directed onshore, and measurements of shear below the permanent pycnocline are small compared to those at the surface.</t>
  </si>
  <si>
    <t>[Couto, Nicole; Schofield, Oscar; Kohut, Josh] Rutgers State Univ, Dept Marine &amp; Coastal Sci, New Brunswick, NJ 08901 USA</t>
  </si>
  <si>
    <t>Rutgers University System; Rutgers University New Brunswick</t>
  </si>
  <si>
    <t>Couto, N (corresponding author), Rutgers State Univ, Dept Marine &amp; Coastal Sci, New Brunswick, NJ 08901 USA.</t>
  </si>
  <si>
    <t>ncouto@marine.rutgers.edu</t>
  </si>
  <si>
    <t>Schofield, Oscar/H-4169-2018</t>
  </si>
  <si>
    <t>Schofield, Oscar/0000-0003-2359-4131</t>
  </si>
  <si>
    <t>10.1109/OCEANS.2016.7761286</t>
  </si>
  <si>
    <t>WOS:000399929001133</t>
  </si>
  <si>
    <t>Rodas, ME</t>
  </si>
  <si>
    <t>Rodas, Matias E.</t>
  </si>
  <si>
    <t>Parliamentary Debate over National Territories' Provincialization: Citizenship in Times of Classic Peronism (1946-1955)</t>
  </si>
  <si>
    <t>ANUARIO DE LA ESCUELA DE HISTORIA VIRTUAL</t>
  </si>
  <si>
    <t>Spanish</t>
  </si>
  <si>
    <t>Provincialization; National Territories; Peronism; Radicalism; Citizenship</t>
  </si>
  <si>
    <t>In the following article we analyze the interparty discussion that took place in the Chamber of National Deputies following provincialization projects of national territories presented by Peronism between 1951 and 1955. The Peronism proposed gradually turn the national territories into provinces, transforming La Pampa and Chaco in 1951, then Misiones in 1953 and in 1955 Formosa, Rio Negro, Neuquen, and a new province formed by Santa Cruz, Tierra del Fuego, the Antarctic portion and South Atlantic Islands. Instead, the opposition, led by Radicalism, postulated an extensive provincialization to all territories simultaneously. We argue that one of the causes of this differentiation was in the differing conceptions of citizenship that held these supporters groups: while the Peronism advocated a citizenship based on the social as a starting point for obtaining political rights, radicalism advocated a defined from the political citizenship as the basis and foundation for more progress on substantive rights.</t>
  </si>
  <si>
    <t>[Rodas, Matias E.] Univ Nacl Gen Sarmiento, Los Polvorines, Argentina</t>
  </si>
  <si>
    <t>Rodas, ME (corresponding author), Univ Nacl Gen Sarmiento, Los Polvorines, Argentina.</t>
  </si>
  <si>
    <t>mrodas1945@gmail.com</t>
  </si>
  <si>
    <t>UNIV NAC CORDOBA, FAC FILOSOFIA HUMANIDADES</t>
  </si>
  <si>
    <t>CORDOBA</t>
  </si>
  <si>
    <t>PABELION RESIDENCIAL, CUDAD UNIV, CORDOBA, 5000, ARGENTINA</t>
  </si>
  <si>
    <t>1853-7049</t>
  </si>
  <si>
    <t>ANU ESC HIST VIRTUAL</t>
  </si>
  <si>
    <t>Anu. Esc. Hist. Virtual</t>
  </si>
  <si>
    <t>History</t>
  </si>
  <si>
    <t>ES3IW</t>
  </si>
  <si>
    <t>WOS:000399424300004</t>
  </si>
  <si>
    <t>Tassino, B; Horta, S; Santana, N; Levandovski, R; Silva, A</t>
  </si>
  <si>
    <t>Tassino, Bettina; Horta, Stefany; Santana, Noelia; Levandovski, Rosa; Silva, Ana</t>
  </si>
  <si>
    <t>Extreme late chronotypes and social jetlag challenged by Antarctic conditions in a population of university students from Uruguay</t>
  </si>
  <si>
    <t>SLEEP SCIENCE</t>
  </si>
  <si>
    <t>Circadian rhythms; Sleep habits; Munich Chronotype Questionnaire; Antarctica; Uruguayan Antarctic Scientific Base; Artigas</t>
  </si>
  <si>
    <t>SLEEP PATTERNS; ACADEMIC-ACHIEVEMENT; GENDER-DIFFERENCES; CIRCADIAN-RHYTHMS; MORNINGNESS; PREFERENCES; QUALITY; SCHOOL; EPIDEMIOLOGY; PERFORMANCE</t>
  </si>
  <si>
    <t>In humans, a person's chronotype depends on environmental cues and on individual characteristics, with late chronotypes prevailing in youth. Social jetlag (SJL), the misalignment between an individual's biological clock and social time, is higher in late chronotypes. Strong SJL is expected in Uruguayan university students with morning class schedules and very late entertainment activities. Sleep disorders have been reported in Antarctic inhabitants, that might be a response to the extreme environment or to the strictness of Antarctic life. We evaluated, for the first time in Uruguay, the chronotypes and SJL of 17 undergraduate students of the First Uruguayan Summer School on Antarctic Research, using Munich Chronotype Questionnaire (MCTQ) and sleep logs (SL) recorded during 3 phases: pre-Antarctic, Antarctic, and post-Antarctic. The midsleep point of free days corrected for sleep debt on work days (MSFsc,) was used as proxy of individuals' chronotype, whose values (around 6 a.m.) are the latest ever reported. We found a SJL of around 2 h in average, which correlated positively with MSFsc, confirming that late chronotypes generate a higher sleep debt during weekdays. Midsleep point and sleep duration significantly decreased between pre-Antarctic and Antarctic phases, and sleep duration rebounded to significant higher values in the post Antarctic phase. Waking time, but not sleep onset time, significantly varied among phases. This evidence suggests that sleep schedules more likely depended on the social agenda than on the environmental light-dark shifts. High motivation of students towards Antarctic activities likely induced a subjective perception of welfare non-dependent on sleep duration. (C) 2016 Brazilian Association of Sleep. Production and Hosting by Elsevier B.V.</t>
  </si>
  <si>
    <t>[Tassino, Bettina; Horta, Stefany; Santana, Noelia] Univ Republica, Fac Ciencias, Secc Etol, Montevideo, Uruguay; [Horta, Stefany; Santana, Noelia; Silva, Ana] Univ Republica, Fac Ciencias, Lab Neurociencias, Montevideo, Uruguay; [Levandovski, Rosa] Univ Fed Rio Grande do Sul, Programa Pos Grad Saude Colet, Porto Alegre, RS, Brazil; [Levandovski, Rosa] Ctr Educ Tecnol &amp; Pesquisa Saude Escola GHC, Porto Alegre, RS, Brazil; [Silva, Ana] MEC, Inst Invest Biol Clemente Estable, Unidad Bases Neurales Conducta, Montevideo, Uruguay</t>
  </si>
  <si>
    <t>Universidad de la Republica, Uruguay; Universidad de la Republica, Uruguay; Universidade Federal do Rio Grande do Sul; Instituto de Investigaciones Biologicas Clemente Estable Uruguay</t>
  </si>
  <si>
    <t>Silva, A (corresponding author), Fac Ciencias, Lab Neurociencias, Igua 4225, Montevideo 11400, Uruguay.</t>
  </si>
  <si>
    <t>; levandovski, rosa/G-4811-2012</t>
  </si>
  <si>
    <t>Silva, Ana/0000-0003-2890-0353; levandovski, rosa/0000-0001-7212-633X</t>
  </si>
  <si>
    <t>BRAZILIAN ASSOC SLEEP</t>
  </si>
  <si>
    <t>SAO PAULO</t>
  </si>
  <si>
    <t>RUA DR DIOGO FARIA, 508, VILA CLEMENTINO, SAO PAULO, SP 04037-001, BRAZIL</t>
  </si>
  <si>
    <t>1984-0659</t>
  </si>
  <si>
    <t>1984-0063</t>
  </si>
  <si>
    <t>SLEEP SCI</t>
  </si>
  <si>
    <t>Sleep Sci.</t>
  </si>
  <si>
    <t>JAN-MAR</t>
  </si>
  <si>
    <t>10.1016/j.slsci.2016.01.002</t>
  </si>
  <si>
    <t>Clinical Neurology</t>
  </si>
  <si>
    <t>Neurosciences &amp; Neurology</t>
  </si>
  <si>
    <t>ES9XL</t>
  </si>
  <si>
    <t>WOS:000399915200005</t>
  </si>
  <si>
    <t>Grandi, MF; Dans, SL; Crespo, EA</t>
  </si>
  <si>
    <t>Florencia Grandi, Maria; Dans, Silvana L.; Crespo, Enrique A.</t>
  </si>
  <si>
    <t>Improvement in Survivorship: The Key for Population Recovery?</t>
  </si>
  <si>
    <t>ZOOLOGICAL STUDIES</t>
  </si>
  <si>
    <t>Life table; Otaria flavescens; South American sea lion; Survivorship; Population recovery; Northern Patagonia</t>
  </si>
  <si>
    <t>AMERICAN SEA LION; ANTARCTIC FUR SEALS; OTARIA-FLAVESCENS; SITE FIDELITY; ARCTOCEPHALUS-GAZELLA; ZALOPHUS-CALIFORNIANUS; PUP MORTALITY; LIFE-HISTORY; SURVIVAL; AGE</t>
  </si>
  <si>
    <t>In northern Patagonia, commercial harvesting of South American sea lions, Otaria flavescens, from 1920 to 1960, decimated its population abundance. Population recovery was not immediate after hunting ceased in 1962. The population was stable until 1989, and since then has grown at an annual rate of increase of 5.7%. Along with this growth there was an increase of the juvenile fraction and changes in the social composition of colonies, which could be related to changes in some population vital rates. The aim of this study was to analyze changes in the survivorship pattern of Otaria flavescens through time. The ultimate goal was to contribute to a better understanding of changes that could have operated on the ecosystem after the decline and recovery of one of the main marine top-predators in the southern South Atlantic Ocean. The comparisons of survivorship curves of males and females, obtained from the life tables of two periods with different population trends: 1981-1987 (stationary) and 2000-2008 (recovering), showed that there were differences in survivorship between sexes, where recent female age-specific survival was higher than that of males at any age. The comparison of survivorship between periods showed differences in both sexes. Both juveniles and adults, both male and female, from the recent period showed higher survival than those of the 1980's decade. This improvement in survivorship could be one of the essential factors that drove population recovery in the last decades. Here we discuss the possible hypotheses of which factors could have changed in the ecosystem to favour juvenile and adult survivorship, such as an increase in the availability of food recourses, a decrease of exogenous mortality causes, or a combination of both factors.</t>
  </si>
  <si>
    <t>[Florencia Grandi, Maria; Dans, Silvana L.; Crespo, Enrique A.] Consejo Nacl Invest Cient &amp; Tecn, Ctr Nacl Patagon, Lab Mamiferos Marinos, Bvd Brown 2915, RA-9120 Puerto Madryn, Chubut, Argentina; [Dans, Silvana L.; Crespo, Enrique A.] Univ Nacl Patagonia San Juan Bosco, Bvd Brown 3051, RA-9120 Puerto Madryn, Chubut, Argentina</t>
  </si>
  <si>
    <t>Consejo Nacional de Investigaciones Cientificas y Tecnicas (CONICET); Centro Nacional Patagonico (CENPAT); Universidad Nacional de la Patagonia San Juan Bosco</t>
  </si>
  <si>
    <t>Grandi, MF (corresponding author), Consejo Nacl Invest Cient &amp; Tecn, Ctr Nacl Patagon, Lab Mamiferos Marinos, Bvd Brown 2915, RA-9120 Puerto Madryn, Chubut, Argentina.</t>
  </si>
  <si>
    <t>grandi@cenpat-conicet.gob.ar; dans@cenpat-conicet.gob.ar; kike@cenpat-conicet.gob.ar</t>
  </si>
  <si>
    <t>Grandi, Maria Florencia/0000-0002-1418-4205</t>
  </si>
  <si>
    <t>GEF/PNUD; BBVA Foundation [BIOCON 04]; Scientific Cooperation Program of Spain; Fundacion Vida Silvestre Argentina; National Agency for the Promotion of Science and Technology of Argentina; University of Patagonia; Zoo d'Amneville</t>
  </si>
  <si>
    <t>GEF/PNUD; BBVA Foundation(BBVA Foundation); Scientific Cooperation Program of Spain; Fundacion Vida Silvestre Argentina; National Agency for the Promotion of Science and Technology of Argentina(ANPCyT); University of Patagonia; Zoo d'Amneville</t>
  </si>
  <si>
    <t>The authors would like to express their gratitude to all those people who were involved in the fieldwork and collections of specimens throughout 40 years on which this paper is based, especially to G. Svendsen, A. Romero (Instituto A. Storni), and N. Garcia (CENPAT-CONICET). We also thank to all the persons and the personnel of private and state organizations who report the presence of carcasses on the different beaches of the area. The authors would like to thanks to N. Bustos for the histological preparations. Thanks are also due to R. Natalie P. Goodall for her assistance with the English and two anonymous reviewers for their helpful suggestions on the manuscript. Natalie passed away on 25 May 2015, while this paper was in press. As scientists and good friends of her, we will all miss her knowledge and her unbounded generosity. This study was supported by GEF/PNUD (1992-1996), BBVA Foundation (BIOCON 04), Scientific Cooperation Program of Spain (1996-1999), Fundacion Vida Silvestre Argentina, National Agency for the Promotion of Science and Technology of Argentina and The University of Patagonia. This research also received logistic and institutional support from Centro Nacional Patagonico-CONICET and financial support of the Zoo d'Amneville. We thank the Government agencies from the provinces of Rio Negro and Chubut for providing the permit to work.</t>
  </si>
  <si>
    <t>BIODIVERSITY RESEARCH CENTER, ACAD SINICA</t>
  </si>
  <si>
    <t>TAIPEI</t>
  </si>
  <si>
    <t>128 ACADEMIA RODA, SECTION 2, NANKANG, TAIPEI, 11529, TAIWAN</t>
  </si>
  <si>
    <t>1021-5506</t>
  </si>
  <si>
    <t>1810-522X</t>
  </si>
  <si>
    <t>ZOOL STUD</t>
  </si>
  <si>
    <t>Zool. Stud.</t>
  </si>
  <si>
    <t>10.6620/ZS.2016.55-09</t>
  </si>
  <si>
    <t>Zoology</t>
  </si>
  <si>
    <t>ES5WQ</t>
  </si>
  <si>
    <t>WOS:000399617200009</t>
  </si>
  <si>
    <t>Hutter, K; Wang, YQ</t>
  </si>
  <si>
    <t>Hutter, K; Wang, Y</t>
  </si>
  <si>
    <t>Hutter, Kolumban; Wang, Yongqi</t>
  </si>
  <si>
    <t>Three-Dimensional Creeping FlowSystematic Derivation of the Shallow Flow Approximations</t>
  </si>
  <si>
    <t>FLUID AND THERMODYNAMICS: VOL 2: ADVANCED FLUID MECHANICS AND THERMODYNAMIC FUNDAMENTALS</t>
  </si>
  <si>
    <t>Advances in Geophysical and Environmental Mechanics and Mathematics</t>
  </si>
  <si>
    <t>Viscous material spreading; Thermo-mechanical coupling; Stokes approximation; Free surface shallow creeping flows; Inclined and horizontal gravity driven creep flow</t>
  </si>
  <si>
    <t>ANTARCTIC ICE-SHEET; BORE-HOLE SURVEY; THIN-FILM FLOWS; POLYTHERMAL GLACIERS; CAMP CENTURY; STEADY MOTION; MODEL; TOPOGRAPHY; CLIMATE; SENSITIVITY</t>
  </si>
  <si>
    <t>This chapter is devoted to the approximate determination of the velocity field in a shallow layer of ice or granular soil, treated as a non-Newtonian material flowing under the action of its own weight and assuming its velocity to be so small that Stokes flow can be assumed. Two limiting cases can be analyzed: (i) The deforming material flows on a steep slope (which is the case for creeping landslides or snow deposits on mountain topographies with inclination angles that are large). (ii) In the second case the inclination angles are small. Situation (ii) is apt to ice flow in large ice sheets such as Greenland and Antarctica, important in climate scenarios in a warming atmosphere. The two situations require different approximations. Perturbation schemes are derived in terms of a shallowness parameter in the two situations; applications are discussed under real world conditions. Applications focus on thermo-mechanical coupled plane ice sheet flows and to the Greenland ice sheet response to present day climate driving. In shallow, but still slow gravity driven free surface flows the acceleration terms in Newton's law are no longer negligible.</t>
  </si>
  <si>
    <t>[Hutter, Kolumban] Swiss Fed Inst Technol, Versuchsanstalt Wasserbau Hydrol &amp; Glaziol, Zurich, Switzerland; [Wang, Yongqi] Tech Univ Darmstadt, Dept Mech Engn, Darmstadt, Hessen, Germany</t>
  </si>
  <si>
    <t>Swiss Federal Institutes of Technology Domain; ETH Zurich; Technical University of Darmstadt</t>
  </si>
  <si>
    <t>Hutter, K (corresponding author), Swiss Fed Inst Technol, Versuchsanstalt Wasserbau Hydrol &amp; Glaziol, Zurich, Switzerland.</t>
  </si>
  <si>
    <t>Wang, Yongqi/G-3996-2012</t>
  </si>
  <si>
    <t>Wang, Yongqi/0000-0003-1292-0384</t>
  </si>
  <si>
    <t>1866-8348</t>
  </si>
  <si>
    <t>978-3-319-33636-7; 978-3-319-33635-0</t>
  </si>
  <si>
    <t>ADV GEOPHYS ENV MECH</t>
  </si>
  <si>
    <t>10.1007/978-3-319-33636-7_12</t>
  </si>
  <si>
    <t>10.1007/978-3-319-33636-7</t>
  </si>
  <si>
    <t>Thermodynamics; Physics, Fluids &amp; Plasmas</t>
  </si>
  <si>
    <t>Thermodynamics; Physics</t>
  </si>
  <si>
    <t>BG4UU</t>
  </si>
  <si>
    <t>WOS:000389198100003</t>
  </si>
  <si>
    <t>Ikeda, A; Kawai, K; Tsutsumi, M; Yoshimura, K; Ohno, G; Hasegawa, T; Hirofumi, O; Kentaro, W; Nishiyama, H</t>
  </si>
  <si>
    <t>Ikeda, Atsushi; Kawai, Koji; Tsutsumi, Masakazu; Yoshimura, Koji; Ohno, Giichiro; Hasegawa, Tatsuhisa; Hirofumi, Oe; Kentaro, Watanabe; Nishiyama, Hiroyuki</t>
  </si>
  <si>
    <t>The impact of a polar environment on urinary status - an investigation of urinary status in the 54th Japanese Antarctic Research Expedition</t>
  </si>
  <si>
    <t>INTERNATIONAL JOURNAL OF CIRCUMPOLAR HEALTH</t>
  </si>
  <si>
    <t>[Ikeda, Atsushi; Tsutsumi, Masakazu] Hitachi Gen Hosp, Dept Urol, Hitachi, Ibaraki, Japan; [Kawai, Koji; Nishiyama, Hiroyuki] Univ Tsukuba, Inst Clin Med, Dept Urol, Tsukuba, Ibaraki, Japan; [Yoshimura, Koji] Shizuoka Prefectural Gen Hosp, Dept Urol, Shizuoka, Japan; [Ohno, Giichiro] Tokatsu Hosp, Dept Surg, Matsudo, Chiba, Japan; [Hasegawa, Tatsuhisa; Hirofumi, Oe] 54th Japanese Antarct Res Expedit, Tokyo, Japan; [Kentaro, Watanabe] Natl Inst Polar Res, Tokyo, Japan</t>
  </si>
  <si>
    <t>University of Tsukuba; Shizuoka General Hospital; Research Organization of Information &amp; Systems (ROIS); National Institute of Polar Research (NIPR) - Japan</t>
  </si>
  <si>
    <t>scrapsike716@gmail.com</t>
  </si>
  <si>
    <t>1239-9736</t>
  </si>
  <si>
    <t>2242-3982</t>
  </si>
  <si>
    <t>INT J CIRCUMPOL HEAL</t>
  </si>
  <si>
    <t>Int. J. Circumpolar Health</t>
  </si>
  <si>
    <t>Public, Environmental &amp; Occupational Health</t>
  </si>
  <si>
    <t>Science Citation Index Expanded (SCI-EXPANDED); Social Science Citation Index (SSCI)</t>
  </si>
  <si>
    <t>EN7AF</t>
  </si>
  <si>
    <t>WOS:000396153800253</t>
  </si>
  <si>
    <t>Smith, LC; Coscia, MR</t>
  </si>
  <si>
    <t>Smith, L. C.; Coscia, M. R.</t>
  </si>
  <si>
    <t>Tuning the host-pathogen relationship through evolution with a special focus on the echinoid Sp185/333 system</t>
  </si>
  <si>
    <t>ISJ-INVERTEBRATE SURVIVAL JOURNAL</t>
  </si>
  <si>
    <t>Review</t>
  </si>
  <si>
    <t>Ig; TcR; VLR; DSCAM; FREPs; VCBP; TLR; Fu/HC; R genes; Sp185/333</t>
  </si>
  <si>
    <t>PURPLE SEA-URCHIN; FIBRINOGEN-RELATED PROTEINS; VARIABLE LYMPHOCYTE RECEPTORS; TELEOST TREMATOMUS-BERNACCHII; IMMUNE-RESPONSE GENES; CRISPR-CAS SYSTEMS; STRONGYLOCENTROTUS-PURPURATUS; DROSOPHILA-DSCAM; V(D)J RECOMBINATION; MOLECULAR DIVERSITY</t>
  </si>
  <si>
    <t>Diversification of immune genes in host organisms that are in deadly arms races with pathogens has resulted in a wide range of approaches by which the host survives. Well known examples of adaptive immunity in vertebrates include somatic recombination of the immunoglobulin gene family and assembly of the variable lymphocyte receptors. The CRISPR-Cas system in bacteria and archaea is also considered adaptive. For invertebrates that survive in the absence of adaptive immunity, innate immune diversity is accomplished based on functions of clusters of immune genes such as FREPs, VCBPs, C1qs, TLRs, and R genes. Single copy gene diversity can be accomplished through extensive alternative splicing or increases in alleles in populations. The Sp185/333 gene family in the purple sea urchin has multiple levels in which to generate immune diversity. These include clustered Sp185/333 genes, genomic instability in regions harboring the genes, predicted mRNA editing, expression of broad repertoires of Sp185/333 proteins, and post translational modifications. The Sp185/333 proteins have anti-pathogen activities and an individual recombinant protein can bind to multiple foreign cells and molecular patterns. The underlying characteristics of gene clusters, many with repeats, that are present in unstable genomic regions is common to a number of these examples, and is likely of central importance for organisms that survive solely on innate immunity.</t>
  </si>
  <si>
    <t>[Smith, L. C.] George Washington Univ, Dept Biol Sci, Washington, DC 20052 USA; [Coscia, M. R.] Natl Res Council Italy, Inst Prot Biochem, Naples, Italy</t>
  </si>
  <si>
    <t>George Washington University; Consiglio Nazionale delle Ricerche (CNR); Istituto di Biochimica delle Proteine (IBP-CNR)</t>
  </si>
  <si>
    <t>Smith, LC (corresponding author), Dept Biol Sci, Sci &amp; Engn Hall Suite 6000,800 22nd St NW, Washington, DC 20052 USA.</t>
  </si>
  <si>
    <t>csmith@gwu.edu</t>
  </si>
  <si>
    <t>Coscia, Maria Rosaria/AAU-1808-2021</t>
  </si>
  <si>
    <t>Smith, L Courtney/0000-0001-7099-7852</t>
  </si>
  <si>
    <t>Italian National Program for Antarctic Research (PNRA) [PEA2009/A1.12]; US National Science Foundation [IOS-1550474]; Direct For Biological Sciences; Division Of Integrative Organismal Systems [1146124] Funding Source: National Science Foundation</t>
  </si>
  <si>
    <t>Italian National Program for Antarctic Research (PNRA); US National Science Foundation(National Science Foundation (NSF)); Direct For Biological Sciences; Division Of Integrative Organismal Systems(National Science Foundation (NSF)NSF - Directorate for Biological Sciences (BIO)NSF - Division of Integrative Organismal Systems (IOS))</t>
  </si>
  <si>
    <t>This work was supported by funding from the Italian National Program for Antarctic Research (PNRA; PEA2009/A1.12) to MRC, and the US National Science Foundation (IOS-1550474) to LCS.</t>
  </si>
  <si>
    <t>INVERTEBRATE SURVIVAL JOURNAL</t>
  </si>
  <si>
    <t>MODENA</t>
  </si>
  <si>
    <t>C/O ENZO OTTAVIANI UNIV MODENA &amp; REGGIO EMILIA, DEPT BIOLOGIA ANIMALE, VIA CAMPI, 213-D, MODENA, 41100, ITALY</t>
  </si>
  <si>
    <t>1824-307X</t>
  </si>
  <si>
    <t>ISJ-INVERT SURVIV J</t>
  </si>
  <si>
    <t>ISJ-Invertebr. Surviv. J.</t>
  </si>
  <si>
    <t>Immunology; Zoology</t>
  </si>
  <si>
    <t>EP6WO</t>
  </si>
  <si>
    <t>WOS:000397519800007</t>
  </si>
  <si>
    <t>Xu, ZQ; Liu, XY; Shen, ZX</t>
  </si>
  <si>
    <t>Zhongsheng, W; Guiran, C; Huiyu, Z</t>
  </si>
  <si>
    <t>Xu, Zhiqiang; Liu, Xiangyong; Shen, Zhixin</t>
  </si>
  <si>
    <t>A Kind of Wave Passive Compensation Device's Rope Tension Research</t>
  </si>
  <si>
    <t>PROCEEDINGS OF THE 2016 6TH INTERNATIONAL CONFERENCE ON MECHATRONICS, COMPUTER AND EDUCATION INFORMATIONIZATION (MCEI 2016)</t>
  </si>
  <si>
    <t>Advances in Intelligent Systems Research</t>
  </si>
  <si>
    <t>6th International Conference on Mechatronics, Computer and Education Informationization (MCEI)</t>
  </si>
  <si>
    <t>NOV 11-13, 2016</t>
  </si>
  <si>
    <t>Shenyang, PEOPLES R CHINA</t>
  </si>
  <si>
    <t>Wave compensation; Rope tension; Mathematical model; Experimental evidence</t>
  </si>
  <si>
    <t>In the large water trawler system work process, trawlers are influenced by the marine environment, can produce large movement, which seriously affect the drag efficiency. This study is based on a wave passive compensation device, establish its mathematical model for the simulation analysis, design the test process, extract and analyze the test data. Finally compared with the theoretical analysis results and found that: Wire rope tension change in cycle according to displacement's cycle (caused by external disturbances), displacement has different trend with the rope tension. When the displacement amplitude is in less than 50 mm, rope tension keep stable; Suffered the effect of inertia force, the speeds of tension change in different stages. By the simulation analysis, the larger the gas pressure of accumulator in the equilibrium position, the greater the tension; The larger the accumulator's area, the smaller the tension.</t>
  </si>
  <si>
    <t>[Xu, Zhiqiang; Shen, Zhixin] Minist Agr, Key Lab Fishery Equipment &amp; Engn, Shanghai 200092, Peoples R China; [Xu, Zhiqiang; Shen, Zhixin] Chinese Acad Fishery Sci, Fishery Machinery &amp; Instrument Res Inst, Shanghai 20092, Peoples R China; [Liu, Xiangyong] Tongji Univ, Sch Machinery &amp; Energy Engn, Shanghai 201804, Peoples R China</t>
  </si>
  <si>
    <t>Ministry of Agriculture &amp; Rural Affairs; Chinese Academy of Fishery Sciences; Fishery Machinery &amp; Instrument Research Institute, CAFS; Tongji University</t>
  </si>
  <si>
    <t>Liu, XY (corresponding author), Tongji Univ, Sch Machinery &amp; Energy Engn, Shanghai 201804, Peoples R China.</t>
  </si>
  <si>
    <t>710885278@qq.com; tjlxy2016@163.coml; 794344849@qq.com</t>
  </si>
  <si>
    <t>Agriculture ministry's science and technology research project: the Antarctic krill trawl drag steel tension balance's control technology research [201203018]; Guangdong Marine economic innovation development demonstration area's special project [GD2013 -D01-001]</t>
  </si>
  <si>
    <t>Agriculture ministry's science and technology research project: the Antarctic krill trawl drag steel tension balance's control technology research; Guangdong Marine economic innovation development demonstration area's special project</t>
  </si>
  <si>
    <t>Agriculture ministry's science and technology research project: the Antarctic krill trawl drag steel tension balance's control technology research (201203018); Guangdong Marine economic innovation development demonstration area's special project (GD2013 -D01-001)</t>
  </si>
  <si>
    <t>ATLANTIS PRESS</t>
  </si>
  <si>
    <t>PARIS</t>
  </si>
  <si>
    <t>29 AVENUE LAVMIERE, PARIS, 75019, FRANCE</t>
  </si>
  <si>
    <t>1951-6851</t>
  </si>
  <si>
    <t>978-94-6252-282-4</t>
  </si>
  <si>
    <t>ADV INTEL SYS RES</t>
  </si>
  <si>
    <t>Computer Science, Theory &amp; Methods; Education, Scientific Disciplines; Engineering, Multidisciplinary</t>
  </si>
  <si>
    <t>Computer Science; Education &amp; Educational Research; Engineering</t>
  </si>
  <si>
    <t>BH2AY</t>
  </si>
  <si>
    <t>WOS:000398726300187</t>
  </si>
  <si>
    <t>Marczak, S; Fijalkowska, A; Osinska-Skotak, K</t>
  </si>
  <si>
    <t>SGEM</t>
  </si>
  <si>
    <t>Marczak, Sylwia; Fijalkowska, Anna; Osinska-Skotak, Katarzyna</t>
  </si>
  <si>
    <t>THE CONCEPT OF GEOGRAPHIC INFORMATION SYSTEM FOR KING GEORGE ISLAND</t>
  </si>
  <si>
    <t>INFORMATICS, GEOINFORMATICS AND REMOTE SENSING CONFERENCE PROCEEDINGS, SGEM 2016, VOL III</t>
  </si>
  <si>
    <t>International Multidisciplinary Scientific GeoConference-SGEM</t>
  </si>
  <si>
    <t>16th International Multidisciplinary Scientific Geoconference (SGEM 2016)</t>
  </si>
  <si>
    <t>JUN 30-JUL 06, 2016</t>
  </si>
  <si>
    <t>Albena, BULGARIA</t>
  </si>
  <si>
    <t>spatial data integration; King George Island; GIS technology; geodatabases; polar research</t>
  </si>
  <si>
    <t>King George Island is an extremely natural valuable area in which took place and still takes a lot of research expeditions. There is therefore a real need for efficient and effective management of this area, as well as the coordination of research carried out by scientists of many specialties while protecting the fragile ecosystem of the island. These conditions prompted the authors to create a concept of geographic information system for the island, which meets the above mentioned requirements. The article is an attempt to create the concept and prototype of geographic information system for King George Island (South Shetland Islands archipelago). The work was preceded by an inventory of available spatial data from different sources - field measurements, maps, archival and latest satellite data, aerial photos, orthophotomaps and digital terrain models. All data have been integrated, stored in a database and shared by a geoportal using ArcGIS for Server software. The basic spatial databases and feature classes to be included in the system have been identified. The proposed concept is the beginning of work on the construction of a fully functional geographic information system for King George Island, which will be developed according to the needs of users.</t>
  </si>
  <si>
    <t>[Marczak, Sylwia; Fijalkowska, Anna; Osinska-Skotak, Katarzyna] Warsaw Univ Technol, Fac Geodesy &amp; Cartog, Warsaw, Poland</t>
  </si>
  <si>
    <t>Warsaw University of Technology</t>
  </si>
  <si>
    <t>Marczak, S (corresponding author), Warsaw Univ Technol, Fac Geodesy &amp; Cartog, Warsaw, Poland.</t>
  </si>
  <si>
    <t>Fijałkowska, Anna/AAI-1577-2021; Osinska-Skotak, Katarzyna/D-5195-2019</t>
  </si>
  <si>
    <t>Fijałkowska, Anna/0000-0002-0567-9863; Osinska-Skotak, Katarzyna/0000-0003-2602-4281</t>
  </si>
  <si>
    <t>Faculty of Geodesy and Cartography of the Warsaw University of Technology, within the Dean's grant KGIS.PL</t>
  </si>
  <si>
    <t>The works were financed from the statutory funds of the Faculty of Geodesy and Cartography of the Warsaw University of Technology, within the Dean's grant KGIS.PL the idea of the King George Island Geographic Information System (South Shetland Islands, Sea Antarctic), the Project Manager: Pawel Bylina.</t>
  </si>
  <si>
    <t>STEF92 TECHNOLOGY LTD</t>
  </si>
  <si>
    <t>SOFIA</t>
  </si>
  <si>
    <t>1 ANDREY LYAPCHEV BLVD, SOFIA, 1797, BULGARIA</t>
  </si>
  <si>
    <t>1314-2704</t>
  </si>
  <si>
    <t>978-619-7105-60-5</t>
  </si>
  <si>
    <t>INT MULTI SCI GEOCO</t>
  </si>
  <si>
    <t>BH0LP</t>
  </si>
  <si>
    <t>WOS:000395499600063</t>
  </si>
  <si>
    <t>Zamorshchikova, V</t>
  </si>
  <si>
    <t>Zamorshchikova, V.</t>
  </si>
  <si>
    <t>MINING AND INDIGENOUS COMMUNITIES: CSR PRACTICES OF MINING COMPANIES</t>
  </si>
  <si>
    <t>16TH INTERNATIONAL MULTIDISCIPLINARY SCIENTIFIC GEOCONFERENCE, SGEM 2016: SCIENCE AND TECHNOLOGIES IN GEOLOGY, EXPLORATION AND MINING, VOL II</t>
  </si>
  <si>
    <t>extractive industries; corporate social responsibility; indigenous communities; environmental and human impact.</t>
  </si>
  <si>
    <t>CORPORATE SOCIAL-RESPONSIBILITY; MINERALS</t>
  </si>
  <si>
    <t>Companies in extractive industries have been moving towards implementation of corporate social responsibility (CSR) principles and practices in response to a variety of pressures. Since mining is an industry prone to cause serious environmental harm and human impact, the adoption of CSR practices in an effective and convincing manner is a major challenge for mining companies. The latter need to think beyond extraction, to be good corporate citizens, and respond to their multiple stakeholders' demands. Indigenous communities are one of the many stakeholders who have an interest or control over the resource projects. The companies involved in controversial sectors particularly in the extractive industries have to deal with their demands to ensure the success of the project or activity. These groups of stakeholders are the most directly and adversely affected by mining activities. The inability of an effective engagement of indigenous people as stakeholders can create major risks for organizations. If local indigenous communities consider a project as undesirable in the region, the company will face a longer development process and perhaps even find it impossible to operate in a hostile environment. This paper examines CSR practices within a context of the mining industry, a sector particularly exposed to controversies and stakeholder management dilemmas faced by business managers. It investigates strategies of indigenous communities involvement of major mining giants operating in North America.</t>
  </si>
  <si>
    <t>[Zamorshchikova, V.] Univ Quebec, Montreal, PQ, Canada; [Zamorshchikova, V.] MK Ammosov North Eastern Fed Univ, Yakutsk, Russia</t>
  </si>
  <si>
    <t>University of Quebec; University of Quebec Montreal; North-Eastern Federal University in Yakutsk</t>
  </si>
  <si>
    <t>Zamorshchikova, V (corresponding author), Univ Quebec, Montreal, PQ, Canada.;Zamorshchikova, V (corresponding author), MK Ammosov North Eastern Fed Univ, Yakutsk, Russia.</t>
  </si>
  <si>
    <t>7th framework Programme Marie Curie Actions People IRSES POLARIS Cultural and Natural Heritage in Arctic and Sub-Antarctic Regions for a Cross-Cultural and Sustainable Valorisation Process and Tourism Development: Siberia, Lapland and Patagonia</t>
  </si>
  <si>
    <t>This research is supported by the 7th framework Programme Marie Curie Actions People IRSES POLARIS Cultural and Natural Heritage in Arctic and Sub-Antarctic Regions for a Cross-Cultural and Sustainable Valorisation Process and Tourism Development: Siberia, Lapland and Patagonia. We thank Dr. Jan Borm for assistance and Dr. Roman Nogovitsyn for research supervision.</t>
  </si>
  <si>
    <t>978-619-7105-56-8</t>
  </si>
  <si>
    <t>Geology; Geosciences, Multidisciplinary</t>
  </si>
  <si>
    <t>BH0LQ</t>
  </si>
  <si>
    <t>WOS:000395499700077</t>
  </si>
  <si>
    <t>Alonso-Arroyo, A; Zavorotny, VU; Camps, A</t>
  </si>
  <si>
    <t>Alonso-Arroyo, A.; Zavorotny, V. U.; Camps, A.</t>
  </si>
  <si>
    <t>SEA ICE DETECTION USING GNSS-R DATA FROM UK TDS-1</t>
  </si>
  <si>
    <t>2016 IEEE INTERNATIONAL GEOSCIENCE AND REMOTE SENSING SYMPOSIUM (IGARSS)</t>
  </si>
  <si>
    <t>IEEE International Symposium on Geoscience and Remote Sensing IGARSS</t>
  </si>
  <si>
    <t>36th IEEE International Geoscience and Remote Sensing Symposium (IGARSS)</t>
  </si>
  <si>
    <t>JUL 10-15, 2016</t>
  </si>
  <si>
    <t>Beijing, PEOPLES R CHINA</t>
  </si>
  <si>
    <t>Sea Ice; GNSS-R; UK TDS-1; coherent reflection; incoherent scattering</t>
  </si>
  <si>
    <t>GPS SIGNALS; RADAR ALTIMETER; SCATTERING; OCEAN; SURFACE</t>
  </si>
  <si>
    <t>This work demonstrates a methodology to detect sea ice presence over the Arctic and Antarctic regions using Global Navigation Satellite Systems (GNSS)-Reflectometry (GNSSR) data obtained with the UK TDS-1 satellite. The algorithm is based on estimating the degree of coherence of the received GNSS reflected waveform or Delay-Doppler Map (DDM). While at open ocean conditions, the scattered signal follows the diffuse scattering model, over flat sea ice it follows the coherent scattering model. In order to measure the degree of coherence of the received waveform or DDM, a correlation with the clean Woodward Ambiguity Function (WAF) is performed. The more similar the received signal is to the WAF, the more coherent is the scattering, and consequently, the more likely a flat sea ice surface is involved. In order to assess the performance of the proposed estimator a probabilistic study based on a Bayesian approach is performed, using the OSISAF Sea Ice Concentration (SIC) maps as ground truth. A probability of detection of 97%, a probability of false alarm of 2%, and a probability of error of 2.5% are the best results obtained for the Arctic region.</t>
  </si>
  <si>
    <t>[Alonso-Arroyo, A.; Zavorotny, V. U.] NOAA, Earth Syst Res Lab, Boulder, CO 80305 USA; [Alonso-Arroyo, A.; Camps, A.] Univ Politecn Cataluna, BarcelonaTech, E-08028 Barcelona, Spain; [Alonso-Arroyo, A.; Camps, A.] UPC, CTE, IEEC, Barcelona, Spain</t>
  </si>
  <si>
    <t>National Oceanic Atmospheric Admin (NOAA) - USA; Universitat Politecnica de Catalunya; Universitat Politecnica de Catalunya; University of Barcelona; Institut d'Estudis Espacials de Catalunya (IEEC)</t>
  </si>
  <si>
    <t>Alonso-Arroyo, A (corresponding author), NOAA, Earth Syst Res Lab, Boulder, CO 80305 USA.;Alonso-Arroyo, A (corresponding author), Univ Politecn Cataluna, BarcelonaTech, E-08028 Barcelona, Spain.;Alonso-Arroyo, A (corresponding author), UPC, CTE, IEEC, Barcelona, Spain.</t>
  </si>
  <si>
    <t>Camps, Adriano/D-2592-2011</t>
  </si>
  <si>
    <t>Camps, Adriano/0000-0002-9514-4992; Zavorotny, Valery/0000-0002-9113-683X</t>
  </si>
  <si>
    <t>Spanish Ministerio de Economia y Competitividad [ESP2015-70014-C2-1-R]; Fulbright Commission in Spain through a Fulbright grant</t>
  </si>
  <si>
    <t>Spanish Ministerio de Economia y Competitividad(Spanish Government); Fulbright Commission in Spain through a Fulbright grant</t>
  </si>
  <si>
    <t>This work has been sponsored partly by the the project AGORA: Tecnicas Avanzadas en Teledeteccion Aplicada Usando Senales GNSS y Otras Senales de Oportunidad of the Spanish Ministerio de Economia y Competitividad, Grant No ESP2015-70014-C2-1-R (MINECO/FEDER).; Alberto Alonso Arroyo would like to thank the financial support provided by the Fulbright Commission in Spain through a Fulbright grant.</t>
  </si>
  <si>
    <t>2153-6996</t>
  </si>
  <si>
    <t>978-1-5090-3332-4</t>
  </si>
  <si>
    <t>INT GEOSCI REMOTE SE</t>
  </si>
  <si>
    <t>10.1109/IGARSS.2016.7729516</t>
  </si>
  <si>
    <t>Engineering, Electrical &amp; Electronic; Geosciences, Multidisciplinary; Remote Sensing</t>
  </si>
  <si>
    <t>Engineering; Geology; Remote Sensing</t>
  </si>
  <si>
    <t>BG3QG</t>
  </si>
  <si>
    <t>WOS:000388114602029</t>
  </si>
  <si>
    <t>Jiang, GM; Wang, ZY</t>
  </si>
  <si>
    <t>Jiang, Geng-Ming; Wang, Zhongyi</t>
  </si>
  <si>
    <t>INTERCALIBRATION OF IRAS/FY-3B INFRARED CHANNELS WITH IASI/METOP-A 1C DATA</t>
  </si>
  <si>
    <t>Intercalibration; IRAS/FY-3B; IASI/Metop-A; infrared channels</t>
  </si>
  <si>
    <t>CALIBRATION</t>
  </si>
  <si>
    <t>This paper presents the intercalibration of the infrared channels 1 similar to 19 of Infrared Atmospheric Sounder (IRAS) on FengYun 3B (FY-3B) against the hyperspectral channels of Infrared Atmospheric Sounding Interferometer (IASI) aboard Metop-A. Matching measurements were collected over the Arctic and Antarctic study areas with collocation, absolute observing time difference less than 20 minutes (vertical bar Delta time vertical bar&lt;20'vertical bar, and vertical bar cos theta(1)/cos theta(2)-1| less than 0.02, where theta(1) and theta(2) are, respectively, IRAS/FY-3B and IASI/Metop-A viewing zenith angles. The results show that IRAS/FY-3B measurements in channels 1 similar to 12, and 15 are linearly related to the corresponding convolved IASI/Metop-A measurements, and no obvious impact of direct solar illumination on measurements are observed. IRAS/FY-3B measurements in channels 13, 14 and 16 similar to 18 are strongly affected by solar illumination: the matching measurements with/without solar illumination are distributed around two different lines. Moreover, IRAS/FY-3B measurements in channels 18 and 19 present obvious nonlinear relation with the convolved IASI/Metop-A measurements. Intercalibration coefficients were obtained through linear/nonlinear regression on the matching measurements, and then IRAS/FY-3B data were re-calibrated.</t>
  </si>
  <si>
    <t>[Jiang, Geng-Ming; Wang, Zhongyi] Fudan Univ, Minist Educ, Key Lab Informat Sci Electromagnet Waves, Shanghai 200433, Peoples R China</t>
  </si>
  <si>
    <t>Fudan University</t>
  </si>
  <si>
    <t>Jiang, GM (corresponding author), Fudan Univ, Minist Educ, Key Lab Informat Sci Electromagnet Waves, Shanghai 200433, Peoples R China.</t>
  </si>
  <si>
    <t>jianggm@fudan.edu.cn</t>
  </si>
  <si>
    <t>National Natural Science Foundation of China [41271012, 61331020]</t>
  </si>
  <si>
    <t>National Natural Science Foundation of China(National Natural Science Foundation of China (NSFC))</t>
  </si>
  <si>
    <t>This work was funded by the National Natural Science Foundation of China (grant no. 41271012 and 61331020).</t>
  </si>
  <si>
    <t>10.1109/IGARSS.2016.7729757</t>
  </si>
  <si>
    <t>WOS:000388114602251</t>
  </si>
  <si>
    <t>Li, RX; Tian, YX; Feng, TT; Xie, H; Xu, Y; Xiao, HF; Weng, HX; Lv, D; Tong, XH</t>
  </si>
  <si>
    <t>Li, Rongxing; Tian, Yixiang; Feng, Tiantian; Xie, Huan; Xu, Yang; Xiao, Haifeng; Weng, Hexia; Lv, Da; Tong, Xiaohua</t>
  </si>
  <si>
    <t>QUALITY ASSESSMENT OF EXISTING ANTARCTIC REMOTE SENSING PRODUCTS</t>
  </si>
  <si>
    <t>Grounding line; Coastline; DEM; Quality assessment</t>
  </si>
  <si>
    <t>DIGITAL ELEVATION MODEL; ICE-SHEET; IMAGERY</t>
  </si>
  <si>
    <t>There are a variety of remote sensing products of Antarctica that cover different time periods and published by different research groups. The resolution and accuracy for these products are quite different due to original data sources, extraction methods, etc. The aim of this research is to assess the quality and investigate changes that can be detected in three main categories of Antarctic remote sensing products including groundling lines, coastlines and surface elevation models (DEM). All the products are available at National Snow and Ice Data Center (NSIDC). In order to identify changes and uncertainties of these products, cross-validation strategies are developed for the quality assessment when there is a lack of ground truth data. The quality assessment results for each remote sensing product are presented in the paper.</t>
  </si>
  <si>
    <t>[Li, Rongxing; Tian, Yixiang; Feng, Tiantian; Xie, Huan; Xu, Yang; Xiao, Haifeng; Weng, Hexia; Lv, Da; Tong, Xiaohua] Tongji Univ, Ctr Spatial Informat Sci &amp; Sustainable Dev Applic, Shanghai 200092, Peoples R China; [Li, Rongxing; Tian, Yixiang; Feng, Tiantian; Xie, Huan; Xu, Yang; Xiao, Haifeng; Weng, Hexia; Lv, Da; Tong, Xiaohua] Tongji Univ, Coll Survey &amp; Geoinformat, Shanghai 200092, Peoples R China</t>
  </si>
  <si>
    <t>Tongji University; Tongji University</t>
  </si>
  <si>
    <t>Li, RX (corresponding author), Tongji Univ, Ctr Spatial Informat Sci &amp; Sustainable Dev Applic, Shanghai 200092, Peoples R China.;Li, RX (corresponding author), Tongji Univ, Coll Survey &amp; Geoinformat, Shanghai 200092, Peoples R China.</t>
  </si>
  <si>
    <t>xie, huan/GQQ-4398-2022</t>
  </si>
  <si>
    <t>10.1109/IGARSS.2016.7729900</t>
  </si>
  <si>
    <t>WOS:000388114603126</t>
  </si>
  <si>
    <t>Dang, XY; Wu, YM; Fan, W; Zhang, SM</t>
  </si>
  <si>
    <t>Dang, Xiaoyan; Wu, Yumei; Fan, Wei; Zhang, Shengmao</t>
  </si>
  <si>
    <t>Discussion on Sea Ice Segmentation of High Resolution Radar Data</t>
  </si>
  <si>
    <t>SAR; high resolution; sea ice segmentation; Otsu method; k-mean method</t>
  </si>
  <si>
    <t>The analysis of high resolution (6m) radar data was carried out on the Antarctic sea ice segmentation. This paper presented two methods for Synthetic Aperture Radar (SAR) sea ice image segmentation: k-means clustering method and threshold value method (binary). First, the speckle noise in SAR image was filtered and segmented by two methods. Then the results were compared. It was found that both methods could distinguish the crack and small ice, and these two sea ice distribution results were almost similar. The difference between two methods was: image of threshold value method contained disordered spots and isolated small ice, while k-mean method outcome had clear segmentation boundary and ensured completely segmentation region. So the result from the k-mean clustering method was better. In order to reflect the advantage of high resolution image, the image processed by k-mean clustering method was contrast with Antarctic sea ice concentration data, which was received from Advanced Microwave Scanning Radiometer 2. It is fully proved that the high resolution radar data can provide the location and the size of sea ice distribution more clearly and more accurately.</t>
  </si>
  <si>
    <t>[Dang, Xiaoyan; Wu, Yumei; Fan, Wei; Zhang, Shengmao] Chinese Acad Fishery Sci, East China Sea Fisheries Res Inst, Key Lab East China Sea &amp; Ocean Fishery Resources, Minist Agr PR China, Shanghai 200090, Peoples R China; [Dang, Xiaoyan] Shanghai Ocean Univ, Coll Marine Sci, Shanghai 201306, Peoples R China</t>
  </si>
  <si>
    <t>Chinese Academy of Fishery Sciences; East China Sea Fisheries Research Institute, CAFS; Ministry of Agriculture &amp; Rural Affairs; Shanghai Ocean University</t>
  </si>
  <si>
    <t>Zhang, SM (corresponding author), Chinese Acad Fishery Sci, East China Sea Fisheries Res Inst, Key Lab East China Sea &amp; Ocean Fishery Resources, Minist Agr PR China, Shanghai 200090, Peoples R China.</t>
  </si>
  <si>
    <t>ryshengmao@126.com</t>
  </si>
  <si>
    <t>zhang, shengmao/A-3630-2011</t>
  </si>
  <si>
    <t>Public Service Sectors (Agriculture) Special Research [201203018]; Antarctic Marine Living Resources Special Development; National Science-technology Support Plan Projects [2013BAD13B01]</t>
  </si>
  <si>
    <t>Public Service Sectors (Agriculture) Special Research; Antarctic Marine Living Resources Special Development; National Science-technology Support Plan Projects</t>
  </si>
  <si>
    <t>The work is funded by Public Service Sectors (Agriculture) Special Research (201203018), Antarctic Marine Living Resources Special Development (2010-2016), and National Science-technology Support Plan Projects (2013BAD13B01).</t>
  </si>
  <si>
    <t>10.1109/IGARSS.2016.7730268</t>
  </si>
  <si>
    <t>WOS:000388114604205</t>
  </si>
  <si>
    <t>Xu, L; Zhao, X; Pang, XP; Stein, A; Ji, Q</t>
  </si>
  <si>
    <t>Xu, Lei; Zhao, Xi; Pang, Xiaoping; Stein, Alfred; Ji, Qing</t>
  </si>
  <si>
    <t>SENSITIVITY ANALYSIS OF THE LONG-TERM TREND IN ANTARCTIC SEA ICE EXTENT</t>
  </si>
  <si>
    <t>[Xu, Lei] Wuhan Univ, Sch Resource &amp; Environm Sci, Wuhan 430079, Peoples R China; [Zhao, Xi; Pang, Xiaoping; Ji, Qing] Wuhan Univ, Chinese Antarctic Ctr Surveying &amp; Mapping, Wuhan 430079, Peoples R China; [Stein, Alfred] Univ Twente, Fac Geoinformat Sci &amp; Earth Observat, NL-7500 AE Enschede, Netherlands</t>
  </si>
  <si>
    <t>Wuhan University; Wuhan University; University of Twente</t>
  </si>
  <si>
    <t>Zhao, X (corresponding author), Wuhan Univ, Chinese Antarctic Ctr Surveying &amp; Mapping, Wuhan 430079, Peoples R China.</t>
  </si>
  <si>
    <t>xi.zhao@whu.edu.cn</t>
  </si>
  <si>
    <t>zhao, xi/HJY-6017-2023</t>
  </si>
  <si>
    <t>National Natural Science Foundation of China [41301463, 41576188]</t>
  </si>
  <si>
    <t>This work was partially supported by the National Natural Science Foundation of China (grant No. 41301463 and 41576188).</t>
  </si>
  <si>
    <t>10.1109/IGARSS.2016.7730270</t>
  </si>
  <si>
    <t>WOS:000388114604207</t>
  </si>
  <si>
    <t>King, K; Nelson, C; Overton, A; Jefferson, M; Hayden, L</t>
  </si>
  <si>
    <t>King, Kamberlin; Nelson, Charlie; Overton, Ayanna; Jefferson, Michael; Hayden, Linda</t>
  </si>
  <si>
    <t>Validation of the Antarctic Snow Accumulation and Ice Discharge Basal Stress Boundary of the Southeastern Region of the Ross Ice Shelf, Antarctica</t>
  </si>
  <si>
    <t>Ice Shelf; Antarctica; ENVI; GloVis; Landsat; Antarctic Snow Accumulation and Ice Discharge (ABSB); natural basal stress boundary (NBSB)</t>
  </si>
  <si>
    <t>The largest ice shelf in Antarctic, Ross Ice Shelf, was investigated over the years of 1988-2014. Near the basal stress boundary between the ice shelf and the West Antarctic ice sheet, ice velocity ranges from a few meters per year to several hundred meters per year in ice streams. Ice velocity increases as the ice moves seaward, reaching more than 1 km yr-1 in the central portions of the ice front. Most of the drainage from West Antarctica into the Ross Ice Shelf flows down two major ice streams, each of which discharges more than 20 km3 of ice each year. Along with velocity changes the warmest water below parts of the Ross Ice Shelf resides in the lowest portion of the water column because of its high salinity. Vertical mixing caused by tidal stirring can thus induce ablation by lifting the warm water into contact with the ice shelf. This process can cause melting over a period of time and eventually cause breakup of ice shelf. With changes occurring over many years a validation is needed for the Antarctic Snow Accumulation and Ice Discharge (ASAID) basal stress boundary created in 2003. After the 2002 Larsen B Ice Shelf disintegration, nearby glaciers in the Antarctic Peninsula accelerated up to eight times their original speed over the next 18 months. Similar losses of ice tongues in Greenland have caused speed-ups of two to three times the flow rate in just one year. Rapid changes occurring in regions surrounding Antarctica are causing concern in the polar science community to research changes occurring in coastal zones over time. During the research, the team completed study on the Ross Ice Shelf located on the southwestern coast of the Antarctic. The study included a validation of the ABSB vs. the natural basal stress boundary (NBSB) along the Ross Ice Shelf. The ASAID BSB was created in 2003 by a team of researchers headed by National Aeronautics and Space Administration Goddard Space Flight Center (NASA GSFC), with an aim of studying coastal deviations as it pertains to the mass balance of the entire continent. The point data file was aimed at creating a replica of the natural BSB. Select cloud free Landsat satellite imagery from satellites 1 through 7 was used to detect changes occurring over the span of 19 years. The last major interest in the study included documenting the deviations or incorrect placements of the ABSB vs NBSB. ENVI 4.7 as well as ENVI 5.0 image manipulation software was used in the geo-rectifying and the geo-referencing process. Changes that occurred were documented in the form of a data table with the change that occurred along with the latitude and longitude geographic coordinates.</t>
  </si>
  <si>
    <t>[King, Kamberlin] Mississippi Valley State Univ, Antarctic Remote Sensing Res Team, Itta Bena, MS USA; [Nelson, Charlie] Kentucky State Univ, Antarctic Remote Sensing Res Team, Frankfort, KY USA; [Overton, Ayanna] North Carolina A&amp;T State Univ, Antarctic Remote Sensing Res Team, Greensboro, NC USA; [Jefferson, Michael] Elizabeth City State Univ, Antarctic Remote Sensing Res Team, Elizabeth City, NC USA; [Hayden, Linda] Elizabeth City Univ, 1704 Weeksville Rd,Box 672, Elizabeth City, NC 27909 USA</t>
  </si>
  <si>
    <t>Mississippi Valley State University; Kentucky State University; University of North Carolina; North Carolina A&amp;T State University; University of North Carolina; Elizabeth City State University; University of North Carolina; Elizabeth City State University</t>
  </si>
  <si>
    <t>King, K (corresponding author), Mississippi Valley State Univ, Antarctic Remote Sensing Res Team, Itta Bena, MS USA.</t>
  </si>
  <si>
    <t>kamberlin20@gmail.com; c.bridgesnelson@gmail.com; ayannaov@aol.com; michaeljeffersonjr@gmail.com</t>
  </si>
  <si>
    <t>10.1109/IGARSS.2016.7730278</t>
  </si>
  <si>
    <t>WOS:000388114604215</t>
  </si>
  <si>
    <t>Hashim, M; Misbari, S; Reba, NM; Abdul-Wahab, MF; Pour, AB; Said, MFM; Omar, AH; Soeed, K</t>
  </si>
  <si>
    <t>Hashim, Mazlan; Misbari, Syarifuddin; Reba, Nadzri Mohd; Abdul-Wahab, M. F.; Pour, Amin Beirvand; Said, M. F. M.; Omar, A. H.; Soeed, K.</t>
  </si>
  <si>
    <t>MAPPING SNOW-ALGAE IN ANTARCTIC PENINSULA WITH MULTI-TEMPORAL SATELLITE REMOTE SENSING DATA</t>
  </si>
  <si>
    <t>Snow-vegetation; Thematic Mapper; OLI; multi-temporal; Antarctica Peninsula; snow algae; climate change</t>
  </si>
  <si>
    <t>This article reports on the use of selected spectral image transform technique for detecting and mapping of snow algae growth using multi-temporal Landsat Thematic Mapper (TM), archived from early 80' s to the recent Landsat-8 Operational Land Imager (OLI) acquired in March 2015. Insitu spectral radiometry samples during UTM-Antarctica summer 2015 expedition were used in air-to-ground correlation of the corresponding satellite data sets, later yield to retrieve snow algae occurrences in 2009-2015 summer. Multi-temporal analysis of the snow-vegetation growth extents extracted was then compared to against the climate-change effects of the corresponding area in Antarctic Peninsula. Hence, the indicator for snow-vegetation growth as effects of the climate-change could be inferred. Results indicated good agreement (Pearson's coefficient r=0.85, p&lt;0.01) between snow-vegetation growth extent with the temperature changes measured in the corresponding area. Recent in-situ verification of the selected sites in the region confirmed the agreements.</t>
  </si>
  <si>
    <t>[Hashim, Mazlan; Reba, Nadzri Mohd; Pour, Amin Beirvand] UTM, Res Inst Sustainable Environm, Geosci &amp; Digital Earth Ctr INSTeG, Utm Johor Bahru 81310, Malaysia; [Hashim, Mazlan; Misbari, Syarifuddin; Reba, Nadzri Mohd] UTM, Fac Geoinformat &amp; Real Estate, Utm Johor Bahru 81310, Malaysia; [Abdul-Wahab, M. F.] UTM, Fac Biosci &amp; Med Engn, Utm Johor Bahru 81310, Malaysia; [Said, M. F. M.] UTM, Fac Mech Engn, Automot Dev Ctr, Utm Johor Bahru 81310, Malaysia; [Omar, A. H.; Soeed, K.] UTM, Fac Biosci &amp; Med Engn, Sports Innovat &amp; Technol Ctr, Utm Johor Bahru 81310, Malaysia</t>
  </si>
  <si>
    <t>Universiti Teknologi Malaysia; Universiti Teknologi Malaysia; Universiti Teknologi Malaysia; Universiti Teknologi Malaysia; Universiti Teknologi Malaysia</t>
  </si>
  <si>
    <t>Hashim, M (corresponding author), UTM, Res Inst Sustainable Environm, Geosci &amp; Digital Earth Ctr INSTeG, Utm Johor Bahru 81310, Malaysia.;Hashim, M (corresponding author), UTM, Fac Geoinformat &amp; Real Estate, Utm Johor Bahru 81310, Malaysia.</t>
  </si>
  <si>
    <t>mazlanhashim@utm.my</t>
  </si>
  <si>
    <t>Misbari, Syarifuddin/AAK-8859-2021; Abdul-Wahab, Mohd Firdaus/P-3934-2019; Abdul-Wahab, Mohd Firdaus/J-8345-2012; Beiranvand Pour, Amin/E-1723-2013; Hashim, Mazlan/J-7291-2012; Md Reba, Mohd Nadzri/J-9687-2013</t>
  </si>
  <si>
    <t>Abdul-Wahab, Mohd Firdaus/0000-0002-4023-0762; Beiranvand Pour, Amin/0000-0001-8783-5120; Hashim, Mazlan/0000-0001-8284-3332; Misbari, Syarifuddin/0000-0001-8351-2631; Md Reba, Mohd Nadzri/0000-0002-3896-6797</t>
  </si>
  <si>
    <t>Universiti Teknologi Malaysia GUP grant</t>
  </si>
  <si>
    <t>We acknowledged Universiti Teknologi Malaysia GUP grant to enable this study. Supports from various bodies and agencies who have contributed to UTM-Antarctica expedition are also highly acknowledged, particularly Malaysia Antarctica Research Centre (MARC) and members.</t>
  </si>
  <si>
    <t>10.1109/IGARSS.2016.7730360</t>
  </si>
  <si>
    <t>WOS:000388114605036</t>
  </si>
  <si>
    <t>Dall, J</t>
  </si>
  <si>
    <t>Dall, Jorgen</t>
  </si>
  <si>
    <t>A BACKSCATTERING AND PROPAGATION MODEL FOR RADAR SOUNDING OF ICE SHEETS</t>
  </si>
  <si>
    <t>Radar; sounding; electromagnetic model; P-band; ice sheets; Antarctica</t>
  </si>
  <si>
    <t>In this paper the electromagnetic properties of the continental ice sheets are modeled with the aim of assessing the feasibility of space-based radar ice sounding at P-band. The paper focuses on the model itself, as distinct from the estimation of model parameters and the exploitation of the model. The scattering and propagation properties of the ice sheets are characterized using an empirical approach. The model comprises surface scattering from the air/ice interface and the ice/bed interface as well as volume scattering from the firn and the ice. Also specular reflection from the internal layers is modeled. In combination with simple models of the ice sounding radar and the geometry, the electromagnetic model estimates the return waveform and its constituents, such that sensitivity and clutter masking issues can be assessed.</t>
  </si>
  <si>
    <t>[Dall, Jorgen] Tech Univ Denmark, Lyngby, Denmark</t>
  </si>
  <si>
    <t>Technical University of Denmark</t>
  </si>
  <si>
    <t>Dall, J (corresponding author), Tech Univ Denmark, Lyngby, Denmark.</t>
  </si>
  <si>
    <t>jd@space.dtu.dk</t>
  </si>
  <si>
    <t>Dall, Jorgen/E-8947-2018</t>
  </si>
  <si>
    <t>Dall, Jorgen/0000-0002-3873-1074</t>
  </si>
  <si>
    <t>ESA</t>
  </si>
  <si>
    <t>ESA(European Space Agency)</t>
  </si>
  <si>
    <t>The backscattering and propagation model was developed as part of ESA-funded studies. The acquisition of POLARIS data in Antarctica was also funded by ESA as an addition to the IceGrav campaign - an airborne geophysics project lead by DTU in cooperation with the University of Texas, the Norwegian Polar Institute, the University of Bergen, Instituto Antarctico (Argentina), and the British Antarctic Survey.</t>
  </si>
  <si>
    <t>10.1109/IGARSS.2016.7730849</t>
  </si>
  <si>
    <t>WOS:000388114606224</t>
  </si>
  <si>
    <t>Lang, SN; Wu, Q; Liu, XJ; Zhao, B; Chen, XW</t>
  </si>
  <si>
    <t>Lang, Shinan; Wu, Qiang; Liu, Xiaojun; Zhao, Bo; Chen, Xiuwei</t>
  </si>
  <si>
    <t>Real-time SAR Processing of Ice-Sounding Data Integrated with Mitigation of RFI Signals</t>
  </si>
  <si>
    <t>Real-time imaging of ice-sounding data; radio-frequency interference (RFI); adaptive line enhancer (ALE); RFI mitigation; modified Planar Subarray Processing (PSAP) algorithm based on inverse scaled Fourier transform (ISFT)</t>
  </si>
  <si>
    <t>SUPPRESSION; INTERFERENCE; SHEET</t>
  </si>
  <si>
    <t>In this paper, we propose an approach to integrate the radio-frequency interference (RFI) mitigation technique into a real-time synthetic aperture radar (SAR) imaging algorithm applied to very high frequency (VHF) ice-sounding data that produces swath measurements of ice sheet surface topography, ice thickness, and radar reflectivity of both Internal Reflecting Horizons (IRHs) and bedrock of the ice sheet. According to the proposal, the RFI suppression method-an adaptive line enhancer (ALE) controlled by the normalized least mean square (NLMS), is incorporated into the real-time imaging algorithm named modified Planar Subarray Processing (PSAP) algorithm based on inverse scaled Fourier transform (ISFT). The approach is tested successfully on real data recorded over Chinese Kunlun Station during the 29(th) Chinese Antarctic Research Expedition (CHINARE 29). The experimental result indicates that the narrowband RFI could be subtracted from the desired chirp signal return during the imaging processing, and the computational efficiency of the imaging processing is preserved.</t>
  </si>
  <si>
    <t>[Lang, Shinan; Wu, Qiang] Beijing Univ Technol, Coll Elect Informat &amp; Control Engn, Beijing 100124, Peoples R China; [Liu, Xiaojun; Zhao, Bo; Chen, Xiuwei] Chinese Acad Sci, Key Lab Electromagnet Radiat &amp; Sensing Technol, Beijing 100190, Peoples R China</t>
  </si>
  <si>
    <t>Beijing University of Technology; Chinese Academy of Sciences</t>
  </si>
  <si>
    <t>Lang, SN (corresponding author), Beijing Univ Technol, Coll Elect Informat &amp; Control Engn, Beijing 100124, Peoples R China.</t>
  </si>
  <si>
    <t>langshinan@gmail.com; wuqiang@bjut.edu.cn</t>
  </si>
  <si>
    <t>Chen, Xiuwei/AAH-6695-2021; bo, zhao/JRY-8300-2023</t>
  </si>
  <si>
    <t>10.1109/IGARSS.2016.7730851</t>
  </si>
  <si>
    <t>WOS:000388114606226</t>
  </si>
  <si>
    <t>Yi, DH; Kurtz, N; Harbeck, J; Manizade, S; Hofton, M; Cornejo, HG; Zwally, HJ; Robbins, J</t>
  </si>
  <si>
    <t>Yi, Donghui; Kurtz, Nathan; Harbeck, Jeremy; Manizade, Serdar; Hofton, Michelle; Cornejo, Helen G.; Zwally, H. Jay; Robbins, John</t>
  </si>
  <si>
    <t>ANTARCTIC SEA-ICE FREEBOARD AND ESTIMATED THICKNESS FROM NASA'S ICESAT AND ICEBRIDGE OBSERVATIONS</t>
  </si>
  <si>
    <t>[Yi, Donghui; Cornejo, Helen G.] NASA, Goddard Space Flight Ctr, SGT Inc, Cryospher Sci Lab, Code 615, Greenbelt, MD 20771 USA; [Kurtz, Nathan; Zwally, H. Jay] NASA, Goddard Space Flight Ctr, Cryospher Sci Lab, Code 615, Greenbelt, MD 20771 USA; [Harbeck, Jeremy] NASA, Goddard Space Flight Ctr, ADNET Syst Inc, Cryospher Sci Lab, Code 615, Greenbelt, MD 20771 USA; [Manizade, Serdar] NASA, WFF, URS Corp, Cryospher Sci Lab, Code 615, Wallops Isl, VA 23337 USA; [Hofton, Michelle] Univ Maryland, Dept Geog Sci, College Pk, MD 20742 USA; [Zwally, H. Jay] Univ Maryland, ESSIC, College Pk, MD 20742 USA; [Robbins, John] NASA, Goddard Space Flight Ctr, Craig Technol, Cryospher Sci Lab, Code 615, Greenbelt, MD 20771 USA</t>
  </si>
  <si>
    <t>National Aeronautics &amp; Space Administration (NASA); NASA Goddard Space Flight Center; Stinger Ghaffarian Technologies, Inc. (SGT); National Aeronautics &amp; Space Administration (NASA); NASA Goddard Space Flight Center; National Aeronautics &amp; Space Administration (NASA); NASA Goddard Space Flight Center; National Aeronautics &amp; Space Administration (NASA); NASA Goddard Space Flight Center; Wallops Flight Facility; URS Corporation; University System of Maryland; University of Maryland College Park; University System of Maryland; University of Maryland College Park; National Aeronautics &amp; Space Administration (NASA); NASA Goddard Space Flight Center</t>
  </si>
  <si>
    <t>Yi, DH (corresponding author), NASA, Goddard Space Flight Ctr, SGT Inc, Cryospher Sci Lab, Code 615, Greenbelt, MD 20771 USA.</t>
  </si>
  <si>
    <t>donghui.yi@nasa.gov</t>
  </si>
  <si>
    <t>Hofton, Michelle/A-1186-2019</t>
  </si>
  <si>
    <t>Yi, Donghui/0000-0001-6363-5538</t>
  </si>
  <si>
    <t>10.1109/IGARSS.2016.7731003</t>
  </si>
  <si>
    <t>WOS:000388114607123</t>
  </si>
  <si>
    <t>Chi, J; Kim, HC</t>
  </si>
  <si>
    <t>Halounova, L; Safar, V; Raju, PLN; Planka, L; Zdimal, V; Kumar, TS; Faruque, FS; Kerr, Y; Ramasamy, SM; Comiso, J; Hussin, YA; Thenkabail, PS; Lavender, S; Skidmore, A; Yue, P; Patias, P; Altan, O; Weng, Q</t>
  </si>
  <si>
    <t>Chi, Junhwa; Kim, Hyun-Cheol</t>
  </si>
  <si>
    <t>FORECASTING ANTARCTIC SEA ICE CONCENTRATIONS USING RESULTS OF TEMPORAL MIXTURE ANALYSIS</t>
  </si>
  <si>
    <t>XXIII ISPRS CONGRESS, COMMISSION VIII</t>
  </si>
  <si>
    <t>International Archives of the Photogrammetry, Remote Sensing and Spatial Information Sciences</t>
  </si>
  <si>
    <t>23rd Congress of the International-Society-for-Photogrammetry-and-Remote-Sensing (ISPRS)</t>
  </si>
  <si>
    <t>JUL 12-19, 2016</t>
  </si>
  <si>
    <t>Prague, CZECH REPUBLIC</t>
  </si>
  <si>
    <t>Temporal mixture analysis; times series model; sea ice concentration; AR model</t>
  </si>
  <si>
    <t>Sea ice concentration (SIC) data acquired by passive microwave sensors at daily temporal frequencies over extended areas provide seasonal characteristics of sea ice dynamics and play a key role as an indicator of global climate trends; however, it is typically challenging to study long-term time series. Of the various advanced remote sensing techniques that address this issue, temporal mixture analysis (TMA) methods are often used to investigate the temporal characteristics of environmental factors, including SICs in the case of the present study. This study aims to forecast daily SICs for one year using a combination of TMA and time series modeling in two stages. First, we identify temporally meaningful sea ice signatures, referred to as temporal endmembers, using machine learning algorithms, and then we decompose each pixel into a linear combination of temporal endmembers. Using these corresponding fractional abundances of endmembers, we apply a autoregressive model that generally fits all Antarctic SIC data for 1979 to 2013 to forecast SIC values for 2014. We compare our results using the proposed approach based on daily SIC data reconstructed from real fractional abundances derived from a pixel unmixing method and temporal endmember signatures. The proposed method successfully forecasts new fractional abundance values, and the resulting images are qualitatively and quantitatively similar to the reference data.</t>
  </si>
  <si>
    <t>[Chi, Junhwa; Kim, Hyun-Cheol] Korea Polar Res Inst, Dept Polar Remote Sensing, Incheon, South Korea</t>
  </si>
  <si>
    <t>Korea Polar Research Institute (KOPRI)</t>
  </si>
  <si>
    <t>Chi, J (corresponding author), Korea Polar Res Inst, Dept Polar Remote Sensing, Incheon, South Korea.</t>
  </si>
  <si>
    <t>jhchi@kopri.re.kr; kimhc@kopri.re.kr</t>
  </si>
  <si>
    <t>Kim, Hyun-Cheol/AAP-1250-2020</t>
  </si>
  <si>
    <t>Kim, Hyun-Cheol/0000-0002-6831-9291</t>
  </si>
  <si>
    <t>Korea Polar Research Institute [PE16040]</t>
  </si>
  <si>
    <t>Korea Polar Research Institute(Korea Polar Research Institute of Marine Research Placement (KOPRI))</t>
  </si>
  <si>
    <t>This study was supported by the Korea Polar Research Institute [grant number PE16040].</t>
  </si>
  <si>
    <t>1682-1750</t>
  </si>
  <si>
    <t>B8</t>
  </si>
  <si>
    <t>10.5194/isprsarchives-XLI-B8-459-2016</t>
  </si>
  <si>
    <t>Geography, Physical; Geosciences, Multidisciplinary; Meteorology &amp; Atmospheric Sciences; Remote Sensing</t>
  </si>
  <si>
    <t>Physical Geography; Geology; Meteorology &amp; Atmospheric Sciences; Remote Sensing</t>
  </si>
  <si>
    <t>BG9GE</t>
  </si>
  <si>
    <t>WOS:000393156000079</t>
  </si>
  <si>
    <t>Comiso, JC</t>
  </si>
  <si>
    <t>Comiso, Josefino C.</t>
  </si>
  <si>
    <t>GLOBAL CHANGES IN THE SEA ICE COVER AND ASSOCIATED SURFACE TEMPERATURE CHANGES</t>
  </si>
  <si>
    <t>Global; sea ice; surface temperature; trends; climate change; remote sensing</t>
  </si>
  <si>
    <t>TRENDS; VARIABILITY</t>
  </si>
  <si>
    <t>The trends in the sea ice cover in the two hemispheres have been observed to be asymmetric with the rate of change in the Arctic being negative at -3.8% per decade while that of the Antarctic is positive at 1.7% per decade. These observations are confirmed in this study through analyses of a more robust data set that has been enhanced for better consistency and updated for improved statistics. With reports of anthropogenic global warming such phenomenon appears physically counter intuitive but trend studies of surface temperature over the same time period show the occurrence of a similar asymmetry. Satellite surface temperature data show that while global warming is strong and dominant in the Arctic, it is relatively minor in the Antarctic with the trends in sea ice covered areas and surrounding ice free regions observed to be even negative. A strong correlation of ice extent with surface temperature is observed, especially during the growth season, and the observed trends in the sea ice cover are coherent with the trends in surface temperature. The trend of global averages of the ice cover is negative but modest and is consistent and compatible with the positive but modest trend in global surface temperature. A continuation of the trend would mean the disappearance of summer ice by the end of the century but modelling projections indicate that the summer ice could be salvaged if anthropogenic greenhouse gases in the atmosphere are kept constant at the current level.</t>
  </si>
  <si>
    <t>[Comiso, Josefino C.] NASA Goddard Space Flight Ctr, Cryosphere Sci Lab, Greenbelt, MD 20771 USA</t>
  </si>
  <si>
    <t>National Aeronautics &amp; Space Administration (NASA); NASA Goddard Space Flight Center</t>
  </si>
  <si>
    <t>Comiso, JC (corresponding author), NASA Goddard Space Flight Ctr, Cryosphere Sci Lab, Greenbelt, MD 20771 USA.</t>
  </si>
  <si>
    <t>josefino.c.comiso@nasa.gov</t>
  </si>
  <si>
    <t>Cryopheric Sciences Program at NASA Headquarters</t>
  </si>
  <si>
    <t>The author is grateful to Robert Gersten of ADNET and Larry Stock of SGT both working at NASA/Goddard Space Flight Center for programming and analysis support. Funds for the project was provided by the Cryopheric Sciences Program at NASA Headquarters.</t>
  </si>
  <si>
    <t>10.5194/isprsarchives-XLI-B8-469-2016</t>
  </si>
  <si>
    <t>WOS:000393156000081</t>
  </si>
  <si>
    <t>Babonis, GS; Csatho, B; Schenk, T</t>
  </si>
  <si>
    <t>Babonis, G. S.; Csatho, B.; Schenk, T.</t>
  </si>
  <si>
    <t>MASS BALANCE CHANGES AND ICE DYNAMICS OF GREENLAND AND ANTARCTIC ICE SHEETS FROM LASER ALTIMETRY</t>
  </si>
  <si>
    <t>Laser Atimetry; Surface Elevation Changes; Greenland; Antarctica; Ice Sheet Mass Balance; Sea-Level Rise</t>
  </si>
  <si>
    <t>MODEL</t>
  </si>
  <si>
    <t>During the past few decades the Greenland and Antarctic ice sheets have lost ice at accelerating rates, caused by increasing surface temperature. The melting of the two big ice sheets has a big impact on global sea level rise. If the ice sheets would melt down entirely, the sea level would rise more than 60 m. Even a much smaller rise would cause dramatic damage along coastal regions. In this paper we report about a major upgrade of surface elevation changes derived from laser altimetry data, acquired by NASA's Ice, Cloud and land Elevation Satellite mission (ICESat) and airborne laser campaigns, such as Airborne Topographic Mapper (ATM) and Land, Vegetation and Ice Sensor (LVIS). For detecting changes in ice sheet elevations we have developed the Surface Elevation Reconstruction And Change detection (SERAC) method. It computes elevation changes of small surface patches by keeping the surface shape constant and considering the absolute values as surface elevations. We report about important upgrades of earlier results, for example the inclusion of local ice caps and the temporal extension from 1993 to 2014 for the Greenland Ice Sheet and for a comprehensive reconstruction of ice thickness and mass changes for the Antarctic Ice Sheets.</t>
  </si>
  <si>
    <t>[Babonis, G. S.; Csatho, B.; Schenk, T.] SUNY Buffalo, Dept Geol, 126 Cooke Hall, Buffalo, NY 14260 USA</t>
  </si>
  <si>
    <t>State University of New York (SUNY) System; State University of New York (SUNY) Buffalo</t>
  </si>
  <si>
    <t>Csatho, B (corresponding author), SUNY Buffalo, Dept Geol, 126 Cooke Hall, Buffalo, NY 14260 USA.</t>
  </si>
  <si>
    <t>afschenk@buffalo.edu; bcsatho@buffalo.edu</t>
  </si>
  <si>
    <t>Csatho, Beata/KGK-9301-2024</t>
  </si>
  <si>
    <t>10.5194/isprsarchives-XLI-B8-481-2016</t>
  </si>
  <si>
    <t>WOS:000393156000082</t>
  </si>
  <si>
    <t>Li, R; Ye, W; Kong, F; Qiao, G; Tong, X; Ma, X; Guo, S; Wang, Z</t>
  </si>
  <si>
    <t>Li, R.; Ye, W.; Kong, F.; Qiao, G.; Tong, X.; Ma, X.; Guo, S.; Wang, Z.</t>
  </si>
  <si>
    <t>A NOVEL METHOD FOR ESTIMATION OF GLACIER SURFACE MOTION IN 1960s FROM ARGON KH-5 OPTICAL IMAGERY</t>
  </si>
  <si>
    <t>ARGON; Parallax Decomposition; Ice Velocity; Antarctica</t>
  </si>
  <si>
    <t>ROSS ICE SHELF; ANTARCTIC PENINSULA; SATELLITE IMAGES; FLOW</t>
  </si>
  <si>
    <t>The Antarctic ice sheet response to the global climate change, specifically the ice flow speed change of the glaciers, has been investigated by many researchers. However, most research results cover the period since 1970s or after the operation of the LANDSAT series. The availability of the film-based ARGON KH-5 data makes it possible to quantify the changes of the Antarctic ice sheet in 1960s. To meet the challenges of processing the low quality film-based ARGON images, a novel method was developed to allow estimating the ice sheet surface motion and reconstructing the surface model simultaneously from ARGON stereo images by decomposing the total parallaxes to terrain and motion based components. A photogrammetric approach was developed to distinguish stable ice surface features from those on motion and use them for recovering the camera orientation information. Several existing Antarctic mapping products were used to establish the ground control. The ice flow speed field is reconstructed using a hierarchical image matching strategy. Firstly, epipolar images are generated via a fundamental matrix derived from correspondences used in the geometric modelling process, and then an image pyramid is built. Second, the normalized cross-correlation (NCC) technique is conducted on each layer of the pyramid to match the extracted features. Since the images were taken at different times, during which the glacier motion occurred, the measured total parallaxes are decomposed to terrain and motion parallaxes according to given ice flow directions which are derived from the iteratively produced DTM or images. Finally, a speed map and a DTM can be generated at each level of the image pyramid. This process repeats itself. At the bottom of the pyramid the final speed map and DTM are produced at a resolution of about 60m and represent the ice flow field of 1963. This approach was tested using two ARGON stereo-pairs in Rayner glacier in East Antarctica. Both the ice flow speed map and DTM were generated, and their difference with recent products is briefly discussed.</t>
  </si>
  <si>
    <t>[Li, R.; Ye, W.; Kong, F.; Qiao, G.; Tong, X.; Ma, X.; Guo, S.; Wang, Z.] Tongji Univ, Coll Surveying &amp; Geoinformat, 1239 Siping Rd, Shanghai, Peoples R China; [Li, R.; Ye, W.; Kong, F.; Qiao, G.; Tong, X.; Ma, X.; Guo, S.; Wang, Z.] Tongji Univ, Ctr Spatial Informat Sci &amp; Sustainable Dev, 1239 Siping Rd, Shanghai, Peoples R China</t>
  </si>
  <si>
    <t>Li, R (corresponding author), Tongji Univ, Coll Surveying &amp; Geoinformat, 1239 Siping Rd, Shanghai, Peoples R China.;Li, R (corresponding author), Tongji Univ, Ctr Spatial Informat Sci &amp; Sustainable Dev, 1239 Siping Rd, Shanghai, Peoples R China.</t>
  </si>
  <si>
    <t>rli@tongji.edu.cn; yewenkai1990@tongji.edu.cn; 4kongfansi@tongji.edu.cn; qiaogang@tongji.edu.cn; tongxhtj@tongji.edu.cn; 1434906@tongji.edu.cn; guosong@tongji.edu.cn; 91shinewzy@tongji.edu.cn</t>
  </si>
  <si>
    <t>Qiao, Gang/AAU-5717-2020</t>
  </si>
  <si>
    <t>Qiao, Gang/0000-0002-2010-6238</t>
  </si>
  <si>
    <t>National Key Basic Research Program of China [2012CB957701]</t>
  </si>
  <si>
    <t>National Key Basic Research Program of China(National Basic Research Program of China)</t>
  </si>
  <si>
    <t>This work has been supported by National Key Basic Research Program of China (No. 2012CB957701).</t>
  </si>
  <si>
    <t>10.5194/isprsarchives-XLI-B8-521-2016</t>
  </si>
  <si>
    <t>WOS:000393156000088</t>
  </si>
  <si>
    <t>Tian, YX; Weng, HX; Lv, D; Tong, XH; Li, RX</t>
  </si>
  <si>
    <t>Tian, Yixiang; Weng, Hexia; Lv, Da; Tong, Xiaohua; Li, Rongxing</t>
  </si>
  <si>
    <t>CHANGE ANALYSIS OF ANTARCTIC ICE SHELVES BASED ON MULTIPLE REMOTE SENSING PRODUCTS</t>
  </si>
  <si>
    <t>Ice shelf; Extent; Coastline; Change analysis</t>
  </si>
  <si>
    <t>The Antarctic ice sheet is well known as the most sensitive and key issue in the global climate change research and is playing a more and more important role for the global sea level change. Measurement of changes in area and mass of the Antarctic ice sheet is critically important and has been made by using different remote sensing technologies and ground exploration data. Sequential mapping of Antarctic boundaries provides a simple and direct method for measuring the area and volume if ice sheet or ice shelves advances or retreats in the Antarctic coasts. Our results show that the total ice shelf area is retreated between 1963 and 2009. However, the trend for each ice shelf is quite different.</t>
  </si>
  <si>
    <t>[Tian, Yixiang; Weng, Hexia; Lv, Da; Tong, Xiaohua; Li, Rongxing] Tongji Univ, Coll Surveying &amp; Geoinformat, Ctr Spatial Informat Sci &amp; Sustainable Dev Applic, Shanghai, Peoples R China; [Weng, Hexia] Jiangxi Univ Sci &amp; Technol, Coll Architecture &amp; Survey Engn, Ganzhou City, Jiangxi, Peoples R China</t>
  </si>
  <si>
    <t>Tongji University; Jiangxi University of Science &amp; Technology</t>
  </si>
  <si>
    <t>Tian, YX (corresponding author), Tongji Univ, Coll Surveying &amp; Geoinformat, Ctr Spatial Informat Sci &amp; Sustainable Dev Applic, Shanghai, Peoples R China.</t>
  </si>
  <si>
    <t>tianyixiang@tongji.edu.cn; 2014_whx@tongji.edu.cn; lvda@tongji.edu.cn; xhtong@tongji.edu.cn; rli@tongji.edu.cn</t>
  </si>
  <si>
    <t>10.5194/isprsarchives-XLI-B8-545-2016</t>
  </si>
  <si>
    <t>WOS:000393156000092</t>
  </si>
  <si>
    <t>Xie, H; Hai, G; Chen, L; Liu, SJ; Liu, J; Tong, XH; Li, RX</t>
  </si>
  <si>
    <t>Xie, Huan; Hai, Gang; Chen, Lei; Liu, Shijie; Liu, Jun; Tong, Xiaohua; Li, Rongxing</t>
  </si>
  <si>
    <t>ANTARCTIC ICE SHEET SURFACE MASS BALANCE ESTIMATES FROM 2003 TO 2015 USING ICESAT AND CRYOSAT-2 DATA</t>
  </si>
  <si>
    <t>Antarctica; Mass Balance; ICESat; CryoSat-2</t>
  </si>
  <si>
    <t>SEA-LEVEL RISE; RADAR ALTIMETRY; GREENLAND; ELEVATION; SHELVES; ACCURACY; MISSION; LOSSES; VOLUME; GRACE</t>
  </si>
  <si>
    <t>An assessment of Antarctic ice sheet surface mass balance from 2003 to 2015 has been carried out using a combination of ICESat data from 2003 to 2009 and CryoSat-2 data from 2010 to 2015. Both data sets are of L2 and are currently processed separately using different models. First, a repeat-track processing method that includes terms accounting for the trend and the first order fit of topography is applied to repeat-track measurements of all ICESat Campaigns. It uses the Least Squares fitting of the model to all observations in a box of 500 m x 500 m. The estimated trends in these boxes are then averaged inside a 30 km x 30 km cell. Similarly, the cells are used to estimate basin and ice sheet level surface elevation change trends. Mass balance calculating is performed at the cell level by multiplying the ice density by the volume change and then extended to the basin and the ice sheet level. Second, in CryoSat-2 data processing we applied a model within a cell of 5 km x 5 km considering that CryoSat-2 does not maintain repeated tracks. In this model the elevation trend, and a higher order topography are solved in an iterative way using the least squares technique. The mass change is computed at the cell level in the same way as the ICESat data. GIA correction is applied for both ICESat and CryoSat-2 estimates. Detailed information about the data processing, elevation and mass balance changes, and comparison with other studies will be introduced.</t>
  </si>
  <si>
    <t>[Xie, Huan; Hai, Gang; Chen, Lei; Liu, Shijie; Liu, Jun; Tong, Xiaohua; Li, Rongxing] Tongji Univ, Coll Surveying &amp; Geoinformat, 1239 Siping Rd, Shanghai, Peoples R China; [Xie, Huan; Hai, Gang; Chen, Lei; Liu, Shijie; Liu, Jun; Tong, Xiaohua; Li, Rongxing] Tongji Univ, Ctr Spatial Informat Sci &amp; Sustainable Dev, 1239 Siping Rd, Shanghai, Peoples R China</t>
  </si>
  <si>
    <t>Li, RX (corresponding author), Tongji Univ, Coll Surveying &amp; Geoinformat, 1239 Siping Rd, Shanghai, Peoples R China.;Li, RX (corresponding author), Tongji Univ, Ctr Spatial Informat Sci &amp; Sustainable Dev, 1239 Siping Rd, Shanghai, Peoples R China.</t>
  </si>
  <si>
    <t>huanxie@tongji.edu.cn; ganghai@tongji.edu.cn; 103495chen@tongji.edu.cn; liusjtj@tongji.edu.cn; junliurs@163.com; xhtong@tongji.edu.cn; rli@tongji.edu.cn</t>
  </si>
  <si>
    <t>10.5194/isprsarchives-XLI-B8-549-2016</t>
  </si>
  <si>
    <t>WOS:000393156000093</t>
  </si>
  <si>
    <t>Chernov, DG; Kozlov, VS; Panchenko, MV; Turchinovich, YS; Radionov, VF; Gubin, AV; Prakhov, AN; Lubo-Lesnichenko, KE; Sidorova, OR; Golobokova, LP; Khodzher, TV; Khuriganova, OI; Onishchuk, NA</t>
  </si>
  <si>
    <t>Matvienko, GG; Romanovskii, OA</t>
  </si>
  <si>
    <t>Chernov, D. G.; Kozlov, V. S.; Panchenko, M. V.; Turchinovich, Yu. S.; Radionov, V. F.; Gubin, A. V.; Prakhov, A. N.; Lubo-Lesnichenko, K. E.; Sidorova, O. R.; Golobokova, L. P.; Khodzher, T. V.; Khuriganova, O. I.; Onishchuk, N. A.</t>
  </si>
  <si>
    <t>INVESTIGATION of microphysical characteristics and chemical composition of near-ground aerosol in Barentsburg (Spitsbergen) in the spring and summer seasons of 2011-2015</t>
  </si>
  <si>
    <t>22ND INTERNATIONAL SYMPOSIUM ON ATMOSPHERIC AND OCEAN OPTICS: ATMOSPHERIC PHYSICS</t>
  </si>
  <si>
    <t>Proceedings of SPIE</t>
  </si>
  <si>
    <t>22nd International Symposium on Atmospheric and Ocean Optics - Atmospheric Physics</t>
  </si>
  <si>
    <t>JUN 30-JUL 03, 2016</t>
  </si>
  <si>
    <t>Tomsk, RUSSIA</t>
  </si>
  <si>
    <t>aerosol; black carbon; ionic chemical composition; Arctic region; Spitsbergen; Russian Scientific Center</t>
  </si>
  <si>
    <t>Since 2011, the Institute of Atmospheric Optics (IAO SB RAS, Tomsk) and the Arctic and Antarctic Research Institute of the Russian Federal Service for Hydrometeorology and Environmental Monitoring (AARI, St. Petersburg) conduct field studies of near-ground aerosol characteristics at the Spitsbergen archipelago (Barentsburg) in the spring and summer seasons. The following parameters are measured in the atmospheric surface layer: aerosol particle number density and volume particle size distribution; mass concentrations of aerosol and absorbing matter (black carbon); coefficients of total aerosol scattering and aerosol backscattering in the visible spectral region. The experimental findings obtained in 20112015 are reported. Peculiarities of the seasonal and year-to-year variability of the aerosol characteristics are revealed. The results of investigation of the chemical composition of the near-ground aerosol in Barentsburg are discussed.</t>
  </si>
  <si>
    <t>[Chernov, D. G.; Kozlov, V. S.; Panchenko, M. V.; Turchinovich, Yu. S.] RAS, VE Zuev Inst Atmospher Opt, SB, Tomsk, Russia; [Radionov, V. F.; Gubin, A. V.; Prakhov, A. N.; Lubo-Lesnichenko, K. E.; Sidorova, O. R.] Arct &amp; Antarctic Sci Res Inst, St Petersburg, Russia; [Golobokova, L. P.; Khodzher, T. V.; Khuriganova, O. I.; Onishchuk, N. A.] RAS, Limnol Inst, SB, Irkutsk, Russia</t>
  </si>
  <si>
    <t>Russian Academy of Sciences; Zuev Institute of Atmospheric Optics, Siberian Branch of the Russian Academy of Sciences; Irkutsk Science Centre of the Russian Academy of Sciences; Russian Academy of Sciences; Limnological Institute SB RAS</t>
  </si>
  <si>
    <t>Chernov, DG (corresponding author), RAS, VE Zuev Inst Atmospher Opt, SB, Tomsk, Russia.</t>
  </si>
  <si>
    <t>Panchenko, Mikhail Vasilievich/E-4049-2014; Radionov, Vladimir F./O-3038-2017; Gubin, Alexey/AAW-4400-2021; Golobokova, Liudmila Petrovna/J-4361-2018; Sidorova, Olga/ABH-1841-2020</t>
  </si>
  <si>
    <t>Chernov, Dmitriy/0000-0003-1877-6678</t>
  </si>
  <si>
    <t>Program of the Presidium of the Russian Academy of Sciences [32]; Program of the Russian Academy of Sciences [0345 2015 0033]</t>
  </si>
  <si>
    <t>Program of the Presidium of the Russian Academy of Sciences(Russian Academy of Sciences); Program of the Russian Academy of Sciences(Russian Academy of Sciences)</t>
  </si>
  <si>
    <t>This study was supported, in part, by Program of the Presidium of the Russian Academy of Sciences No. 32 Research Fundamental Scientific Studies in Interests of Development of the Arctic Zone of Russian Federation and by Program of the Russian Academy of Sciences No. 0345 2015 0033 Combined Investigations of Various Geosystems in Siberia under Conditions of Changing Climate and Technogenic Impact.</t>
  </si>
  <si>
    <t>SPIE-INT SOC OPTICAL ENGINEERING</t>
  </si>
  <si>
    <t>BELLINGHAM</t>
  </si>
  <si>
    <t>1000 20TH ST, PO BOX 10, BELLINGHAM, WA 98227-0010 USA</t>
  </si>
  <si>
    <t>0277-786X</t>
  </si>
  <si>
    <t>978-1-5106-0512-1</t>
  </si>
  <si>
    <t>PROC SPIE</t>
  </si>
  <si>
    <t>10.1117/12.2248456</t>
  </si>
  <si>
    <t>Meteorology &amp; Atmospheric Sciences; Optics</t>
  </si>
  <si>
    <t>BG8QA</t>
  </si>
  <si>
    <t>WOS:000392623500112</t>
  </si>
  <si>
    <t>Kabanov, DM; Polkin, VV; Sakerin, SM; Radionov, VF; Smirnov, A</t>
  </si>
  <si>
    <t>Kabanov, Dmitry M.; Polkin, Victor V.; Sakerin, Sergey M.; Radionov, Vladimir F.; Smirnov, Alexander</t>
  </si>
  <si>
    <t>Analysis of variability and the interrelations between characteristics of atmospherics aerosols according to data of multiyear measurements along eastern route of Russian Antarctic expeditions</t>
  </si>
  <si>
    <t>aerosol; black carbon; aerosol optical depth</t>
  </si>
  <si>
    <t>In period of 2004-2015, we carried out yearly measurements of aerosol characteristics on one and the same route of Russian Antarctic expeditions in the Eastern Atlantic. Based on data obtained in 13 expeditions, in the report we discuss interrelations between different aerosol parameters, measured in the near-ground layer and in the entire atmospheric depth: number concentrations of small (d = 0.4-1 mu m) and large (d &gt; 1 mu m) particles, mass concentrations of aerosol and black carbon, aerosol optical depth (AOD) of the atmosphere, its fine and coarse components, and selectivity indices of spectral AOD behavior. Correlations between aerosol parameters over ocean are analyzed for the total dataset, for separate latitude zones (regions).</t>
  </si>
  <si>
    <t>[Kabanov, Dmitry M.; Polkin, Victor V.; Sakerin, Sergey M.] RAS, VE Zuev Inst Atmospher Opt, SB, 1 Acad Zuev Sq, Tomsk 634021, Russia; [Radionov, Vladimir F.] Arctic &amp; Antarctic Reserch Inst, 38 Bering Str, St Petersburg 199397, Russia; [Smirnov, Alexander] NASA, Goddard Space Flight Ctr, Bldg 33,Code 618, Greenbelt, MD 20771 USA</t>
  </si>
  <si>
    <t>Russian Academy of Sciences; Zuev Institute of Atmospheric Optics, Siberian Branch of the Russian Academy of Sciences; National Aeronautics &amp; Space Administration (NASA); NASA Goddard Space Flight Center</t>
  </si>
  <si>
    <t>Kabanov, DM (corresponding author), RAS, VE Zuev Inst Atmospher Opt, SB, 1 Acad Zuev Sq, Tomsk 634021, Russia.</t>
  </si>
  <si>
    <t>dkab@iao.ru</t>
  </si>
  <si>
    <t>Kabanov, Dmitry/A-4871-2014; Sakerin, Sergey/A-6508-2014; Radionov, Vladimir F./O-3038-2017; Kabanov, Dmitry M./A-5805-2014; Polkin, Victor/G-4153-2014; Smirnov, Alexander/C-2121-2009</t>
  </si>
  <si>
    <t>Smirnov, Alexander/0000-0002-8208-1304</t>
  </si>
  <si>
    <t>Complex Program of Basic Research, Siberian Branch, Russian Academy of Sciences [II.2II/IX.133-3]</t>
  </si>
  <si>
    <t>Complex Program of Basic Research, Siberian Branch, Russian Academy of Sciences</t>
  </si>
  <si>
    <t>Studies were performed in the framework of Subprogram Organization and support of works and scientific research in Antarctica, State Program of the Russian Federation Environmental protection for 2012- 2020; and under the support of Complex Program of Basic Research, Siberian Branch, Russian Academy of Sciences (project no. II.2II/IX.133-3). Authors thank the leaders of RAE for help in research of atmospheric aerosol over ocean; also thanks go to our colleagues who participated in measurements, i.e., to N.I. Vlasov, A.V. Gubin, K.E. Lubo- Lesnichenko, Vas. V. Polkin, A.N. Prakhov, D.E. Savkin, S.A. Terpugova, A.B. Tikhomirov, Yu.S. Turchinovich.</t>
  </si>
  <si>
    <t>100353G</t>
  </si>
  <si>
    <t>10.1117/12.2248667</t>
  </si>
  <si>
    <t>WOS:000392623500124</t>
  </si>
  <si>
    <t>Kabanov, DM; Sakerin, SM</t>
  </si>
  <si>
    <t>Kabanov, Dmitry M.; Sakerin, Sergey M.</t>
  </si>
  <si>
    <t>Comparison of assessment techniques of fine and coarse component aerosol optical depth of the atmosphere from measurement in the visible spectrum</t>
  </si>
  <si>
    <t>Aerosol optical depth; fine and coarse aerosol; methods</t>
  </si>
  <si>
    <t>SUN; PARAMETERS; RETRIEVAL; AERONET; NETWORK</t>
  </si>
  <si>
    <t>We consider a few methods for estimating the finely and coarsely dispersed components of atmospheric aerosol optical depth (AOD), which are used for data of spectral measurements performed using different sun photometer types: CE 318 (AERONET) and Microtops (0.44-0.87 mu m), SP and SPM (0.34-2.14 mu m). In addition to the familiar AERONET method and empirical approach for separating the contributions of the two AOD components, we also present two other methods, based on regression relations with angstrom ngstrom paramete. The uncertainties of using the alternative methods were estimated on the basis of multiyear datasets of joint measurements with different photometers in the region of Tomsk and during marine expeditions (the Atlantic and Antarctic Oceans). It is shown that the uncertainty of different methods for estimating the coarsely dispersed component, as compared to the base empirical method, is approximately the same (0.01-0.024) and comparable with the uncertainty of determining the atmospheric AOD itself.</t>
  </si>
  <si>
    <t>[Kabanov, Dmitry M.; Sakerin, Sergey M.] Russian Acad Sci, VE Zuev Inst Atmospher Opt, Siberian Branch, Acad Zuev Sq 1, Tomsk 634021, Russia</t>
  </si>
  <si>
    <t>Russian Academy of Sciences; Zuev Institute of Atmospheric Optics, Siberian Branch of the Russian Academy of Sciences</t>
  </si>
  <si>
    <t>Kabanov, DM (corresponding author), Russian Acad Sci, VE Zuev Inst Atmospher Opt, Siberian Branch, Acad Zuev Sq 1, Tomsk 634021, Russia.</t>
  </si>
  <si>
    <t>Kabanov, Dmitry/A-4871-2014; Kabanov, Dmitry M./A-5805-2014; Sakerin, Sergey/A-6508-2014</t>
  </si>
  <si>
    <t>Complex Program of Basic Research, Siberian Branch, Russian Academy of Sciences [II.2P/ IX.133-3]</t>
  </si>
  <si>
    <t>Complex Program of Basic Research, Siberian Branch, Russian Academy of Sciences(Russian Academy of Sciences)</t>
  </si>
  <si>
    <t>This work was supported by the Complex Program of Basic Research, Siberian Branch, Russian Academy of Sciences (under project no. II.2P/ IX.133-3).</t>
  </si>
  <si>
    <t>1996-756X</t>
  </si>
  <si>
    <t>100353D</t>
  </si>
  <si>
    <t>10.1117/12.2248657</t>
  </si>
  <si>
    <t>WOS:000392623500121</t>
  </si>
  <si>
    <t>Kashkin, VB; Rubleva, TV</t>
  </si>
  <si>
    <t>Kashkin, V. B.; Rubleva, T. V.</t>
  </si>
  <si>
    <t>OZONE ANOMALY OF 2011 IN THE NORTHERN HEMISPHERE</t>
  </si>
  <si>
    <t>Ozone hole; satellite ozone data; redistribution of ozone; physical model of circumpolar vortex</t>
  </si>
  <si>
    <t>In this work we have studied the appearance of analogue of the Antarctic ozone hole in the Northern hemisphere in March 2011. The study is based on AURA satellite data. Possible reasons of this phenomenon were the low temperature in the polar region and intense solar flares. The solar activity led to changes in the atmospheric circulation. As a result, in the stratosphere for a while have any rotating circumpolar vortex in the form of a ring in mid-latitudes and low ozone content in the polar region. Our studies revealed a redistribution of ozone mass between the inner and outer part of the vortex with decreasing the total ozone content in the inner part and increases in the outer. A model of the formation of the circumpolar vortex based on atmospheric physics is proposed.</t>
  </si>
  <si>
    <t>[Kashkin, V. B.; Rubleva, T. V.] Siberian Fed Univ, Inst Engn Phys &amp; Radio Elect, Krasnoyarsk, Krasnoyarskiy K, Russia</t>
  </si>
  <si>
    <t>Siberian Federal University</t>
  </si>
  <si>
    <t>Rubleva, TV (corresponding author), Siberian Fed Univ, Inst Engn Phys &amp; Radio Elect, Krasnoyarsk, Krasnoyarskiy K, Russia.</t>
  </si>
  <si>
    <t>tvrubleva@ksc.krasn.ru</t>
  </si>
  <si>
    <t>10.1117/12.2250889</t>
  </si>
  <si>
    <t>WOS:000392623500191</t>
  </si>
  <si>
    <t>Milillo, P; Minchew, B; Agram, P; Riel, B; Simons, M</t>
  </si>
  <si>
    <t>Notarnicola, C; Paloscia, S; Pierdicca, N; Mitchard, E</t>
  </si>
  <si>
    <t>Milillo, Pietro; Minchew, Brent; Agram, Piyush; Riel, Bryan; Simons, Mark</t>
  </si>
  <si>
    <t>3D velocity field time series using synthetic aperture radar: application to tidal-timescale ice-flow variability in Rutford Ice Stream, West Antarctica</t>
  </si>
  <si>
    <t>SAR IMAGE ANALYSIS, MODELING, AND TECHNIQUES XVI</t>
  </si>
  <si>
    <t>Conference on SAR Image Analysis, Modeling, and Techniques XVI</t>
  </si>
  <si>
    <t>SEP 28, 2016</t>
  </si>
  <si>
    <t>Edinburgh, SCOTLAND</t>
  </si>
  <si>
    <t>3D analysis; ocean tides; pixel offsets; Rutford Ice Stream; SAR; time-series analysis</t>
  </si>
  <si>
    <t>SURFACE DEFORMATION; INTERFEROMETRY; LANDSLIDE; EXPLOITATION; GLACIER; SHELF</t>
  </si>
  <si>
    <t>We present a general method for retrieving time-series of three component surface velocity field vector given a set of continuous synthetic aperture radar (SAR) acquisitions collected from multiple geometries. Our algorithm extends the single-line-of-sight mathematical framework developed for time-series analysis using interferometric SAR (InSAR) to three spatial dimensions. The inversion is driven by a design matrix corresponding to a dictionary of displacement functions parameterized in time. The resulting model minimizes a cost function using a non-regularized least-squares method. We applied our method to Rutford ice stream (RIS), West Antarctica, using a set of 101 multi-track multi-angle COSMO-SkyMed displacement maps generating azimuth and range pixel offsets.</t>
  </si>
  <si>
    <t>[Milillo, Pietro; Agram, Piyush] CALTECH, NASA, Jet Prop Lab, 4800 Oak Grove Dr, Pasadena, CA 91109 USA; [Milillo, Pietro] Univ Basilicata, Sch Engn, Potenza, Italy; [Minchew, Brent] British Antarctic Survey, High Cross Madingley Rd, Cambridge CB3 0ET, England; [Riel, Bryan; Simons, Mark] CALTECH, Seismol Lab, Pasadena, CA 91125 USA</t>
  </si>
  <si>
    <t>California Institute of Technology; National Aeronautics &amp; Space Administration (NASA); NASA Jet Propulsion Laboratory (JPL); University of Basilicata; UK Research &amp; Innovation (UKRI); Natural Environment Research Council (NERC); NERC British Antarctic Survey; California Institute of Technology</t>
  </si>
  <si>
    <t>Milillo, P (corresponding author), CALTECH, NASA, Jet Prop Lab, 4800 Oak Grove Dr, Pasadena, CA 91109 USA.;Milillo, P (corresponding author), Univ Basilicata, Sch Engn, Potenza, Italy.</t>
  </si>
  <si>
    <t>Milillo, Pietro/H-6691-2019; Simons, Mark/N-4397-2015</t>
  </si>
  <si>
    <t>Milillo, Pietro/0000-0002-1171-3976;</t>
  </si>
  <si>
    <t>978-1-5106-0411-7</t>
  </si>
  <si>
    <t>UNSP 1000309</t>
  </si>
  <si>
    <t>10.1117/12.2241617</t>
  </si>
  <si>
    <t>Engineering, Electrical &amp; Electronic; Optics; Imaging Science &amp; Photographic Technology</t>
  </si>
  <si>
    <t>Engineering; Optics; Imaging Science &amp; Photographic Technology</t>
  </si>
  <si>
    <t>BG7MJ</t>
  </si>
  <si>
    <t>WOS:000391442000007</t>
  </si>
  <si>
    <t>Baru, NA; Koloskov, AV; Yampolsky, YM; Rakhmatulin, RA</t>
  </si>
  <si>
    <t>Baru, N. A.; Koloskov, A. V.; Yampolsky, Y. M.; Rakhmatulin, R. A.</t>
  </si>
  <si>
    <t>Multipoint observations of Ionospheric Alfven Resonance</t>
  </si>
  <si>
    <t>ADVANCES IN ASTRONOMY AND SPACE PHYSICS</t>
  </si>
  <si>
    <t>radio science: ionospheric physics; waves in plasma</t>
  </si>
  <si>
    <t>SOLAR-CYCLE</t>
  </si>
  <si>
    <t>Among the processes that form properties of the geospace in the circumterrestrial plasma the electromagnetic resonances of the Earth, such as Schummann Resonance (SR) and Ionospheric Alfven Resonance (IAR) are of great importance. IAR is more localized in space than SR and its properties largely depend on the characteristics of the propagation medium. In contrast to the SR, which has global nature and which is continuously observable at any time of the day, IAR signals are registered mostly during the nighttime and demonstrate more variability of the parameters than SR signals. At the Earth surface IAR is registered as Spectral Resonance Structure of the natural electromagnetic noise at frequency range 0.1-40 Hz. In this work we studied an influence of the environment characteristics on IAR parameters by the means of multipoint observations. Annual data series recorded at Ukrainian Antarctic Station Akademik Vernadsky, Low Frequency Observatory of the Institute of Radio Astronomy near Kharkov (Ukraine) and magnetic station of Sayan Solar Observatory Mondy near Irkutsk (Russia) were used for the analysis. We investigated the behaviour of IAR parameters, such as probability of resonance lines registration and frequency spacing. F, for annual and diurnal intervals. These parameters were compared with characteristics of the ionosphere above all of the observation points and geomagnetic activity.</t>
  </si>
  <si>
    <t>[Baru, N. A.; Koloskov, A. V.; Yampolsky, Y. M.] NAS Ukraine, Inst Radio Astron, 4 Chervonopraporna Str, UA-61002 Kharkov, Ukraine; [Rakhmatulin, R. A.] RAS, Inst Solar Terr Phys, Siberian Branch, 126-A Lermontova Str, Irkutsk 664033, Russia</t>
  </si>
  <si>
    <t>National Academy of Sciences Ukraine; Institute of Radio Astronomy of the National Academy of Sciences of Ukraine; Irkutsk Science Centre of the Russian Academy of Sciences; Russian Academy of Sciences; Institute of Solar-Terrestrial Physics of the Siberian Branch of the Russian Academy of Sciences</t>
  </si>
  <si>
    <t>Baru, NA (corresponding author), NAS Ukraine, Inst Radio Astron, 4 Chervonopraporna Str, UA-61002 Kharkov, Ukraine.</t>
  </si>
  <si>
    <t>baru@rian.kharkov.ua</t>
  </si>
  <si>
    <t>Koloskov, Oleksandr/ABB-4631-2020; Yampolski, Yuri/AAU-3037-2021</t>
  </si>
  <si>
    <t>Koloskov, Oleksandr/0000-0001-8921-3851;</t>
  </si>
  <si>
    <t>National Academy of Sciences of Ukraine project Yatagan-3 [N 0116U000035]; National Academy of Sciences of Ukraine project Spitsbergen [N 0116U002874]; National Antarctic Scientific Center of Ukraine, Ministry of Education and Science of Ukraine</t>
  </si>
  <si>
    <t>National Academy of Sciences of Ukraine project Yatagan-3; National Academy of Sciences of Ukraine project Spitsbergen; National Antarctic Scientific Center of Ukraine, Ministry of Education and Science of Ukraine</t>
  </si>
  <si>
    <t>The authors are thankful to the National Antarctic Scientific Center of Ukraine, Ministry of Education and Science of Ukraine for supporting of the long-term ULF-ELF monitoring at UAS Academic Vernadski. Also we are thankful to the winterer-geophysics and specialists of IRA NASU and ISTP SB RAS for the skilled work for maintaining the receiving devices in Antarctica, Ukraine and Russia that is provided the high quality data. This research was partially supported by the National Academy of Sciences of Ukraine projects Yatagan-3 (N 0116U000035) and Spitsbergen-2016 (N 0116U002874).</t>
  </si>
  <si>
    <t>TARAS SHEVCHENKO NATL UNIV KYIV</t>
  </si>
  <si>
    <t>KYIV</t>
  </si>
  <si>
    <t>TARAS SHEVCHENKO NATL UNIV KYIV, KYIV, 00000, UKRAINE</t>
  </si>
  <si>
    <t>2227-1481</t>
  </si>
  <si>
    <t>ADV ASTRON SPACE PHY</t>
  </si>
  <si>
    <t>Adv. Astron. Space Phys.</t>
  </si>
  <si>
    <t>10.17721/2227-1481.6.45-49</t>
  </si>
  <si>
    <t>Astronomy &amp; Astrophysics</t>
  </si>
  <si>
    <t>EJ8YC</t>
  </si>
  <si>
    <t>WOS:000393512200008</t>
  </si>
  <si>
    <t>Kang, Y; Lee, H; Kim, MK; Shin, SC; Park, H; Lee, J</t>
  </si>
  <si>
    <t>Kang, Yoonjee; Lee, Hyoungseok; Kim, Mi-kyeong; Shin, Seung Chul; Park, Hyun; Lee, Jungeun</t>
  </si>
  <si>
    <t>The complete chloroplast genome of Antarctic pearlwort, Colobanthus quitensis (Kunth) Bartl. (Caryophyllaceae)</t>
  </si>
  <si>
    <t>MITOCHONDRIAL DNA PART A</t>
  </si>
  <si>
    <t>Chloroplast genome sequence; Colobanthus quitensis; extremophile plant</t>
  </si>
  <si>
    <t>VASCULAR PLANTS; ACCLIMATION; GROWTH</t>
  </si>
  <si>
    <t>We determined the complete chloroplast DNA sequence of an extremophile plant, Colobanthus quitensis (Antarctic pearlwort), by de novo assembly based on the sequencing results from Illumina MiSeq platform (Illumina Inc., San Diego, CA). The chloroplast genome of C. quitensis (NCBI accession no. KT737383) is a sequence of 151 276 bp long with a typical quadripartite structure composed of a large single copy region, a small single copy region and a pair of inverted repeats. The overall GC content of C. quitensis genome is 36.7% and it has 66 simple sequence repeats. It contains a total 112 genes including 78 protein coding genes, 30 tRNA genes, and four rRNA genes.</t>
  </si>
  <si>
    <t>[Kang, Yoonjee; Lee, Hyoungseok; Kim, Mi-kyeong; Shin, Seung Chul; Park, Hyun; Lee, Jungeun] Korea Polar Res Inst, Div Life Sci, Incheon, South Korea; [Park, Hyun] Univ Sci &amp; Technol, Dept Polar Sci, Incheon, South Korea</t>
  </si>
  <si>
    <t>Lee, J (corresponding author), Korea Polar Res Inst, Div Polar Life Sci, Incheon 21990, South Korea.</t>
  </si>
  <si>
    <t>jelee@kopri.re.kr</t>
  </si>
  <si>
    <t>Lee, Hyoungseok/0000-0002-5831-6345; Park, Hyun/0000-0002-8055-2010</t>
  </si>
  <si>
    <t>Korea Polar Research Institute [PE15070]</t>
  </si>
  <si>
    <t>The authors report that they have no conflicts of interest. The authors alone are responsible for the content and writing of the paper. This work was funded by Korea Polar Research Institute (PE15070).</t>
  </si>
  <si>
    <t>2470-1394</t>
  </si>
  <si>
    <t>2470-1408</t>
  </si>
  <si>
    <t>MITOCHONDRIAL DNA A</t>
  </si>
  <si>
    <t>Mitochondrial DNA Part A</t>
  </si>
  <si>
    <t>10.3109/19401736.2015.1106498</t>
  </si>
  <si>
    <t>EJ6CW</t>
  </si>
  <si>
    <t>WOS:000393307200328</t>
  </si>
  <si>
    <t>Kostka, R</t>
  </si>
  <si>
    <t>Kostka, Robert</t>
  </si>
  <si>
    <t>Johann Nepomuk Count WILCZEK and Austrian arctic research</t>
  </si>
  <si>
    <t>MITTEILUNGEN DER OSTERREICHISCHEN GEOGRAPHISCHEN GESELLSCHAFT</t>
  </si>
  <si>
    <t>German</t>
  </si>
  <si>
    <t>Climate change and environmental changing are facts, which more and more gain our attention. Also in polar regions, their importance is increasing. In the 19th century, arctic areas were of significant scientific interest. In their research, also Austria took part with the support of the well-known German geographer August PETERMANN. Count Hans Nepomuk WILCZEK was important for the realisation of those tasks due to his personal interest in arctic research, his contacts, and especially through his financial support. Three examples are presented: (1) in 1872 the voyage with the ship Isbjorn from Troms phi via Spitsbergen to Novaja Semlja and the return via the Russian mainland and Saint Petersburg to Vienna, for supporting the expedition of the Admiral Tegetthoff; (2) in 1882 the expedition to the Jan Mayen island, which WILCZEK had to leave early; (3) in 1913 the preparation of an Austrian antarctic expedition, which was, however, prevented by the First World War.</t>
  </si>
  <si>
    <t>[Kostka, Robert] Graz Univ Technol, Inst Geodasie, Steyrergasse 30, A-8010 Graz, Austria</t>
  </si>
  <si>
    <t>Graz University of Technology</t>
  </si>
  <si>
    <t>Kostka, R (corresponding author), Graz Univ Technol, Inst Geodasie, Steyrergasse 30, A-8010 Graz, Austria.</t>
  </si>
  <si>
    <t>ruth.reisch@tugraz.at</t>
  </si>
  <si>
    <t>OSTERR GEOGRAPH GESELLSCHAFT</t>
  </si>
  <si>
    <t>VIENNA</t>
  </si>
  <si>
    <t>KARL-SCHWEIGHOFER-GASSE 3, A-1071 VIENNA, AUSTRIA</t>
  </si>
  <si>
    <t>0029-9138</t>
  </si>
  <si>
    <t>MITT OSTERR GEOGR G</t>
  </si>
  <si>
    <t>Mitt. Osterr. Geogr. Ges.</t>
  </si>
  <si>
    <t>Geography</t>
  </si>
  <si>
    <t>Social Science Citation Index (SSCI)</t>
  </si>
  <si>
    <t>EK0QO</t>
  </si>
  <si>
    <t>WOS:000393632200017</t>
  </si>
  <si>
    <t>Rollinson, DP; Dilley, BJ; Davies, D; Ryan, PG</t>
  </si>
  <si>
    <t>Rollinson, Dominic P.; Dilley, Ben J.; Davies, Delia; Ryan, Peter G.</t>
  </si>
  <si>
    <t>Diving behaviour of Grey Petrels and its relevance for mitigating long-line by-catch</t>
  </si>
  <si>
    <t>EMU-AUSTRAL ORNITHOLOGY</t>
  </si>
  <si>
    <t>dive-depth; dive-duration; foraging ecology; Procellaria cinerea; seabird by-catch; temperature-depth recorders</t>
  </si>
  <si>
    <t>WHITE-CHINNED PETRELS; PRINCE EDWARD ISLANDS; PROCELLARIA-AEQUINOCTIALIS; SEABIRD MORTALITY; KERGUELEN ISLANDS; FISHING VESSELS; POPULATION-SIZE; SOUTHERN-OCEAN; FISHERY; BYCATCH</t>
  </si>
  <si>
    <t>The Grey Petrel (Procellaria cinerea) is listed as Near Threatened globally owing to incidental mortality on long-line fishing gear and reduced breeding success on islands caused by the introduction of alien predators. However, there are few studies of its foraging ecology and none of its diving behaviour. We obtained data from temperature-depth recorders (n = 7 birds) and global positioning satellite trackers (n = 15) deployed on Grey Petrels breeding on Gough Island, South Atlantic Ocean. Most birds foraged in the productive oceanic waters west or north-west of South Georgia. Average maximum dive-depth was 3.2 +/- 2.2mwith most dives &lt;5m(85%) and 95% of dives &lt;7mdeep. The maximum dive-depth (22 m) was deeper than previous measurements of dive-depth in Procellaria petrels, and maximum dive-duration also was longer than previously recorded in Procellaria petrels (at least 39 s). Individuals varied greatly in the mean number of dives per day (range 0.4-24.5). Sex did not influence depth or duration of dives but sample sizes were small. The time of day influenced dive-depth, and dives during daylight were, on average, deeper than dives at night, but the effect was weak; the maximum dive-depth at night was 17 m. By providing insights into the diving behaviour of Grey Petrels our findings help to explain their high mortality on fishing long-lines. We suggest that fisheries adopt bird-scaring lines that protect long-lines from scavenging seabirds during the setting process to a depth of at least 10 m, which could be achieved by increasing line-weighting or modifying bird-scaring lines, or both. An understanding of the foraging ecology of commonly recorded by-catch species, such as Grey Petrels, is essential in the design of future devices to mitigate seabird by-catch in long-line fisheries.</t>
  </si>
  <si>
    <t>[Rollinson, Dominic P.; Dilley, Ben J.; Davies, Delia; Ryan, Peter G.] Univ Cape Town, Percy FitzPatrick Inst African Ornithol, Dept Sci &amp; Technol, Natl Res Fdn DST NRF Ctr Excellence, ZA-7701 Rondebosch, South Africa</t>
  </si>
  <si>
    <t>University of Cape Town</t>
  </si>
  <si>
    <t>Rollinson, DP (corresponding author), Univ Cape Town, Percy FitzPatrick Inst African Ornithol, Dept Sci &amp; Technol, Natl Res Fdn DST NRF Ctr Excellence, ZA-7701 Rondebosch, South Africa.</t>
  </si>
  <si>
    <t>domrollinson@gmail.com</t>
  </si>
  <si>
    <t>South African Department of Environmental Affairs through the South African National Antarctic Program; National Research Foundation; University of Cape Town; UK Foreign and Commonwealth Office; UK Government's Overseas Territories Environment Program; Royal Society for the Protection of Birds; Agreement on the Conservation of Albatrosses and Petrels</t>
  </si>
  <si>
    <t>Permission to undertake the work on Gough Island was provided by the Tristan Conservation Department. Logistical and financial support was provided by the South African Department of Environmental Affairs, through the South African National Antarctic Program, the National Research Foundation and the University of Cape Town. Long-term monitoring on Gough Island was established with a grant from the UK Foreign and Commonwealth Office with further support over the years from the UK Government's Overseas Territories Environment Program, the Royal Society for the Protection of Birds, and the Agreement on the Conservation of Albatrosses and Petrels. Thanks to Otto Whitehead for his help and advice with Igor Pro.</t>
  </si>
  <si>
    <t>TAYLOR &amp; FRANCIS AUSTRALASIA</t>
  </si>
  <si>
    <t>MELBOURNE</t>
  </si>
  <si>
    <t>LEVEL 2, 11 QUEENS RD, MELBOURNE, VIC 3004, AUSTRALIA</t>
  </si>
  <si>
    <t>0158-4197</t>
  </si>
  <si>
    <t>1448-5540</t>
  </si>
  <si>
    <t>EMU</t>
  </si>
  <si>
    <t>Emu</t>
  </si>
  <si>
    <t>10.1071/MU15032</t>
  </si>
  <si>
    <t>Ornithology</t>
  </si>
  <si>
    <t>EJ4PN</t>
  </si>
  <si>
    <t>WOS:000393199400004</t>
  </si>
  <si>
    <t>Bond, AL; McClelland, GTW; Ryan, PG; Glass, T</t>
  </si>
  <si>
    <t>Bond, Alexander L.; McClelland, Gregory T. W.; Ryan, Peter G.; Glass, Trevor</t>
  </si>
  <si>
    <t>Using measurements to predict laying order in harvested Northern Rockhopper Penguin (Eudyptes moseleyi) eggs</t>
  </si>
  <si>
    <t>discriminant function; Spheniscidae; subsistence harvest; Tristan da Cunha; wildlife management</t>
  </si>
  <si>
    <t>MANAGEMENT</t>
  </si>
  <si>
    <t>The sustainable and responsible exploitation of natural populations for subsistence requires a scientific basis for management. Eggs of the Endangered Northern Rockhopper Penguin (Eudyptes moseleyi) in the Tristan da Cunha archipelago have been harvested since the 19th century with no restrictions on which (A-or B-eggs) can be harvested, despite the larger B-egg being much more likely to produce fledged offspring. Our objective was to create a discriminant function to predict the laying order of harvested eggs. We found that the discriminant function of D = 0.58 x Length + 0.39 x Breadth -57.48 successfully classified 91% of eggs as A- or B-eggs. When applied to previously collected harvest data, the discriminant function identified at least 36% of eggs as B-eggs. The method we describe here provides a mechanism around which one aspect of a management framework for the sustainable harvest of Northern Rockhopper Penguin eggs can be built.</t>
  </si>
  <si>
    <t>[Bond, Alexander L.; McClelland, Gregory T. W.] Royal Soc Protect Birds, RSPB Ctr Conservat Sci, Sandy SG19 2DL, Beds, England; [McClelland, Gregory T. W.; Glass, Trevor] Govt Tristan da Cunha, Conservat Dept, Edinburgh, Tristan Da Cunh, St Helena; [Ryan, Peter G.] Univ Cape Town, DST NRF Ctr Excellence, Percy FitzPatrick Inst African Ornithol, Rondebosch, South Africa</t>
  </si>
  <si>
    <t>Royal Society for Protection of Birds; University of Cape Town; National Research Foundation - South Africa</t>
  </si>
  <si>
    <t>Bond, AL (corresponding author), Royal Soc Protect Birds, RSPB Ctr Conservat Sci, Sandy SG19 2DL, Beds, England.</t>
  </si>
  <si>
    <t>alex.bond@rspb.org.uk</t>
  </si>
  <si>
    <t>Bond, Alexander L/A-3786-2010</t>
  </si>
  <si>
    <t>Bond, Alexander/0000-0003-2125-7238</t>
  </si>
  <si>
    <t>Tristan community; Royal Society for the Protection of Birds; UK partner in BirdLife International; National Geographic Society</t>
  </si>
  <si>
    <t>Tristan community; Royal Society for the Protection of Birds; UK partner in BirdLife International; National Geographic Society(National Geographic Society)</t>
  </si>
  <si>
    <t>We thank C. Moloney, J. Repetto and G. Swain, for assistance in the field. The Administrator and Island Council of Tristan da Cunha granted permission for this research. We are grateful to Ovenstone Agencies (Pty) Ltd, and the South African Department of Environmental Affairs (South African National Antarctic Program, SANAP) for logistical support and transport to and from Tristan da Cunha on the MFV Edinburgh, MV Baltic Trader and SA Agulhas II, and to the Tristan community for their support, assistance, and friendship. The Royal Society for the Protection of Birds, the UK partner in BirdLife International, and the National Geographic Society, funded this research. Data are available on figshare (DOI: http://dx.doi.org/10.6084/m9.figshare.3384109). Comments from two anonymous reviewers improved previous drafts.</t>
  </si>
  <si>
    <t>TAYLOR &amp; FRANCIS AUSTRALIA</t>
  </si>
  <si>
    <t>10.1071/MU16027</t>
  </si>
  <si>
    <t>WOS:000393199400020</t>
  </si>
  <si>
    <t>Molina, JA; Lumbreras, A; Benavent-González, A; Rozzi, R; Sancho, LG</t>
  </si>
  <si>
    <t>Antonio Molina, Jose; Lumbreras, Ana; Benavent-Gonzalez, Alberto; Rozzi, Ricardo; Sancho, Leopoldo G.</t>
  </si>
  <si>
    <t>Plant communities as bioclimate indicators on Isla Navarino, one of the southernmost forested areas of the world</t>
  </si>
  <si>
    <t>GAYANA BOTANICA</t>
  </si>
  <si>
    <t>Altitudinal gradient; bioclimatic zones; Cape Horn Biosphere Reserve; species diversity; Sub-Antarctic habitats</t>
  </si>
  <si>
    <t>TIERRA-DEL-FUEGO; NOTHOFAGUS-PUMILIO FORESTS; HORN BIOSPHERE RESERVE; MIRB BLUME FORESTS; ALTITUDINAL GRADIENT; VASCULAR PLANTS; TREE LINE; VEGETATION; CONSERVATION; BIODIVERSITY</t>
  </si>
  <si>
    <t>Variation in climactic vegetation with altitude is widely used as an ecological indicator to identify bioclimatic belts. Tierra del Fuego is known to undergo structural and functional changes in forests along altitudinal gradients. However there is still little knowledge of the changes in plant-community composition and plant diversity -including both forests and tundra and their area of contact (krummholz)-and their relation to climatic factors along an altitudinal gradient. This study focuses on Isla Navarino (Chile), at the eastern part of Beagle Channel, included in the Cape Horn Biosphere Reserve. Numerical analysis revealed four community types along the cited gradient: a) mixed forest of Nothofagus betuloides and Nothofagus pumilio distributed at lower altitudes (0-300 masl); b) pure forests of Nothofagus pumilio distributed at higher altitudes (350-550 masl); c) krummholz forest of Nothofagus pumilio near the tree line (500-550 masl); and d) pulvinate-cushion vegetation -tundra- of Bolax gummifera and Abrotanella emarginata at altitudes above 600 masl. Species turnover showed that the most abrupt change in plant composition occurs from 550 to 600 masl, producing a drastic landscape change when the high-altitude tree limit formed by dwarf forest of deciduous N. pumilio yields to tundra at a calculated biotemperature of 2.9 degrees C. Two other minor changes occur in the understory of pure Nothofagus pumilio forests: a transition from a thermophilous element to a more orophilous element at a calculated biotemperature of 4.3 degrees C, and a drop in the number of species as the erect forest changes to low krummholz forest at a calculated biotemperature of 3.3 degrees C. The identification of bioclimatic belts based on changes in vegetation and the calculation of biotemperature along the altitudinal gradient suggests that the following plant communities are reliable regional bioclimatic bioindicators: lower-middle-oroantiboreal mixed forest of Nothofagus betuloides-Nothofagus pumilio; oroantiboreal pure forest of Nothofagus pumilio; hemi oroantarctic krummholz of Nothofagus pumilio; and oroantartic tundra of Bolax gummifera and Abrotanella emarginata.</t>
  </si>
  <si>
    <t>[Antonio Molina, Jose; Lumbreras, Ana; Benavent-Gonzalez, Alberto; Sancho, Leopoldo G.] Univ Complutense Madrid, Dept Biol Vegetal 2, E-28040 Madrid, Spain; [Rozzi, Ricardo] Univ Magallanes, Sede Puerto Williams, Parque Etnobot Omora, Punta Arenas, Chile; [Rozzi, Ricardo] IEB, Santiago, Chile; [Rozzi, Ricardo] Univ North Texas, Dept Philosophy &amp; Relig Studies, Denton, TX USA</t>
  </si>
  <si>
    <t>Complutense University of Madrid; Universidad de Magallanes; University of North Texas System; University of North Texas Denton</t>
  </si>
  <si>
    <t>Molina, JA (corresponding author), Univ Complutense Madrid, Dept Biol Vegetal 2, E-28040 Madrid, Spain.</t>
  </si>
  <si>
    <t>jmabril@ucm.es</t>
  </si>
  <si>
    <t>Rozzi, Ricardo/G-1047-2012; SANCHO, LEOPOLDO/G-9120-2015; Molina, Jose Antonio/I-2879-2017</t>
  </si>
  <si>
    <t>Rozzi, Ricardo/0000-0001-5265-8726; SANCHO, LEOPOLDO/0000-0002-4751-7475; Molina, Jose Antonio/0000-0003-4348-6015</t>
  </si>
  <si>
    <t>Ministerio de Ciencia e Innovacion (Spain) [CTM2009-12838-C04-01/03, CTM2012-38222-CO2-01]; Ministerio de Economia y Competitividad of Spain [BES-2013-062945]; Institute of Ecology and Biodiversity [MINECON ICM P05-002, CONICYT PFB-23]</t>
  </si>
  <si>
    <t>Ministerio de Ciencia e Innovacion (Spain)(Spanish Government); Ministerio de Economia y Competitividad of Spain(Spanish Government); Institute of Ecology and Biodiversity</t>
  </si>
  <si>
    <t>This work was supported by projects CTM2009-12838-C04-01/03 and CTM2012-38222-CO2-01 from Ministerio de Ciencia e Innovacion (Spain). ABG benefits from a grant (BES-2013-062945) of the Ministerio de Economia y Competitividad of Spain. We are grateful to the Universidad de Magallanes (UMAG) and the Institute of Ecology and Biodiversity (grants MINECON ICM P05-002 and CONICYT PFB-23) for logistic and scientific support. We are indebted to Mercedes Vivas for her assistance in the field work. We would also like to thank Ms. Prudence Brooke-Turner for the English proofreading.</t>
  </si>
  <si>
    <t>EDICIONES UNIV, CONCEPCION</t>
  </si>
  <si>
    <t>CONCEPCION</t>
  </si>
  <si>
    <t>COMITE DE PUBLICACION, CASILLA 2407, CONCEPCION, 00000, CHILE</t>
  </si>
  <si>
    <t>0016-5301</t>
  </si>
  <si>
    <t>0717-6643</t>
  </si>
  <si>
    <t>GAYANA BOT</t>
  </si>
  <si>
    <t>Gayana Bot.</t>
  </si>
  <si>
    <t>Plant Sciences</t>
  </si>
  <si>
    <t>EJ2QB</t>
  </si>
  <si>
    <t>WOS:000393054300014</t>
  </si>
  <si>
    <t>Miroshnychenko, O</t>
  </si>
  <si>
    <t>Miroshnychenko, Olena</t>
  </si>
  <si>
    <t>ROLE OF WINTERER'S TEMPERAMENT IN THE PROCESS OF ADAPTING TO THE LIVING CONDITIONS IN ANTARCTICA</t>
  </si>
  <si>
    <t>SCIENCE AND EDUCATION</t>
  </si>
  <si>
    <t>adaptation; adaptability; temperament; excitation; inhibition; strength; mobility; balance nerve processes; psychodiagnostic tools</t>
  </si>
  <si>
    <t>The issue of psychological preparation of a Ukrainian winterer for the long stay in Antarctica is considered to be topical today. Since the 16th Ukrainian Antarctic expedition to the station Akademik Vernadsky we have been examining winterers adaptation to the life in the Antarctic. The article deals with the peculiarities of winterers' temperament types in the process of adaptation to the extreme life conditions. The features of the winterers' life are associated with long-term (up to 13 months) stay in a limited area, causing social isolation, sensory and psychological deprivation. The winterers' adaptation depends on the expedition participants' emotional state stability, which is based on the peculiarities of personality temperament in severe climate conditions. The article presents the author's method of the determination of temperament types manifestation and describes psychodiagnostic tools for its using. The verification of the psychological parameters (assessments) are performed for four times: during the formation of an expedition team (February-March of the corresponding year expeditions), in the middle of winter (June-July of the corresponding expedition year), during the opening of the stations for visitors (November of the corresponding expedition year) and at the end of winter (March of the year when the team returns). The research results have shown that phlegmatic is the most adapted type of temperament for living in the Antarctic. The representatives of this type of temperament make about 40% of members of the Ukrainian Antarctic expeditions, which indicates a sufficient level of winterer teams' psychological stability. These experiments are carried out within the State program of scientific research in Antarctica for 2011-2020 and need further development.</t>
  </si>
  <si>
    <t>[Miroshnychenko, Olena] Zhytomyr Ivan Franko State Univ, Dept Pedag Psychol &amp; Educ Inst Management, Pedag Sci, 40 Velyka Berdychivska Str, Zhytomyr, Ukraine</t>
  </si>
  <si>
    <t>Ministry of Education &amp; Science of Ukraine; Zhytomyr Ivan Franko State University</t>
  </si>
  <si>
    <t>Miroshnychenko, O (corresponding author), Zhytomyr Ivan Franko State Univ, Dept Pedag Psychol &amp; Educ Inst Management, Pedag Sci, 40 Velyka Berdychivska Str, Zhytomyr, Ukraine.</t>
  </si>
  <si>
    <t>Olena, Miroshnychenko/AAG-8063-2019</t>
  </si>
  <si>
    <t>Olena, Miroshnychenko/0000-0002-5712-3752</t>
  </si>
  <si>
    <t>SOUTH UKRAINIAN NATL UNIV K D USHYNSKY</t>
  </si>
  <si>
    <t>ODESSA</t>
  </si>
  <si>
    <t>VUL STAROPORTOFRANKIVSKA, 26, ODESSA, 65000, UKRAINE</t>
  </si>
  <si>
    <t>2311-8466</t>
  </si>
  <si>
    <t>2414-4665</t>
  </si>
  <si>
    <t>SCI EDUC-UKRAINE</t>
  </si>
  <si>
    <t>Sci. Educ.</t>
  </si>
  <si>
    <t>Education &amp; Educational Research</t>
  </si>
  <si>
    <t>EJ6AY</t>
  </si>
  <si>
    <t>WOS:000393302000019</t>
  </si>
  <si>
    <t>Moshobane, MC; de Bruyn, PJN; Bester, MN</t>
  </si>
  <si>
    <t>Halounova, L; Safar, V; Gong, J; Hanzl, V; Wu, H; Vyas, A; Wang, L; Musikhin, I; Tsai, F; Gruen, A; Kanjir, U; Faltynova, M</t>
  </si>
  <si>
    <t>Moshobane, M. C.; de Bruyn, P. J. N.; Bester, M. N.</t>
  </si>
  <si>
    <t>ASSESSING 3D PHOTOGRAMMETRY TECHNIQUES IN CRANIOMETRICS</t>
  </si>
  <si>
    <t>XXIII ISPRS Congress, Commission VI</t>
  </si>
  <si>
    <t>3D Modelling; Arctocephalus; Craniometrics; Fur Seal; Photogrammetry; Photomodeler; Photomodelling; Research Techniques</t>
  </si>
  <si>
    <t>POSTNATAL-GROWTH; SHAPE VARIATION; MORPHOMETRICS; SEAL</t>
  </si>
  <si>
    <t>Morphometrics (the measurement of morphological features) has been revolutionized by the creation of new techniques to study how organismal shape co-varies with several factors such as ecophenotypy. Ecophenotypy refers to the divergence of phenotypes due to developmental changes induced by local environmental conditions, producing distinct ecophenotypes. None of the techniques hitherto utilized could explicitly address organismal shape in a complete biological form, i.e. three-dimensionally. This study investigates the use of the commercial software, Photomodeler Scanner (R) (PMSc (R)) three-dimensional (3D) modelling software to produce accurate and high-resolution 3D models. Henceforth, the modelling of Subantarctic fur seal (Arctocephalus tropicalis) and Antarctic fur seal (Arctocephalus gazella) skulls which could allow for 3D measurements. Using this method, sixteen accurate 3D skull models were produced and five metrics were determined. The 3D linear measurements were compared to measurements taken manually with a digital caliper. In addition, repetitive measurements were recorded by varying researchers to determine repeatability. To allow for comparison straight line measurements were taken with the software, assuming that close accord with all manually measured features would illustrate the model's accurate replication of reality. Measurements were not significantly different demonstrating that realistic 3D skull models can be successfully produced to provide a consistent basis for craniometrics, with the additional benefit of allowing non-linear measurements if required.</t>
  </si>
  <si>
    <t>[Moshobane, M. C.] South African Natl Biodivers Inst, Kirstenbosch Res Ctr, Invas Species Program, Cape Town, South Africa; [Moshobane, M. C.] Univ Stellenbosch, Ctr Invas Biol, Dept Bot &amp; Zool, ZA-7602 Matieland, South Africa; [Moshobane, M. C.; de Bruyn, P. J. N.; Bester, M. N.] Univ Pretoria, Mammal Res Inst, Dept Zool &amp; Entomol, Private Bag X20, Hatfield 0028, South Africa</t>
  </si>
  <si>
    <t>South African National Biodiversity Institute; Stellenbosch University; University of Pretoria</t>
  </si>
  <si>
    <t>Moshobane, MC (corresponding author), South African Natl Biodivers Inst, Kirstenbosch Res Ctr, Invas Species Program, Cape Town, South Africa.;Moshobane, MC (corresponding author), Univ Stellenbosch, Ctr Invas Biol, Dept Bot &amp; Zool, ZA-7602 Matieland, South Africa.;Moshobane, MC (corresponding author), Univ Pretoria, Mammal Res Inst, Dept Zool &amp; Entomol, Private Bag X20, Hatfield 0028, South Africa.</t>
  </si>
  <si>
    <t>moshobanemc@gmail.com; pjdebruyn@zoology.up.ac.za; mnbester@zoology.up.ac.za</t>
  </si>
  <si>
    <t>Bester, Marthán N/E-5387-2010; Moshobane, Moleseng Claude/E-1291-2017; de Bruyn, P. J. Nico/E-4176-2010</t>
  </si>
  <si>
    <t>de Bruyn, P. J. Nico/0000-0002-9114-9569</t>
  </si>
  <si>
    <t>South African National Research Foundation (NRF)</t>
  </si>
  <si>
    <t>South African National Research Foundation (NRF)(National Research Foundation - South Africa)</t>
  </si>
  <si>
    <t>This study was funded by South African National Research Foundation (NRF). The authors are grateful to the Sealers of Marion Island and other researchers who collected the specimens. The authors are further grateful to Mr Patrick Abila and Ms Mukundi Mukundamago for reviewing the manuscript.</t>
  </si>
  <si>
    <t>B6</t>
  </si>
  <si>
    <t>10.5194/isprsarchives-XLI-B6-267-2016</t>
  </si>
  <si>
    <t>Geography, Physical; Geosciences, Multidisciplinary; Remote Sensing; Imaging Science &amp; Photographic Technology</t>
  </si>
  <si>
    <t>Physical Geography; Geology; Remote Sensing; Imaging Science &amp; Photographic Technology</t>
  </si>
  <si>
    <t>BG8WK</t>
  </si>
  <si>
    <t>WOS:000392742300043</t>
  </si>
  <si>
    <t>Kaufmann, P; Abrantes, A; Bortolucci, EC; Caspi, A; Fernandes, LOT; Kropotov, G; Kudaka, AS; Laurent, G; Machado, N; Marcon, R; Marun, A; Nicolaev, V; Ramirez, RFH; Raulin, JP; Saint-Hilaire, P; Shih, A; Silva, CM; Timofeevsky, A</t>
  </si>
  <si>
    <t>Kaufmann, P.; Abrantes, A.; Bortolucci, E. C.; Caspi, A.; Fernandes, L. O. T.; Kropotov, G.; Kudaka, A. S.; Laurent, G.; Machado, N.; Marcon, R.; Marun, A.; Nicolaev, V.; Hidalgo Ramirez, R. F.; Raulin, J. -P.; Saint-Hilaire, P.; Shih, A.; Silva, C. M.; Timofeevsky, A.</t>
  </si>
  <si>
    <t>THz Solar Observations on Board of a Trans-Antarctic Stratospheric Balloon Flight</t>
  </si>
  <si>
    <t>2016 41ST INTERNATIONAL CONFERENCE ON INFRARED, MILLIMETER, AND TERAHERTZ WAVES (IRMMW-THZ)</t>
  </si>
  <si>
    <t>International Conference on Infrared Millimeter and Terahertz Waves</t>
  </si>
  <si>
    <t>41st International Conference on Infrared, Millimeter, and Terahertz Waves (IRMMW-THz)</t>
  </si>
  <si>
    <t>SEP 25-30, 2016</t>
  </si>
  <si>
    <t>Copenhagen, DENMARK</t>
  </si>
  <si>
    <t>Solar flares; solar brightness; THz measurements from space; THz solar photometers</t>
  </si>
  <si>
    <t>A new system of two photometers was built to observe the Sun at 3 and 7 THz from space, named SOLAR-T. It has been flown coupled to U.C. Berkeley GRIPS experiment on a NASA stratospheric balloon flight over Antarctica, 19-30 January 2016. The mission was successfully accomplished. We describe the system performance, solar brightness determination and the first THz impulsive burst detected.</t>
  </si>
  <si>
    <t>[Kaufmann, P.; Fernandes, L. O. T.; Kudaka, A. S.; Hidalgo Ramirez, R. F.; Raulin, J. -P.] Univ Presbiteriana Mackenzie, CRAAM, Escola Engn, Sao Paulo, SP, Brazil; [Abrantes, A.; Machado, N.] Propertech Ltd, Jacarei, SP, Brazil; [Kaufmann, P.; Bortolucci, E. C.] Univ Estadual Campinas, Ctr Componentes Semicond, Campinas, SP, Brazil; [Caspi, A.; Laurent, G.] Southwest Res Inst, Boulder, CO USA; [Kropotov, G.; Nicolaev, V.; Timofeevsky, A.] Tydex LLC, St Petersburg, Russia; [Marcon, R.] Univ Estadual Campinas, Inst Fis Gleb Wataghin, Campinas, SP, Brazil; [Marcon, R.] Observ Solar Bernard Lyot, Campinas, SP, Brazil; [Marun, A.] Consejo Nacl Invest Cient &amp; Tecn, Inst Ciencias Astron Tierra &amp; Espacio, San Juan, Argentina; [Saint-Hilaire, P.] Univ Calif Berkeley, Space Sci Lab, Berkeley, CA 94720 USA; [Shih, A.] NASA, GSFC, Greenbelt, MD USA; [Silva, C. M.] Neuron Ltda, Sao Jose Dos Campos, SP, Brazil</t>
  </si>
  <si>
    <t>Universidade Presbiteriana Mackenzie; Universidade Estadual de Campinas; Southwest Research Institute; Universidade Estadual de Campinas; Consejo Nacional de Investigaciones Cientificas y Tecnicas (CONICET); University of California System; University of California Berkeley; National Aeronautics &amp; Space Administration (NASA); NASA Goddard Space Flight Center</t>
  </si>
  <si>
    <t>Kaufmann, P (corresponding author), Univ Presbiteriana Mackenzie, CRAAM, Escola Engn, Sao Paulo, SP, Brazil.;Kaufmann, P (corresponding author), Univ Estadual Campinas, Ctr Componentes Semicond, Campinas, SP, Brazil.</t>
  </si>
  <si>
    <t>pierrekau@gmail.com; nelson@propertech.com.br; emiliocb@unicamp.br; amir@boulder.swri.edu; grigorykropotov@tydex.ru; rmarcon@mpcnet.com.br; amarun@icate-conicet.gob.ar; shilaire@ssl.berkeley.edu; albert.y.shih@nasa.gov; cmsilva@bighost.com.br</t>
  </si>
  <si>
    <t>Raulin, Jean-Pierre/A-4109-2015; Caspi, Amir/AAL-9261-2020; Abrantes, Arnaldo/JHS-7043-2023; Kropotov, Grigory Ivanovich/AAU-7687-2020</t>
  </si>
  <si>
    <t>Raulin, Jean-Pierre/0000-0002-7501-3231; Caspi, Amir/0000-0001-8702-8273; Abrantes, Arnaldo/0000-0002-9911-6833; Kropotov, Grigory Ivanovich/0000-0001-9041-6701</t>
  </si>
  <si>
    <t>FAPESP [2013/24155-3]; Mackpesquisa; CNPq; CAPES; NAMITEC; US NASA; AFOSR; Argentina CONICET</t>
  </si>
  <si>
    <t>FAPESP(Fundacao de Amparo a Pesquisa do Estado de Sao Paulo (FAPESP)); Mackpesquisa; CNPq(Conselho Nacional de Desenvolvimento Cientifico e Tecnologico (CNPQ)); CAPES(Coordenacao de Aperfeicoamento de Pessoal de Nivel Superior (CAPES)); NAMITEC; US NASA(National Aeronautics &amp; Space Administration (NASA)); AFOSR(United States Department of DefenseAir Force Office of Scientific Research (AFOSR)); Argentina CONICET(Consejo Nacional de Investigaciones Cientificas y Tecnicas (CONICET))</t>
  </si>
  <si>
    <t>This work was partially supported by Brazilian agencies FAPESP (Proc. 2013/24155-3), Mackpesquisa, CNPq, CAPES, NAMITEC, US NASA, AFOSR, Argentina CONICET.</t>
  </si>
  <si>
    <t>2162-2027</t>
  </si>
  <si>
    <t>978-1-4673-8485-8</t>
  </si>
  <si>
    <t>INT CONF INFRA MILLI</t>
  </si>
  <si>
    <t>Engineering, Electrical &amp; Electronic; Physics, Applied</t>
  </si>
  <si>
    <t>Engineering; Physics</t>
  </si>
  <si>
    <t>BG7KC</t>
  </si>
  <si>
    <t>WOS:000391406200057</t>
  </si>
  <si>
    <t>Chernogor, LF; Lazorenko, OV</t>
  </si>
  <si>
    <t>Khardikov, V; Antyufeyeva, M</t>
  </si>
  <si>
    <t>Chernogor, Leonid F.; Lazorenko, Oleg V.</t>
  </si>
  <si>
    <t>System Spectral Analysis of the Ultra-Wideband Acoustic Signal Caused by the Chelyabinsk Meteoroid</t>
  </si>
  <si>
    <t>2016 8TH INTERNATIONAL CONFERENCE ON ULTRAWIDEBAND AND ULTRASHORT IMPULSE SIGNALS (UWBUSIS)</t>
  </si>
  <si>
    <t>8th International Conference on Ultrawideband and Ultrashort Impulse Signals (UWBUSIS)</t>
  </si>
  <si>
    <t>SEP 05-11, 2016</t>
  </si>
  <si>
    <t>Odessa, UKRAINE</t>
  </si>
  <si>
    <t>Chelyabinsk meteoroid; ultra-wideband signal; digital processing; time-frequency structure; system spectral analysis</t>
  </si>
  <si>
    <t>The results of the system spectral analysis, which uses a set of linear and non-linear integral transforms, for the time registrations of the acoustic signal generated by the Chelyabinsk meteoroid fall and registered by the Antarctic infrasound station were considered. The detailed time-frequency structure of the signal was analyzed. The infra-sound signal analyzed was shown to be an ultra-wideband signal with changing mean frequency.</t>
  </si>
  <si>
    <t>[Chernogor, Leonid F.] Kharkov Natl Univ, Space Radio Phys Dept, Kharkov, Ukraine; [Lazorenko, Oleg V.] Kharkiv Natl Univ Radioelect, Dept Phys, Kharkov, Ukraine</t>
  </si>
  <si>
    <t>Ministry of Education &amp; Science of Ukraine; VN Karazin Kharkiv National University; Ministry of Education &amp; Science of Ukraine; Kharkiv National University of Radio Electronics</t>
  </si>
  <si>
    <t>Chernogor, LF (corresponding author), Kharkov Natl Univ, Space Radio Phys Dept, Kharkov, Ukraine.</t>
  </si>
  <si>
    <t>Leonid.F.Chernogor@univer.kharkov.ua; Oleg-Lazorenko@yandex.ua</t>
  </si>
  <si>
    <t>Lazorenko, Oleg V./K-4662-2012</t>
  </si>
  <si>
    <t>Lazorenko, Oleg V./0000-0002-0250-8671</t>
  </si>
  <si>
    <t>978-1-5090-1578-8</t>
  </si>
  <si>
    <t>Engineering, Electrical &amp; Electronic</t>
  </si>
  <si>
    <t>BG8JC</t>
  </si>
  <si>
    <t>WOS:000392341300016</t>
  </si>
  <si>
    <t>Molina-Montenegro, MA; Oses, R; Torres-Díaz, C; Atala, C; Zurita-Silva, A; Ruiz-Lara, S</t>
  </si>
  <si>
    <t>Molina-Montenegro, Marco A.; Oses, Romulo; Torres-Diaz, Cristian; Atala, Cristian; Zurita-Silva, Andres; Ruiz-Lara, Simon</t>
  </si>
  <si>
    <t>Root-endophytes improve the ecophysiological performance and production of an agricultural species under drought condition</t>
  </si>
  <si>
    <t>AOB PLANTS</t>
  </si>
  <si>
    <t>Drought tolerance; lettuce; NHX1 gene expression; symbiosis; water use efficiency</t>
  </si>
  <si>
    <t>SALINITY TOLERANCE; FUNGAL ENDOPHYTES; OXIDATIVE STRESS; SALT TOLERANCE; WATER; NITROGEN; QUINOA; REINTRODUCTION; HOMEOSTASIS; RESPONSES</t>
  </si>
  <si>
    <t>Throughout many regions of the world, climate change has limited the availability of water for irrigating crops. Indeed, current models of climate change predict that arid and semi-arid zones will be places where precipitation will drastically decrease. In this context, plant root-associated fungi appear as a new strategy to improve ecophysiological performance and yield of crops under abiotic stress. Thus, use of fungal endophytes from ecosystems currently subjected to severe drought conditions could improve the ecophysiological performance and quantum yield of crops exposed to drought. In this study, we evaluated how the inoculation of fungal endophytes isolated from Antarctic plants can improve the net photosynthesis, water use efficiency and production of fresh biomass in a lettuce cultivar, grown under different water availability regimes. In addition, we assessed if the presence of biochemical mechanisms and gene expression related with environmental tolerance are improved in presence of fungal endophytes. Overall, those individuals with presence of endophytes showed higher net photosynthesis and maintained higher water use efficiency in drought conditions, which was correlated with greater fresh and dry biomass production as well as greater root system development. In addition, presence of fungal endophytes was correlated with a higher proline concentration, lower peroxidation of lipids and up-/down-regulation of ion homeostasis. Our results suggest that presence of fungal endophytes could minimize the negative effect of drought by improving drought tolerance through biochemical mechanisms and improving nutritional status. Thus, root-endophytes might be a successful biotechnological tool to maintain high levels of ecophysiological performance and productivity in zones under drought. (C) The Authors 2016. Published by Oxford University Press on behalf of the Annals of Botany Company.</t>
  </si>
  <si>
    <t>[Molina-Montenegro, Marco A.; Ruiz-Lara, Simon] Univ Talca, Inst Ciencias Biol, Ave Lircay S-N, Talca, Chile; [Molina-Montenegro, Marco A.] Nucleo Milenio Ctr Ecol Mol &amp; Aplicac Evolut &amp; Ag, Avda Lircay S-N, Talca, Chile; [Molina-Montenegro, Marco A.; Oses, Romulo] Univ Catolica Norte, Fac Ciencias Mar, CEAZA, Larrondo 1281, Coquimbo, Chile; [Molina-Montenegro, Marco A.] Univ Talca, Res Program Adaptat Agr Climate Change PIEI A2C2, Talca, Chile; [Torres-Diaz, Cristian] Univ Bio Bio, Dept Ciencias Nat, LGB, Chillan, Chile; [Atala, Cristian] Pontificia Univ Catolica Valparaiso, Fac Ciencias, Inst Biol, Lab Anat &amp; Ecol Func Plantas, Campus Curauma, Valparaiso, Chile; [Zurita-Silva, Andres] Ctr Invest Intihuasi, INIA, Inst Invest Agr, Colina San Joaquin S-N, La Serena, Chile</t>
  </si>
  <si>
    <t>Universidad de Talca; Universidad Catolica del Norte; Universidad de Talca; Universidad del Bio-Bio; Pontificia Universidad Catolica de Valparaiso; Instituto de Investigacion Agropecuaria (INIA)</t>
  </si>
  <si>
    <t>Molina-Montenegro, MA (corresponding author), Univ Talca, Inst Ciencias Biol, Ave Lircay S-N, Talca, Chile.;Molina-Montenegro, MA (corresponding author), Nucleo Milenio Ctr Ecol Mol &amp; Aplicac Evolut &amp; Ag, Avda Lircay S-N, Talca, Chile.;Molina-Montenegro, MA (corresponding author), Univ Catolica Norte, Fac Ciencias Mar, CEAZA, Larrondo 1281, Coquimbo, Chile.;Molina-Montenegro, MA (corresponding author), Univ Talca, Res Program Adaptat Agr Climate Change PIEI A2C2, Talca, Chile.</t>
  </si>
  <si>
    <t>marco.molina@utalca.cl</t>
  </si>
  <si>
    <t>Zurita-Silva, Andres/O-4991-2019; Ruiz-Lara, Simon/Z-5843-2019</t>
  </si>
  <si>
    <t>Zurita-Silva, Andres/0000-0001-7274-2765; Ruiz-Lara, Simon/0000-0001-8476-2288; Torres Diaz, Cristian/0000-0002-5741-5288; Atala, Cristian/0000-0003-1337-9534; Molina-Montenegro, Marco/0000-0001-6801-8942</t>
  </si>
  <si>
    <t>Fondo Nacional de Desarrollo Cientifico y Tecnologico de Chile (FONDECYT) [11140607, 3140279]; Iniciativa Cientiifica Milenio (ICM) [NC120027]</t>
  </si>
  <si>
    <t>Fondo Nacional de Desarrollo Cientifico y Tecnologico de Chile (FONDECYT)(Comision Nacional de Investigacion Cientifica y Tecnologica (CONICYT)CONICYT FONDECYT); Iniciativa Cientiifica Milenio (ICM)</t>
  </si>
  <si>
    <t>This work was supported by grants from Fondo Nacional de Desarrollo Cientifico y Tecnologico de Chile (FONDECYT project number 11140607) and Iniciativa Cientiifica Milenio (ICM project number NC120027). Isolation and identification of root-endophytes was partiality supported by FONDECYT project number 3140279.</t>
  </si>
  <si>
    <t>OXFORD UNIV PRESS</t>
  </si>
  <si>
    <t>OXFORD</t>
  </si>
  <si>
    <t>GREAT CLARENDON ST, OXFORD OX2 6DP, ENGLAND</t>
  </si>
  <si>
    <t>2041-2851</t>
  </si>
  <si>
    <t>Aob Plants</t>
  </si>
  <si>
    <t>plw062</t>
  </si>
  <si>
    <t>10.1093/aobpla/plw062</t>
  </si>
  <si>
    <t>Plant Sciences; Ecology</t>
  </si>
  <si>
    <t>Plant Sciences; Environmental Sciences &amp; Ecology</t>
  </si>
  <si>
    <t>EJ1KX</t>
  </si>
  <si>
    <t>WOS:000392970200001</t>
  </si>
  <si>
    <t>Vlaev, SD; Pavlova, K; Rusinova-Videva, S; Georgieva, K; Georgiev, D</t>
  </si>
  <si>
    <t>Vlaev, S. D.; Pavlova, K.; Rusinova-Videva, S.; Georgieva, K.; Georgiev, D.</t>
  </si>
  <si>
    <t>Agitation Effects and Kinetic Constants of Exoglucomannan Production by Antarctic Yeast Strain in a Stirred Tank Bioreactor</t>
  </si>
  <si>
    <t>CHEMICAL AND BIOCHEMICAL ENGINEERING QUARTERLY</t>
  </si>
  <si>
    <t>exoglucomannan; Sporobolomyces salmonicolor Al 1; hydrodynamic stress; morphology; kinetic modeling</t>
  </si>
  <si>
    <t>EXOPOLYSACCHARIDE; FERMENTATION; GROWTH</t>
  </si>
  <si>
    <t>Exoglucomannan production by Antarctic yeast Sporobolomyces salmonicolor AL(1) is studied at semi-tech scale in a 5 L stirred tank bioreactor and the bioreaction kinetics is quantified. The organism's unconventional response to agitation is analyzed in terms of the agitation-induced mechanical stress. The yeast maximum production activity was observed at agitation rate 400 rpm and conserved or decreased at further increase in mixing intensity. Referring to the relationship of cell growth and aeration intensity, the various production activity, oxygen availability and cell growth are considered as a starting point to elucidate the possible reasons for the anomaly. At suspicion of shear detrimental effect on the yeast cells, the hydrodynamic stress acting on cell particles is determined and the microorganism morphology at low and high mixing intensity is examined. Biological stability is registered and the agitation effect is attributed to depressed metabolic activity at the evolving dissolved oxygen tension rather than to direct effect of hydrodynamics. A kinetic model is proposed. The specific growth rate (mu, h(-1)) and growth-associated (g EPS g(-1) cells), and non-growth associated (g EPS g(-1) cells h(-1)) production constants are determined and compared with reported estimates for similar reference EPS fermentations. The model and its parameters are determined in well-mixed cultures and could be upgraded further to account for mixing non-ideality and mass transfer in larger vessels.</t>
  </si>
  <si>
    <t>[Vlaev, S. D.] Bulgarian Acad Sci, Inst Chem Engn, Acad G Bonchev Bl 103, Sofia 1113, Bulgaria; [Pavlova, K.; Rusinova-Videva, S.; Georgieva, K.] Bulgarian Acad Sci, Inst Microbiol, Lab Appl Biotechnol, 139 Ruski Blvd, Plovdiv 4000, Bulgaria; [Georgiev, D.] Bourgas Univ Prof Dr Zlatarov, Dept Chem Engn, 1 Blvd Prof Yakimov, Burgas 8010, Bulgaria</t>
  </si>
  <si>
    <t>University of Chemical Technology &amp; Metallurgy - Bulgaria; Bulgarian Academy of Sciences; Medical University Plovdiv; Bulgarian Academy of Sciences; University of Burgas</t>
  </si>
  <si>
    <t>Vlaev, SD (corresponding author), Bulgarian Acad Sci, Inst Chem Engn, Acad G Bonchev Bl 103, Sofia 1113, Bulgaria.</t>
  </si>
  <si>
    <t>mixreac@gmail.com</t>
  </si>
  <si>
    <t>Vlaev, Serafim/0000-0002-3026-1194</t>
  </si>
  <si>
    <t>National Research Fund of Bulgaria [DTK-02/46]</t>
  </si>
  <si>
    <t>National Research Fund of Bulgaria(National Science Fund of Bulgaria)</t>
  </si>
  <si>
    <t>The authors acknowledge the support of the National Research Fund of Bulgaria via grant DTK-02/46.</t>
  </si>
  <si>
    <t>CROATIAN SOC CHEMICAL ENGINEERING TECHNOLOGY</t>
  </si>
  <si>
    <t>ZAGREB</t>
  </si>
  <si>
    <t>BERISLAVICEVA 6, PO BOX 123, HR-10000 ZAGREB, CROATIA</t>
  </si>
  <si>
    <t>0352-9568</t>
  </si>
  <si>
    <t>1846-5153</t>
  </si>
  <si>
    <t>CHEM BIOCHEM ENG Q</t>
  </si>
  <si>
    <t>Chem. Biochem. Eng. Q.</t>
  </si>
  <si>
    <t>10.15255/CABEQ.2015.2276</t>
  </si>
  <si>
    <t>Biotechnology &amp; Applied Microbiology; Engineering, Chemical</t>
  </si>
  <si>
    <t>Biotechnology &amp; Applied Microbiology; Engineering</t>
  </si>
  <si>
    <t>EI6ZL</t>
  </si>
  <si>
    <t>Green Submitted, gold, Green Published</t>
  </si>
  <si>
    <t>WOS:000392646300002</t>
  </si>
  <si>
    <t>Dolci, M; Valentini, A; Tavagnacco, D; Di Cianno, A; Straniero, O</t>
  </si>
  <si>
    <t>Evans, CJ; Simard, L; Takami, H</t>
  </si>
  <si>
    <t>Dolci, Mauro; Valentini, Angelo; Tavagnacco, Daniele; Di Cianno, Amico; Straniero, Oscar</t>
  </si>
  <si>
    <t>Operational challenges for astronomical instrumentation in Antarctica. Results from 5-years of environmental monitoring of AMICA at Dome C</t>
  </si>
  <si>
    <t>GROUND-BASED AND AIRBORNE INSTRUMENTATION FOR ASTRONOMY VI</t>
  </si>
  <si>
    <t>Conference on Ground-Based and Airborne Instrumentation for Astronomy VI</t>
  </si>
  <si>
    <t>JUN 26-30, 2016</t>
  </si>
  <si>
    <t>Antarctica; Environmental conditions; Astronomical instrumentation; Infrared camera</t>
  </si>
  <si>
    <t>2-M CLASS TELESCOPE; SITE; IRAIT</t>
  </si>
  <si>
    <t>The Antarctic Plateau is one of the best observing sites on Earth, especially for infrared astronomy. The extremely low temperatures (down to -80 C), the low pressure (around 650 mbar) and the very dry atmosphere (PWV less than 1 mm) allow for a very clear and dark sky, as well as for a very low instrumental background. These unique properties, however, make it also very difficult to install and operate astronomical instrumentation. AMICA (Antarctic Multiband Infrared CAmera) is an instrument especially designed for Antarctic operation, whose installation at Dome C has been completed in 2013. Since then it has been continuously working over the last five years, monitoring and controlling in particular the environmental and operating conditions through a dedicated application, its Environmental Control System (ECS). The recorded behavior of AMICA highlighted a set of peculiar aspects of the site that are hard to consider a priori. Although mechanical and electronic COTS components can reliably work in thermally insulated and controlled boxes, simple insulation causes their overheating because of the air dryness and rarefaction which make the heat transfer extremely inefficient. Heat removal is also a real problem when managing heavy-duty devices like cryocoolers, whose excess power removal needs to be fast and efficient. Finally, the lack of an electrical ground generates a wide variety of transient electrical and electromagnetic phenomena which often make electronic instrumentation very unstable. A list of new recommendations is therefore presented, as a guideline for future astronomical instruments operating in Antarctica.</t>
  </si>
  <si>
    <t>[Dolci, Mauro; Valentini, Angelo; Di Cianno, Amico; Straniero, Oscar] INAF Osservatorio Astron Teramo, Via Maggini Snc, I-64100 Teramo, Italy; [Tavagnacco, Daniele] INAF Osservatorio Astron Trieste, Via GB Tiepolo 11, I-34143 Trieste, Italy</t>
  </si>
  <si>
    <t>Istituto Nazionale Astrofisica (INAF); Istituto Nazionale Astrofisica (INAF)</t>
  </si>
  <si>
    <t>Dolci, M (corresponding author), INAF Osservatorio Astron Teramo, Via Maggini Snc, I-64100 Teramo, Italy.</t>
  </si>
  <si>
    <t>Dolci, Mauro/0000-0001-8000-5642; Straniero, Oscar/0000-0002-5514-6125</t>
  </si>
  <si>
    <t>978-1-5106-0196-3</t>
  </si>
  <si>
    <t>99089D</t>
  </si>
  <si>
    <t>10.1117/12.2231652</t>
  </si>
  <si>
    <t>Astronomy &amp; Astrophysics; Instruments &amp; Instrumentation; Optics</t>
  </si>
  <si>
    <t>BG7NF</t>
  </si>
  <si>
    <t>WOS:000391509100259</t>
  </si>
  <si>
    <t>Ichikawa, T; Obata, T</t>
  </si>
  <si>
    <t>Ichikawa, Takashi; Obata, Tomokazu</t>
  </si>
  <si>
    <t>An optical design of the wide-field imaging and multi-object spectrograph for an Antarctic infrared telescope</t>
  </si>
  <si>
    <t>Antarctica; infrared; exoplanet; transit; spectra</t>
  </si>
  <si>
    <t>SYSTEMS; CAMERA</t>
  </si>
  <si>
    <t>A design of the wide-field infrared camera (AIRC) for Antarctic 2.5m infrared telescope (AIRT) is presented. The off-axis design provides a 7'.5 x 7'.5 field of view with 0 ''.22 pixel(-1) in the wavelength range of 1 to 5 mu m for the simultaneous three-color bands using cooled optics and three 2048x 2048 InSb focal plane arrays. Good image quality is obtained over the entire field of view with practically no chromatic aberration. The image size corresponds to the refraction limited for 2.5 m telescope at 2 pm and longer. To enjoy the stable atmosphere with extremely low perceptible water vapor (PWV), superb seeing quality, and the cadence of the polar winter at Dome Fuji on the Antarctic plateau, the camera will be dedicated to the transit observations of exoplanets. The function of a multi-object spectroscopic mode with low spectra resolution (R similar to 50-100) will be added for the spectroscopic transit observation at 1-5 mu m. The spectroscopic capability in the environment of extremely low PWV of Antarctica will be very effective for the study of the existence of water vapor in the atmosphere of super earths.</t>
  </si>
  <si>
    <t>[Ichikawa, Takashi; Obata, Tomokazu] Tohoku Univ, Astron Inst, Aoba Ku, Sendai, Miyagi 9808578, Japan</t>
  </si>
  <si>
    <t>Tohoku University</t>
  </si>
  <si>
    <t>Ichikawa, T (corresponding author), Tohoku Univ, Astron Inst, Aoba Ku, Sendai, Miyagi 9808578, Japan.</t>
  </si>
  <si>
    <t>ichikawa@astr.tohoku.ac.jp</t>
  </si>
  <si>
    <t>99083J</t>
  </si>
  <si>
    <t>10.1117/12.2230486</t>
  </si>
  <si>
    <t>WOS:000391509100101</t>
  </si>
  <si>
    <t>Bernardi, J; de Vasconcelos, ERTPP; Lhullier, C; Gerber, T; Neto, PC; Pellizzari, FM</t>
  </si>
  <si>
    <t>Bernardi, Juliane; de Vasconcelos, Edson R. T. P. P.; Lhullier, Cintia; Gerber, Thaise; Colepicolo Neto, Pio; Pellizzari, Franciane M.</t>
  </si>
  <si>
    <t>Preliminary data of antioxidant activity of green seaweeds (Ulvophyceae) from the Southwestern Atlantic and Antarctic Maritime islands</t>
  </si>
  <si>
    <t>HIDROBIOLOGICA</t>
  </si>
  <si>
    <t>Green seaweeds; reactive oxygen species; phenolic contents; photoprotectants</t>
  </si>
  <si>
    <t>BIOSYNTHESIS</t>
  </si>
  <si>
    <t>Background. Seaweeds must survive in highly competitive environments and thus develop defense strategies that may produce highly diversified antioxidant compounds. Goals. The main objective of this work was to assess the antioxidant activity of green seaweeds. Methods. Six species of ulvophycean chlorophytes were collected during spring/summer, between the Antarctic (Monostroma hariotii, Protomonostroma rosulatum and Ulva hookeriana - formerly as U. bulbosa) and the southwestern Atlantic Ocean (Gayralia brasiliensis, Protomonostroma undulatum and Ulva fasciata). They were then tested for their antioxidant activities using the 2.2-diphenyl-picrylhydrazyl (DPPH) radical scavenging method and by quantification of their phenolic (expressed as gallic acid equivalent -GAE - and carotenoid contents. Results. Among the evaluated species, P. rosulatum and U. hookeriana showed high antioxidant potential (77.9 +/- 2.8 and 53.1 +/- 15.0%, respectively) and high phenolic content (176 +/- 6.0 and 144.7 +/- 8.9 mu g GAE g(-1), respectively). These species were collected on King George Island (South Shetland archipelago, around the Antarctic Peninsula) and their higher antioxidant potential may be associated with adaptation to the high incidence of UV rays in this region during summer. In general, tested seaweeds, mainly the samples collected in the Antarctic and Chilean Patagonia, showed higher values of phenolic (from 58.3 +/- 2.0 to 144.7 +/- 8.9 mu g GAE g(-1)) and carote-noid contents (from 23.4 +/- 0.2 to 51.5 +/- 0.1 mu g beta-carotene g(-1)). Conclusions. The presence and levels of these compounds suggest that the target seaweeds may have high antioxidant potential. Also the antioxidant activity could be associated with the occurrence area of the species instead of the order or taxonomic group to which they belong.</t>
  </si>
  <si>
    <t>[Bernardi, Juliane; de Vasconcelos, Edson R. T. P. P.] Univ Fed Pernambuco, Dept Oceanog, Lab Macroalgas, Av Prof Moraes Rego,1235 Cidade Univ, BR-50670901 Recife, PE, Brazil; [Lhullier, Cintia] Univ Fed Santa Catarina, Dept Ciencias Farmaceut, Lab Quim Farmaceut, Florianopolis, SC, Brazil; [Gerber, Thaise] Univ Fed Santa Catarina, Dept Bot, Florianopolis, SC, Brazil; [Colepicolo Neto, Pio] Univ Sao Paulo, Inst Quim, Dept Bioquim, Sao Paulo, SP, Brazil; [Pellizzari, Franciane M.] Univ Estadual Parana, Campus Paranagua, Paranagua, Brazil</t>
  </si>
  <si>
    <t>Universidade Federal de Pernambuco; Universidade Federal de Santa Catarina (UFSC); Universidade Federal de Santa Catarina (UFSC); Universidade de Sao Paulo</t>
  </si>
  <si>
    <t>Bernardi, J (corresponding author), Univ Fed Pernambuco, Dept Oceanog, Lab Macroalgas, Av Prof Moraes Rego,1235 Cidade Univ, BR-50670901 Recife, PE, Brazil.</t>
  </si>
  <si>
    <t>bernardijuliane@gmail.com</t>
  </si>
  <si>
    <t>Vasconcelos, Edson/HNJ-6317-2023; Vasconcelos, Juliane Bernardi/V-9778-2017; Vasconcelos, Juliane/JCI-6957-2023; Pellizzari, Franciane M./JLL-6907-2023</t>
  </si>
  <si>
    <t>Vasconcelos, Edson/0000-0001-8198-5590; Vasconcelos, Juliane Bernardi/0000-0003-3947-1144; Gerber, Thaise/0000-0002-6782-7227</t>
  </si>
  <si>
    <t>Marinha do Brasil; Comissao Interministerial para os Recursos do Mar; Programa Antartico Brasileiro; Ministerio da Glenda; Tecnologia e Inovacao; Conselho Nacional de Desenvolvimento Cientifico e Tecnologico; Coordenacao de Aperfeicoamento de Pessoal de Nivel Superior; Post-Graduation Program in Coastal and Oceanic Systems (PGSISCO/CEM) of Universidade Federal do Parana</t>
  </si>
  <si>
    <t>Marinha do Brasil; Comissao Interministerial para os Recursos do Mar; Programa Antartico Brasileiro; Ministerio da Glenda; Tecnologia e Inovacao; Conselho Nacional de Desenvolvimento Cientifico e Tecnologico(Conselho Nacional de Desenvolvimento Cientifico e Tecnologico (CNPQ)); Coordenacao de Aperfeicoamento de Pessoal de Nivel Superior(Coordenacao de Aperfeicoamento de Pessoal de Nivel Superior (CAPES)); Post-Graduation Program in Coastal and Oceanic Systems (PGSISCO/CEM) of Universidade Federal do Parana</t>
  </si>
  <si>
    <t>The authors thank Marinha do Brasil, Comissao Interministerial para os Recursos do Mar, Programa Antartico Brasileiro, Ministerio da Glenda, Tecnologia e Inovacao and Conselho Nacional de Desenvolvimento Cientifico e Tecnologico for logistics and financial support during samplings. The authors also thank Coordenacao de Aperfeicoamento de Pessoal de Nivel Superior and the Post-Graduation Program in Coastal and Oceanic Systems (PGSISCO/CEM) of Universidade Federal do Parana for the scholarship grant. The authors acknowledge Dr. Paulo Antunes Horta for use of equipment in the Phycology Laboratory of Universidade Federal de Santa Catarina, and Dr. Erik Lam, from State University of New Jersey, for caring reviewing of the manuscript.</t>
  </si>
  <si>
    <t>UNIV AUTONOMA METROPOLITANA-IZTAPALAPA</t>
  </si>
  <si>
    <t>MEXICO</t>
  </si>
  <si>
    <t>C/O DR JAIME VERNON-CARTER, SAN RAFAEL ATLIXCO NO 186, COL VICENTINA, DELEGACION IZTAPALAPA, MEXICO, 09340, MEXICO</t>
  </si>
  <si>
    <t>0188-8897</t>
  </si>
  <si>
    <t>Hidrobiologica</t>
  </si>
  <si>
    <t>10.24275/uam/izt/dcbs/hidro/2016v26n2/Bernardi</t>
  </si>
  <si>
    <t>Marine &amp; Freshwater Biology</t>
  </si>
  <si>
    <t>EI9KF</t>
  </si>
  <si>
    <t>WOS:000392826100007</t>
  </si>
  <si>
    <t>Nigamatzyanova, G; Fedorova, I; Frolova, L; Sidorina, I; Tenchikov, A</t>
  </si>
  <si>
    <t>Nigamatzyanova, Gulnara; Fedorova, Irina; Frolova, Larisa; Sidorina, Inessa; Tenchikov, Aleksandr</t>
  </si>
  <si>
    <t>ASSESSMENT OF THE ECOLOGICAL STATE OF THE LARSEMANN HILLS OASIS LAKES (EAST ANTARCTICA) BASED ON HYDROLOGIC AND HYDROBIOLOGIC INDICATORS</t>
  </si>
  <si>
    <t>ECOLOGY, ECONOMICS, EDUCATION AND LEGISLATION CONFERENCE PROCEEDINGS, SGEM 2016, VOL II</t>
  </si>
  <si>
    <t>Antarctic; aquatic ecosystems; hydrology; hydrobiology</t>
  </si>
  <si>
    <t>The article presents the results of a current ecological status estimation of The Larsemann Hills oasis freshwater lakes (the East Antarctica) based on hydrologic and hydro-biological indicators. Available material on the features of the lakes aquatic ecosystems were summarized with using of literature sources and authors' filed data. New data had been input in a Database and visualized with the use of GIS technology. Thus, graphs, charts, spatio-temporal patterns of the lake systems modes parameters were described. Lakes hydrochemical indicators had a large range and varied during a summer season significantly. According to the received results researched lakes belong to the oligotrophic type of trophic status and water quality, and phosphorus is a key nutrient element limiting a primary production in water body. The lakes have a high ability of a self-cleaning due to both a huge water volume and zooplankton high filtration activity. Considered lakes are characterized by a low resistance for environmental parameter changes.</t>
  </si>
  <si>
    <t>[Nigamatzyanova, Gulnara; Fedorova, Irina; Frolova, Larisa] Kazan Fed Univ, Kazan, Russia; [Fedorova, Irina] Arctic &amp; Antarctic Res Inst, St Petersburg, Russia; [Fedorova, Irina; Sidorina, Inessa] St Petersburg State Univ, St Petersburg 199034, Russia; [Tenchikov, Aleksandr] Coll Construct Ind &amp; Municipal Econ, St Petersburg State Educ Inst Secondary Vocat Tra, St Petersburg, Russia</t>
  </si>
  <si>
    <t>Kazan Federal University; Arctic &amp; Antarctic Research Institute; Saint Petersburg State University</t>
  </si>
  <si>
    <t>Nigamatzyanova, G (corresponding author), Kazan Fed Univ, Kazan, Russia.</t>
  </si>
  <si>
    <t>Frolova, Larisa/ABF-2087-2020; Frolova, Larisa/JCE-4625-2023; Frolova, Larisa/K-8721-2015; Fedorova, Irina/N-3436-2013</t>
  </si>
  <si>
    <t>Frolova, Larisa/0000-0001-8505-0151; Fedorova, Irina/0000-0001-5370-427X</t>
  </si>
  <si>
    <t>978-619-7105-66-7</t>
  </si>
  <si>
    <t>Ecology; Engineering, Environmental</t>
  </si>
  <si>
    <t>Environmental Sciences &amp; Ecology; Engineering</t>
  </si>
  <si>
    <t>BG7NW</t>
  </si>
  <si>
    <t>WOS:000391519600016</t>
  </si>
  <si>
    <t>Wu, N; Liang, QL; Gogineni, P</t>
  </si>
  <si>
    <t>Wu, Na; Liang, Qilian; Gogineni, Prasad</t>
  </si>
  <si>
    <t>Greenland Bed Elevation Resolution Improvement Via Compressive Sensing and Co-prime Up-sampling</t>
  </si>
  <si>
    <t>MILCOM 2016 - 2016 IEEE MILITARY COMMUNICATIONS CONFERENCE</t>
  </si>
  <si>
    <t>IEEE Military Communications Conference</t>
  </si>
  <si>
    <t>35th IEEE Military Communications Conference (MILCOM)</t>
  </si>
  <si>
    <t>NOV 01-03, 2016</t>
  </si>
  <si>
    <t>Baltimore, MD</t>
  </si>
  <si>
    <t>We propose an approach based on co-prime up-sampling and compressive sensing to increase the resolution of sparse sampled images. Although a lot of research has been studied on compressive sensing (CS), none of it is on bed map resolution improvement. The bed elevation and basal conditions of the Greenland and Antarctic ice sheets are important to numerical modeling of these ice sheets, but it's difficult to collect data over these large ice sheets with airborne radars to generate a high resolution bed map. Furthermore, processing with a large number of data sets would be a major problem. Based on the existing interpolation approaches, a simple nearest neighbor estimation method is introduced in this work. In addition, we improve the gradient projection for sparse reconstruction (GPSR) algorithm with co-prime up-sampling and test it on the Greenland bed elevation raw data set. The simulation results show that the new approach not only reduces the estimation error in reconstruction process, but also improves the resolution dramatically in comparison with compressive sensing algorithm.</t>
  </si>
  <si>
    <t>[Wu, Na; Liang, Qilian] Univ Texas Arlington, Dept Elect Engn, Arlington, TX 76019 USA; [Gogineni, Prasad] Univ Kansas, Ctr Remote Sensing Ice Sheets, Lawrence, KS 66045 USA; [Gogineni, Prasad] Univ Kansas, Dept EECS, Lawrence, KS 66045 USA</t>
  </si>
  <si>
    <t>University of Texas System; University of Texas Arlington; University of Kansas; University of Kansas</t>
  </si>
  <si>
    <t>Wu, N (corresponding author), Univ Texas Arlington, Dept Elect Engn, Arlington, TX 76019 USA.</t>
  </si>
  <si>
    <t>na.wu@mavs.uta.edu; liang@uta.edu; gogineni@cresis.ku.edu</t>
  </si>
  <si>
    <t>2155-7578</t>
  </si>
  <si>
    <t>978-1-5090-3781-0</t>
  </si>
  <si>
    <t>IEEE MILIT COMMUN C</t>
  </si>
  <si>
    <t>Telecommunications</t>
  </si>
  <si>
    <t>BG7LX</t>
  </si>
  <si>
    <t>WOS:000391433600124</t>
  </si>
  <si>
    <t>Liu, CC; Chen, CM; Yang, CH; Pai, TW; Lim, PE; Phang, SM; Poong, SW; Lee, KK</t>
  </si>
  <si>
    <t>Barolli, L; Xhafa, F; Ikeda, M</t>
  </si>
  <si>
    <t>Liu, Chun-Cheng; Chen, Chien-Ming; Yang, Cin-Han; Pai, Tun-Wen; Lim, Phaik-Eem; Phang, Siew-Moi; Poong, Sze-Wan; Lee, Kok-Keong</t>
  </si>
  <si>
    <t>Biological Pathway Analysis for de novo Transcriptomes through Multiple Reference Species Selections</t>
  </si>
  <si>
    <t>PROCEEDINGS OF 2016 10TH INTERNATIONAL CONFERENCE ON COMPLEX, INTELLIGENT, AND SOFTWARE INTENSIVE SYSTEMS (CISIS)</t>
  </si>
  <si>
    <t>10th International Conference on Complex, Intelligent, and Software Intensive Systems (CISIS)</t>
  </si>
  <si>
    <t>JUL 06-08, 2016</t>
  </si>
  <si>
    <t>Fukuoka Inst Technol, Fukuoka, JAPAN</t>
  </si>
  <si>
    <t>Fukuoka Inst Technol</t>
  </si>
  <si>
    <t>component; RNA-Seq; de novo species; multiple reference species; biological pathway</t>
  </si>
  <si>
    <t>For de novo transcriptome analysis, choosing a closest reference model specie in terms of evolutionary distance is a general approach for gene mapping and genome annotations. However, not every selected reference model species possesses comprehensive genome annotations and curated information, and the total number of mapped genes from the selected reference species could not be fully expected either. Due to inefficient mapped genes from the selected reference model species, the following functional pathway analysis on transcriptome datasets would be seriously affected. To solve this problem, we proposed an improved approach based on multiple reference model species selection, especially for KEGG pathway analysis on differentially expressed genes. Applying union operations on individually mapped genes from different selected species, we could significantly promote the integrity of gene mapping results in KEGG pathways and provide realistic P-values for each identified pathway. Furthermore, based on mapped genes and KGML datasets, we applied various gray-levels, colors and shapes to present gene expression conditions on each biological pathway. Taking NGS transcriptomic datasets from an unknown Antarctic green alga species as an experimental example and selecting three published known species including Chlamydomonas reinhardtii, Chlorella variabilis, and Coccomyxa subellipsoidea as candidate reference species, we compared the results of pathway enrichment analysis by adopting different selections of reference species. We found that integrating all mapped genes from various model species provided a better result compared to using any single reference species. Some missed important biological pathways could be retrieved under an identical threshold setting of P-value, such as Ribosome, Pyrimidine metabolism and ABC transporters pathways. Therefore, we believe appropriate selection of multiple reference species is necessary and significant for transcriptome analysis on de novo species.</t>
  </si>
  <si>
    <t>[Liu, Chun-Cheng; Chen, Chien-Ming; Yang, Cin-Han; Pai, Tun-Wen] Natl Taiwan Ocean Univ, Dept Comp Sci &amp; Engn, Keelung, Taiwan; [Lim, Phaik-Eem; Phang, Siew-Moi; Poong, Sze-Wan; Lee, Kok-Keong] Univ Malaya, Inst Ocean &amp; Earth Sci, Kuala Lumpur, Malaysia; [Phang, Siew-Moi] Univ Malaya, Inst Biol Sci, Kuala Lumpur, Malaysia; [Lee, Kok-Keong] Univ Malaya, Inst Grad Studies, Kuala Lumpur, Malaysia</t>
  </si>
  <si>
    <t>National Taiwan Ocean University; Universiti Malaya; Universiti Malaya; Universiti Malaya</t>
  </si>
  <si>
    <t>Pai, TW (corresponding author), Natl Taiwan Ocean Univ, Dept Comp Sci &amp; Engn, Keelung, Taiwan.;Lim, PE (corresponding author), Univ Malaya, Inst Ocean &amp; Earth Sci, Kuala Lumpur, Malaysia.</t>
  </si>
  <si>
    <t>twp@mail.ntou.edu.tw; phaikeem@um.edu.my</t>
  </si>
  <si>
    <t>LIM, Phaik Eem/B-5331-2010; Poong, Sze Wan/S-2212-2016; Phang, Siew Moi/A-7653-2008</t>
  </si>
  <si>
    <t>LIM, Phaik Eem/0000-0001-9186-1487; Poong, Sze Wan/0000-0003-4033-864X;</t>
  </si>
  <si>
    <t>978-1-5090-0987-9</t>
  </si>
  <si>
    <t>10.1109/CISIS.2016.73</t>
  </si>
  <si>
    <t>Computer Science, Artificial Intelligence; Computer Science, Software Engineering; Computer Science, Theory &amp; Methods; Engineering, Electrical &amp; Electronic</t>
  </si>
  <si>
    <t>Computer Science; Engineering</t>
  </si>
  <si>
    <t>BG7OQ</t>
  </si>
  <si>
    <t>WOS:000391528700031</t>
  </si>
  <si>
    <t>Isioye, OA</t>
  </si>
  <si>
    <t>Inst Navigat</t>
  </si>
  <si>
    <t>Isioye, Olalekan Adekunle</t>
  </si>
  <si>
    <t>Evaluation of Surface Variables from Global Reanalysis Models and their Application in Precipitable Water Vapour Retrieval from GNSS Observations over Nigeria</t>
  </si>
  <si>
    <t>PROCEEDINGS OF THE 29TH INTERNATIONAL TECHNICAL MEETING OF THE SATELLITE DIVISION OF THE INSTITUTE OF NAVIGATION (ION GNSS+ 2016)</t>
  </si>
  <si>
    <t>Institute of Navigation Satellite Division Proceedings of the International Technical Meeting</t>
  </si>
  <si>
    <t>29th International Technical Meeting of The-Satellite-Division-of-the-Institute-of-Navigation (ION GNSS+)</t>
  </si>
  <si>
    <t>SEP 12-16, 2016</t>
  </si>
  <si>
    <t>Portland, OR</t>
  </si>
  <si>
    <t>Zenith Tropospheric Delay (ZTD); Precipitable Water Vapour (PWV); Global Pressure Temperature 2 (GPT2); Numerical Weather Prediction (NWP); Automatic Weather Observing Stations (AWOS); Global Navigation Satellite System (GNSS); Reanalysis model</t>
  </si>
  <si>
    <t>NUMERICAL WEATHER PREDICTION; GROUND-BASED GPS; ANTARCTIC OSCILLATION; NWP MODEL; ECMWF; METEOROLOGY; NCEP/NCAR; ERA-40; DELAYS; CLIMATOLOGIES</t>
  </si>
  <si>
    <t>This study investigated the accuracy and suitability of using reanalysis datasets in retrieving atmospheric precipitable water vapour (PWV) from ground-based global navigation satellite system (GNSS) observations over Nigeria. To achieve the objective of the study, the research was conducted in two parts. In the first part of the study, three surface variables (temperature, pressure, and humidity) from NCEP/NCAR and ERA-Interim Reanalysis models were compared with observations at 26 automatic weather observing stations in order to ascertain the accuracy of the models. In the second part of the study the feasibility of retrieving PWV from GNSS using reanalysis data was investigated. The GPT2 empirical meteorological model, of which the climatological dataset is on fields of ERA-Interim and which is specifically recommended for GNSS and other geodetic applications, was investigated as well. Standard verification indices as recommended by the World Meteorological Organization were adopted in evaluating the models. The results established perfect agreement between the theoretically simulated precision of PWV estimated from ERA-Interim and NCEP/NCAR and that based on actual or practical formulations and data. Both estimates show that PWV can be retrieved to within a precision of about 1 mm provided GNSS-derived zenith tropospheric delay is of high precision. Finally, based on the results and findings of this study, the use of reanalysis models in the retrieval of PWV from GNSS is recommended for users in Nigeria and also to improve on the precision of PWV retrieval from GNSS. We further recommend that a regional/local model of the atmospheric mean temperature be developed.</t>
  </si>
  <si>
    <t>[Isioye, Olalekan Adekunle] Univ Pretoria, Dept Geog Geoinformat &amp; Meteorol, ZA-0002 Pretoria, South Africa</t>
  </si>
  <si>
    <t>University of Pretoria</t>
  </si>
  <si>
    <t>Isioye, OA (corresponding author), Univ Pretoria, Dept Geog Geoinformat &amp; Meteorol, ZA-0002 Pretoria, South Africa.</t>
  </si>
  <si>
    <t>u13390742@tuks.co.za</t>
  </si>
  <si>
    <t>isioye, olalekan/N-1795-2019</t>
  </si>
  <si>
    <t>isioye, olalekan/0000-0001-5734-5374</t>
  </si>
  <si>
    <t>INST NAVIGATION</t>
  </si>
  <si>
    <t>WASHINGTON</t>
  </si>
  <si>
    <t>815 15TH ST NW, STE 832, WASHINGTON, DC 20005 USA</t>
  </si>
  <si>
    <t>2331-5911</t>
  </si>
  <si>
    <t>2331-5954</t>
  </si>
  <si>
    <t>I NAVIG SAT DIV INT</t>
  </si>
  <si>
    <t>BG7MT</t>
  </si>
  <si>
    <t>WOS:000391479501060</t>
  </si>
  <si>
    <t>Clemens, J; Schill, K</t>
  </si>
  <si>
    <t>Clemens, Joachim; Schill, Kerstin</t>
  </si>
  <si>
    <t>Extended Kalman Filter with Manifold State Representation for Navigating a Maneuverable Melting Probe</t>
  </si>
  <si>
    <t>2016 19TH INTERNATIONAL CONFERENCE ON INFORMATION FUSION (FUSION)</t>
  </si>
  <si>
    <t>19th International Conference on Information Fusion (FUSION)</t>
  </si>
  <si>
    <t>JUL 05-08, 2016</t>
  </si>
  <si>
    <t>Heidelberg, GERMANY</t>
  </si>
  <si>
    <t>ICE; ENCELADUS; SOUND</t>
  </si>
  <si>
    <t>We present a multi-sensor fusion approach based on an extended Kalman filter for estimating position and attitude in 3-dimensional space. The corresponding state is represented by a manifold that allows for a robust and mathematically consistent estimation of the state and uncertainty. The filter is used for navigating a maneuverable melting probe through deep ice, which is designed for in-situ sample analysis missions to icy bodies of our solar system. It is equipped with a variety of sensors for inertial navigation and absolute positioning that account for the fact that no global navigation satellite system (GNSS) can be used. The probe and navigation technologies were successfully tested on European and Antarctic glaciers. We demonstrate the performance of our algorithm and compare it to a particle filter approach in different simulated and real-world scenarios.</t>
  </si>
  <si>
    <t>[Clemens, Joachim; Schill, Kerstin] Univ Bremen, Cognit Neuroinformat, Enrique Schmidt Str 5, D-28359 Bremen, Germany</t>
  </si>
  <si>
    <t>University of Bremen</t>
  </si>
  <si>
    <t>Clemens, J (corresponding author), Univ Bremen, Cognit Neuroinformat, Enrique Schmidt Str 5, D-28359 Bremen, Germany.</t>
  </si>
  <si>
    <t>jclemens@informatik.uni-bremen.de; kschill@informatik.uni-bremen.de</t>
  </si>
  <si>
    <t>978-0-9964-5274-8</t>
  </si>
  <si>
    <t>Computer Science, Theory &amp; Methods; Engineering, Electrical &amp; Electronic</t>
  </si>
  <si>
    <t>BG7HA</t>
  </si>
  <si>
    <t>WOS:000391273400238</t>
  </si>
  <si>
    <t>Linty, N; Romero, R; Cristodaro, C; Dovis, F; Bavaro, M; Curran, JT; Fortuny-Guasch, J; Ward, J; Lamprecht, G; Riley, P; Cilliers, P; Correia, E; Alfonsi, L</t>
  </si>
  <si>
    <t>Linty, Nicola; Romero, Rodrigo; Cristodaro, Calogero; Dovis, Fabio; Bavaro, Michele; Curran, James T.; Fortuny-Guasch, Joaquim; Ward, Jonathan; Lamprecht, Gert; Riley, Padraig; Cilliers, Pierre; Correia, Emilia; Alfonsi, Lucilla</t>
  </si>
  <si>
    <t>Ionospheric scintillation threats to GNSS in polar regions: the DemoGRAPE case study in Antarctica</t>
  </si>
  <si>
    <t>2016 EUROPEAN NAVIGATION CONFERENCE (ENC)</t>
  </si>
  <si>
    <t>European Navigation Conference (ENC)</t>
  </si>
  <si>
    <t>MAY 30-JUN 02, 2016</t>
  </si>
  <si>
    <t>HELSINKI, FINLAND</t>
  </si>
  <si>
    <t>This paper addresses the design and implementation of an Ionospheric Scintillation Monitoring Receiver based on the Software Defined Radio paradigm. The monitoring platform exploits a digital data grabber and a GNSS fully software receiver, which grants a high level of flexibility for the processing strategy and the storage of raw samples of the signals in case of meaningful scintillation events. Such an implementation approach yields valuable advantages in critical areas, such as polar regions, where resources are limited and installation or maintenance and replacement of GNSS receivers may be critical. The paper describes the successful installations of the platforms in two Antarctic stations, providing results at the same quality level of professional GNSS receivers used for ionospheric scintillation monitoring.</t>
  </si>
  <si>
    <t>[Linty, Nicola; Romero, Rodrigo; Cristodaro, Calogero; Dovis, Fabio] Politecn Torino, Dept Elect &amp; Telecommun DET, Turin, Italy; [Bavaro, Michele; Curran, James T.; Fortuny-Guasch, Joaquim] European Commiss JRC, Inst Protect &amp; Secur Citizen, Secur Technol Assessment Unit, Ispra, VA, Italy; [Ward, Jonathan; Lamprecht, Gert; Riley, Padraig; Cilliers, Pierre] SANSA Space Sci, Hermanus, South Africa; [Correia, Emilia] INPE, Div Astrofis, Sao Paulo, Brazil; [Alfonsi, Lucilla] INGV, Upper Atmosphere Phys, Rome, Italy</t>
  </si>
  <si>
    <t>Polytechnic University of Turin; European Commission Joint Research Centre; EC JRC ISPRA Site; Instituto Nacional de Pesquisas Espaciais (INPE); Istituto Nazionale Geofisica e Vulcanologia (INGV)</t>
  </si>
  <si>
    <t>Linty, N (corresponding author), Politecn Torino, Dept Elect &amp; Telecommun DET, Turin, Italy.</t>
  </si>
  <si>
    <t>nicola.linty@polito.it; rodrigo.romero@polito.it; calogero.cristodaro@polito.it; fabio.davis@polito.it; michele.bavaro@jrc.ec.europa.eu; james.curran@jrc.ec.europa.eu; joaquim.fortuny-guasch@jrc.ec.europa.eu; nward@sansa.org.za; nlamprecht@sansa.org.za; nriley@sansa.org.za; ncilliers@sansa.org.za; ecorreia@craam.mackenzie.br; lucilla.alfonsi@ingv.it</t>
  </si>
  <si>
    <t>Correia, Emilia/F-6802-2012; Cilliers, Pierre/AAA-2032-2019; Linty, Nicola/I-1212-2019; Dovis, Fabio/F-3843-2012; Cilliers, Pierre/ABI-2944-2020</t>
  </si>
  <si>
    <t>Correia, Emilia/0000-0003-4778-3834; Linty, Nicola/0000-0001-9795-8693; Dovis, Fabio/0000-0001-6078-9099; Cilliers, Pierre/0000-0003-3175-5134</t>
  </si>
  <si>
    <t>978-1-4799-8915-7</t>
  </si>
  <si>
    <t>Engineering, Electrical &amp; Electronic; Remote Sensing</t>
  </si>
  <si>
    <t>Engineering; Remote Sensing</t>
  </si>
  <si>
    <t>BG7GN</t>
  </si>
  <si>
    <t>WOS:000391255800009</t>
  </si>
  <si>
    <t>Frolova, L; Ibragimova, A; Fedorova, I</t>
  </si>
  <si>
    <t>Frolova, Larisa; Ibragimova, Aisylu; Fedorova, Irina</t>
  </si>
  <si>
    <t>STRATIGRAPHY OF CLADOCERA IN A CORE FROM A YAMAL PENINSULA LAKE (ARCTIC RUSSIA)</t>
  </si>
  <si>
    <t>ENERGY AND CLEAN TECHNOLOGIES CONFERENCE PROCEEDINGS, SGEM 2016, VOL II</t>
  </si>
  <si>
    <t>subfossil Cladocera; palaeolimnology; palaeoclimatology; Yamal peninsula; Russian Arctic</t>
  </si>
  <si>
    <t>Arctic regions are most sensitive to global climate change and Arctic waters are an excellent indicator of a current increase in air temperature on the planet. Yamal peninsula is one of a scientifically interesting part of the Arctic. It is a lake-swamp system with unique hydrological, biological, and geochemical particularities. On the one hand, the most part of water objects are under marine influence according to Yamal geographical position, at low level above the see; on the other hand, objects have a strong anthropogenic impact from oil and gas production. We studied a short sediment core from a lake in Pyasedayakha river catchment area. A total of 24 cladoceran taxa, of which 11 are in the family Chydoridae (chydorids), were identified from the 28 samples. The cladoceran stratigraphy was divided into three faunal zones and was characterized by the dominance of Chydorus sphaericus s.l., Bosmina (Eubosmina) sp., Bosmina longirostris and Alona affinis. Cladoceran assemblage changes occurred coincident with the timing of known regional warming and were strongly linked to estimated changes in primary production. Last warming has resulted in increase of the planktonic taxon Bosmina spp.and coincided with a decrease in the littoral taxa Chydorus sphaericus s.l.</t>
  </si>
  <si>
    <t>[Frolova, Larisa; Ibragimova, Aisylu] Kazan Fed Univ, Kazan, Russia; [Fedorova, Irina] Arctic &amp; Antarctic Res Inst, St Petersburg, Russia; [Fedorova, Irina] St Petersburg State Univ, St Petersburg, Russia</t>
  </si>
  <si>
    <t>Frolova, L (corresponding author), Kazan Fed Univ, Kazan, Russia.</t>
  </si>
  <si>
    <t>Frolova, Larisa/K-8721-2015; Frolova, Larisa/JCE-4625-2023; Frolova, Larisa/ABF-2087-2020; Ibragimova, Aisylu/AAE-7203-2020; Fedorova, Irina/N-3436-2013</t>
  </si>
  <si>
    <t>978-619-7105-64-3</t>
  </si>
  <si>
    <t>Green &amp; Sustainable Science &amp; Technology; Engineering, Environmental; Meteorology &amp; Atmospheric Sciences</t>
  </si>
  <si>
    <t>Science &amp; Technology - Other Topics; Engineering; Meteorology &amp; Atmospheric Sciences</t>
  </si>
  <si>
    <t>BG7IO</t>
  </si>
  <si>
    <t>WOS:000391348700074</t>
  </si>
  <si>
    <t>Seo, M; Kim, HC; Seong, NH; Kwon, C; Kim, H; Han, KS</t>
  </si>
  <si>
    <t>Bostater, CR; Neyt, X; Nichol, C; Aldred, O</t>
  </si>
  <si>
    <t>Seo, Minji; Kim, Hyun-cheol; Seong, Noh-hun; Kwon, Chaeyoung; Kim, Honghee; Han, Kyung-soo</t>
  </si>
  <si>
    <t>Analysis on long-term variability of sea ice albedo and its relationship with sea ice concentration over Antarctica</t>
  </si>
  <si>
    <t>REMOTE SENSING OF THE OCEAN, SEA ICE, COASTAL WATERS, AND LARGE WATER REGIONS 2016</t>
  </si>
  <si>
    <t>Conference on Remote Sensing of the Ocean, Sea Ice, Coastal Waters, and Large Water Regions</t>
  </si>
  <si>
    <t>SEP 26-27, 2016</t>
  </si>
  <si>
    <t>Antarctica; Sea ice albedo; Sea ice concentration</t>
  </si>
  <si>
    <t>Sea ice is an important factor for understanding Antarctic climate change. Especially, annual change of sea ice shows different trend in Antarctica and Arctic. This different variation need to continuously observe the Polar Regions. Sea Ice Albedo (SIA) and Sea Ice Concentration (SIC) are an indicator of variation on sea ice. In addition, albedo is key parameter to understand the energy budget in Antarctica. This being so, it is important to analyze long-term variation of the two factors for observing of change of Antarctic environment. In this study, we analyzed long-term variability of SIC and SIA to understand the changes of sea ice over Antarctic and researched the relationship with two factors. We used the SIA data at The Satellite Application Facility on Climate Monitoring (CM SAF) and the SIC data provided by Ocean and Sea Ice Satellite Application Facility (OSI-SAF) from 1982 to 2009. The study period was selected to Antarctic summer season due to polar nights. We divided study periods into two terms, Nov-Dec(ND) and Jan-Feb(JF) in order to reflect the characteristics of sea ice area, which minimum extend occurred in September and maximum extend occurred in February. We analyzed the correlation between SIA and SIC. As a results, two variables have a strong positive correlation (each correlation coefficients are 0.91 in Nov-Dec and 0.90 in Jan-Feb). We performed time series analysis using linear regression to understand the spatial and temporal tendency of SIA and SIC. As a results, SIA and SIC have a same spatial trend such as Weddle sea and Ross sea sections show the positive trend and Bellingshausen Amundsen sea shows the negative trend of two factors. Moreover, annual SIA change rate is 0.26% similar to 0.04% yr(-1) over section where represent positive trend during two study periods. And annual SIA change rate is -0.14 similar to -0.25 % yr(-1) of in the other part where represent negative trend during two study periods.</t>
  </si>
  <si>
    <t>[Seong, Noh-hun; Kwon, Chaeyoung; Kim, Honghee; Han, Kyung-soo] Pukyong Natl Univ, Div Earth Environm Syst Sci, Spatial Informat Engn, Busan 608737, South Korea; [Kim, Hyun-cheol] Korea Polar Res Inst, Inchon, South Korea</t>
  </si>
  <si>
    <t>Pukyong National University; Korea Institute of Ocean Science &amp; Technology (KIOST); Korea Polar Research Institute (KOPRI)</t>
  </si>
  <si>
    <t>Han, KS (corresponding author), Pukyong Natl Univ, Div Earth Environm Syst Sci, Spatial Informat Engn, Busan 608737, South Korea.</t>
  </si>
  <si>
    <t>kyung-soo.han@pknu.ac.kr</t>
  </si>
  <si>
    <t>978-1-5106-0402-5; 978-1-5106-0403-2</t>
  </si>
  <si>
    <t>99990T</t>
  </si>
  <si>
    <t>10.1117/12.2240156</t>
  </si>
  <si>
    <t>Oceanography; Remote Sensing; Optics</t>
  </si>
  <si>
    <t>BG7IW</t>
  </si>
  <si>
    <t>WOS:000391353700020</t>
  </si>
  <si>
    <t>Scarabino, F; Zelaya, DG; Orensanz, JM; Ortega, L; Defeo, O; Schwindt, E; Carranza, A; Zaffaroni, JC; Martínez, G; Scarabino, V; García-Rodríguez, F</t>
  </si>
  <si>
    <t>Scarabino, Fabrizio; Zelaya, Diego G.; (Lobo) Orensanz, J. M.; Ortega, Leonardo; Defeo, Omar; Schwindt, Evangelina; Carranza, Alvar; Carlos Zaffaroni, Juan; Martinez, Gaston; Scarabino, Victor; Garcia-Rodriguez, Felipe</t>
  </si>
  <si>
    <t>Cold, warm, temperate and brackish: Bivalve biodiversity in a complex oceanographic scenario (Uruguay, southwestern Atlantic)</t>
  </si>
  <si>
    <t>AMERICAN MALACOLOGICAL BULLETIN</t>
  </si>
  <si>
    <t>Article; Proceedings Paper</t>
  </si>
  <si>
    <t>Symposium on Bivalvia of the Americas / 79th Annual Meeting of the American-Malacological-Society in conjunction with the Society-of-Malacology-of-Mexico, the Latinoamerican-Society-of-Malacology, and the Western-Society-of-Malacologists</t>
  </si>
  <si>
    <t>JUN 24-25, 2014</t>
  </si>
  <si>
    <t>Mexico City, MEXICO</t>
  </si>
  <si>
    <t>La Plata River; estuary; shelf; deep-sea; biogeography</t>
  </si>
  <si>
    <t>SOUTH-AMERICA; MOLLUSCA-BIVALVIA; FUNCTIONAL-MORPHOLOGY; MARINE BIVALVES; SHELF; PATAGONICA; FISHERY; COAST; CIRCULATION; MANAGEMENT</t>
  </si>
  <si>
    <t>The temperate zone of the southwestern Atlantic Ocean (23-42 S), which includes the Patagonian Shelf Large Marine Ecosystem and the Subtropical Convergence Zone, is one of the most productive areas of the Southern Hemisphere. Key features of this region are a wide continental shelf, the convergence of cold and warm currents, and continental freshwater input of the La Plata River. The Uruguayan marine and estuarine waters are at the core of this zone. The marine and estuarine bivalve fauna of Uruguay has received good attention since the publication of the Voyage of Alcide d'Orbigny (1834-1846). Here we provide an overview of taxonomic, faunistic and biogeographic issues, identifying knowledge gaps and highlighting priorities for future research. The main threats for that fauna are discussed, with emphasis on species of current or potential socioeconomic interest. Of the 231 species reported from the area, only four species are strictly estuarine: Erodona mactroides Bose, 1801, Tagelus plebeius (Lightfoot, 1786), Brachidontes darwinianus (d'Orbigny, 1842) and Mytella charruana (d'Orbigny, 1842). All of these have large biomasses, as is also the case for the marine eurihaline Mactra isabelleana d'Orbigny, 1846. A total of 112 deep-sea species (i.e., living deeper than 200 m) are recorded for the region, including almost every known group occurring elsewhere in deep-sea basins, with the exception of sunken wood associated species. Of these, 38 have been recorded only from the Argentine Basin. Some new records are preliminarily reported and discussed, including AcharaxDall, 1908 (Solemyidae), Lucinoma Dall, 1901, Graecina Cosel, 2006 (Lucinidae), and Callogonia Dall, 1889 (Vesicomyidae), all from the continental slope. A total of 19 warm and warm/temperate bivalve species have their southern distribution boundary in Uruguayan waters associated to warm waters of/or derived from the Brazil Current, including species distributed from the U.S.A. to Uruguay or from southeast Brazil to Uruguay. On the other hand, at least eight exclusively cold-water bivalves exhibit their northernmost distribution boundary off La Plata River; their occurrence there is associated with offshore sub-Antarctic waters. Uruguayan waters represent a critical biogeographical and ecological crossroads because of the complex interaction of currents and water masses. This region is thus particularly well suited as a system for the study of processes underlying biodiversity patterns. Pending challenges in taxonomic and biogeographic research will be successfully addressed only if multinational collaborative initiatives are undertaken in a framework of integrative taxonomy.</t>
  </si>
  <si>
    <t>[Scarabino, Fabrizio; Ortega, Leonardo; Defeo, Omar; Martinez, Gaston] Direcc Nacl Recursos Acuat, Montevideo 11200, Uruguay; [Scarabino, Fabrizio; Carranza, Alvar; Carlos Zaffaroni, Juan; Scarabino, Victor] Museo Nacl Hist Nat, Montevideo 11000, Uruguay; [Scarabino, Fabrizio; Defeo, Omar; Martinez, Gaston; Garcia-Rodriguez, Felipe] Univ Republ, CURE, Sede Rocha, Rocha, Uruguay; [Zelaya, Diego G.] FCEyN UBA, Dept Biodiversidad &amp; Biol Expt, Caba, Argentina; [(Lobo) Orensanz, J. M.; Schwindt, Evangelina] Ctr Nacl Patagon CENPAT CONICET, Chubut, Argentina; [Defeo, Omar; Garcia-Rodriguez, Felipe] Univ Republica, Fac Ciencias, Montevideo 11400, Uruguay; [Carranza, Alvar] Univ Republ, Sede Maldonado, CURE, Maldonado, Uruguay</t>
  </si>
  <si>
    <t>Universidad de la Republica, Uruguay; Consejo Nacional de Investigaciones Cientificas y Tecnicas (CONICET); Centro Nacional Patagonico (CENPAT); Universidad de la Republica, Uruguay; Universidad de la Republica, Uruguay</t>
  </si>
  <si>
    <t>Scarabino, F (corresponding author), Direcc Nacl Recursos Acuat, Constituyente 1497, Montevideo 11200, Uruguay.</t>
  </si>
  <si>
    <t>fscarabino@cure.edu.uy</t>
  </si>
  <si>
    <t>Carranza, Alvar/J-8270-2019</t>
  </si>
  <si>
    <t>Carranza, Alvar/0000-0003-3016-7955; Ortega, Leonardo/0000-0002-1254-2822; Defeo, Omar/0000-0001-8318-528X; Schwindt, Evangelina/0000-0001-6693-9828</t>
  </si>
  <si>
    <t>AMER MALACOLOGICAL SOC, INC</t>
  </si>
  <si>
    <t>WILMINGTON</t>
  </si>
  <si>
    <t>DELAWARE MUSEUM NATURAL HISTORY, BOX 3937, WILMINGTON, DE 19807-0937 USA</t>
  </si>
  <si>
    <t>0740-2783</t>
  </si>
  <si>
    <t>2162-2698</t>
  </si>
  <si>
    <t>AM MALACOL BULL</t>
  </si>
  <si>
    <t>Am. Malacol. Bull.</t>
  </si>
  <si>
    <t>10.4003/006.033.0219</t>
  </si>
  <si>
    <t>Marine &amp; Freshwater Biology; Zoology</t>
  </si>
  <si>
    <t>Science Citation Index Expanded (SCI-EXPANDED); Conference Proceedings Citation Index - Science (CPCI-S)</t>
  </si>
  <si>
    <t>DA8IN</t>
  </si>
  <si>
    <t>WOS:000368048400012</t>
  </si>
  <si>
    <t>Santos, A; Infante, V; Bamsey, M; Schubert, D</t>
  </si>
  <si>
    <t>Santos, Antonio; Infante, Virginia; Bamsey, Matthew; Schubert, Daniel</t>
  </si>
  <si>
    <t>A case study in the application of failure analysis techniques to Antarctic Systems: EDEN ISS</t>
  </si>
  <si>
    <t>2016 IEEE INTERNATIONAL SYMPOSIUM ON SYSTEMS ENGINEERING (ISSE)</t>
  </si>
  <si>
    <t>2nd Annual IEEE International Symposium on Systems Engineering (ISSE)</t>
  </si>
  <si>
    <t>FMECA; Antarctica; space analogue; reliability assessment</t>
  </si>
  <si>
    <t>This paper presents the utilisation of the FMECA technique to Antarctic equipment development. Dependability techniques, which are traditionally applied to aerospace systems, can also benefit Antarctic systems, improving them from the perspective of reliability, availability, maintainability and safety. As a case study to demonstrate their utility, general failure analysis principles and the standard ECSS-Q-ST-30-02C are applied to the Antarctic space analogue project EDEN ISS. The EDEN ISS project intends to demonstrate plant cultivation technologies for safe food production in future space missions, by deploying a greenhouse module to the German Neumayer Station III Antarctic station. The long-term operation of the EDEN ISS Mobile Test Facility will improve operational procedures and the technology readiness of numerous plant production system technologies for space flight. The Mobile Test Facility is broken down into the following subsystems for failure analysis; air management system, command and data handling system, illumination system, nutrient and delivery system, power control and distribution system, plant health monitoring system and thermal control system. The Mobile Test Facility systems can be further decomposed into several subsystems and blocks up to component level for a better Functional FMECA as referred to in the literature. The aim of this paper is to demonstrate the advantages of applying reliability techniques such, as FMECA, to Antarctica missions/systems, in order to minimize mission failure probability, to reduce logistics requirements and to better comply with the Antarctic Treaty requirements. The results of the FMECA have benefited the EDEN ISS Mobile Test Facility by identifying the critical failure modes, optimising block diagrams, improving the quality of the diagrams for further assembly, exploiting components and system block functions for extra safety provisions across different systems, decreasing the number of spare parts and optimizing the maintenance tasks and procedures decreasing crew workload.</t>
  </si>
  <si>
    <t>[Santos, Antonio; Infante, Virginia] Univ Lisbon, Inst Super Tecn, IDMEC, Lisbon, Portugal; [Bamsey, Matthew; Schubert, Daniel] German Aerosp Ctr, Inst Space Syst, Bremen, Germany</t>
  </si>
  <si>
    <t>Universidade de Lisboa; Helmholtz Association; German Aerospace Centre (DLR)</t>
  </si>
  <si>
    <t>Santos, A (corresponding author), Univ Lisbon, Inst Super Tecn, IDMEC, Lisbon, Portugal.</t>
  </si>
  <si>
    <t>Infante, Virginia/I-4785-2015</t>
  </si>
  <si>
    <t>978-1-5090-0793-6</t>
  </si>
  <si>
    <t>Computer Science, Interdisciplinary Applications; Computer Science, Software Engineering; Engineering, Electrical &amp; Electronic</t>
  </si>
  <si>
    <t>BG7DN</t>
  </si>
  <si>
    <t>WOS:000391238500040</t>
  </si>
  <si>
    <t>Carron, M; Globokar, P; Sicard, BA</t>
  </si>
  <si>
    <t>Carron, Mathieu; Globokar, Peter; Sicard, Bruno A.</t>
  </si>
  <si>
    <t>Acute gastrointestinal haemorrhage on board a cruise ship in the Antarctic Peninsula</t>
  </si>
  <si>
    <t>INTERNATIONAL MARITIME HEALTH</t>
  </si>
  <si>
    <t>gastrointestinal haemorrhage; cruise ship; Antarctic; transfusion</t>
  </si>
  <si>
    <t>FRESH WHOLE-BLOOD</t>
  </si>
  <si>
    <t>Antarctic tourism on board cruise ships has expanded since the 1990s, essentially in the Antarctic Peninsula. Due to remoteness, medical cases may evolve into life threatening conditions as emergency medical evacuations are challenging. We discuss the case of a young crew member who suddenly fainted with an epigastric pain and abundant rectal bleeding while on board a cruise ship heading to the Deception Island (62 degrees 57.6 South, 60 degrees 29.5 West), 44 h away from Ushuaia by sea. A medical evacuation was necessary to save the patient whose haemoglobin level rapidly decreased from 11 g/dL to 8.7 g/dL over an 8 h period due to uncontrolled gastrointestinal bleeding. Following discussions between the French, Chilean and Argentinean Medical Top Side Support and Maritime Rescue Authorities and despite poor weather conditions, an emergency medical evacuation by air to Chile was made possible. The evacuation, which was 2 days shorter compared to an evacuation by sea, allowed the patient to reach a hospital facility in time to save his life whereas he decompensated in haemorrhagic shock. As passengers on cruise ships are typically elderly and often following anticoagulant therapies, the risk of bleeding is most important. Facing a gastric haemorrhage, a transfusion is often required. In remote areas, transfusion of fresh whole blood to stabilize a critical patient until he reaches a hospital must be considered.</t>
  </si>
  <si>
    <t>[Carron, Mathieu] Pasteur 2 Hosp, Emergency Dept, 30 Voie Romaine, F-06000 Nice, France; [Globokar, Peter] Mooreland Partners, London, England; [Sicard, Bruno A.] PMSM, Aix En Provence, France</t>
  </si>
  <si>
    <t>CHU Nice</t>
  </si>
  <si>
    <t>Carron, M (corresponding author), Pasteur 2 Hosp, Emergency Dept, 30 Voie Romaine, F-06000 Nice, France.</t>
  </si>
  <si>
    <t>mathieu.carron01@gmail.com</t>
  </si>
  <si>
    <t>VIA MEDICA</t>
  </si>
  <si>
    <t>GDANSK</t>
  </si>
  <si>
    <t>UL SWIETOKRZYSKA 73, 80-180 GDANSK, POLAND</t>
  </si>
  <si>
    <t>1641-9251</t>
  </si>
  <si>
    <t>2081-3252</t>
  </si>
  <si>
    <t>INT MARIT HEALTH</t>
  </si>
  <si>
    <t>Int. Marit. Health</t>
  </si>
  <si>
    <t>10.5603/IMH.2016.0040</t>
  </si>
  <si>
    <t>EG4GZ</t>
  </si>
  <si>
    <t>WOS:000391003200007</t>
  </si>
  <si>
    <t>Babian, S; Rust, HW; Grieger, J; Prömmel, K; Cubasch, U</t>
  </si>
  <si>
    <t>Babian, Stella; Rust, Henning W.; Grieger, Jens; Proemmel, Kerstin; Cubasch, Ulrich</t>
  </si>
  <si>
    <t>Representation of the Antarctic Oscillation and related precipitation patterns in the MPI Earth System Model</t>
  </si>
  <si>
    <t>METEOROLOGISCHE ZEITSCHRIFT</t>
  </si>
  <si>
    <t>Antarctic Oscillation; MPI-ESM-MR; precipitation; southern hemisphere</t>
  </si>
  <si>
    <t>LOW-FREQUENCY VARIABILITY; SOUTHERN-HEMISPHERE; AUSTRALIAN RAINFALL; ANNULAR MODE; TEMPERATURE; REANALYSIS; IMPACTS; CIRCULATION; PERFORMANCE; AMERICA</t>
  </si>
  <si>
    <t>The Antarctic Oscillation (AAO) is the dominant mode of atmospheric variability in the southern hemisphere. It is obtained via a principal component analysis (PCA) for geopotential height anomalies. Being the southern hemisphere's dominant mode, an adequate representation in earth system models is desirable. This paper evaluates to what extent the AAO and related precipitation is represented in the Max Planck Institute's Earth System Model (MPI-ESM). To this end we compare AAO spatial patterns (empirical orthogonal functions, EOFs), spectral properties of the associated principal components (PCs) and AAO-related precipitation patterns of MPI-ESM to three reanalyses: the ECMWF's ERA-40 and ERA-Interim, and the NCEP/NCAR 40-year reanalysis project. Differences between MPI-ESM and ERA-Interim leading EOFs reveal that the three typical centres of action are less pronounced and slightly shifted in the model. Spectral density estimates of the associated PCs show reduced variability in the MPI-ESM for periods between 4 to 5 months. The relation between AAO and southern hemispheric precipitation is assessed via composites and correlation analysis. In both, model and reanalyses, a negative AAO index leads to a general increase of precipitation between 30 degrees S and 50 degrees S and a decrease south of 50 degrees S. Differences between maps of correlation for AAO and precipitation are most prominent near Indonesia and Antarctica probably due to a lack of pressure around Antarctica in the model. Altogether the MPI-ESM underestimates the relation of AAO and southern hemispheric precipitation but gives the correct sign and spatial distribution of correlation values.</t>
  </si>
  <si>
    <t>[Babian, Stella; Rust, Henning W.; Grieger, Jens; Proemmel, Kerstin; Cubasch, Ulrich] Free Univ Berlin, Inst Meteorol, Carl Heinrich Becker Weg 6-10, D-12165 Berlin, Germany</t>
  </si>
  <si>
    <t>Free University of Berlin</t>
  </si>
  <si>
    <t>Babian, S (corresponding author), Free Univ Berlin, Inst Meteorol, Carl Heinrich Becker Weg 6-10, D-12165 Berlin, Germany.</t>
  </si>
  <si>
    <t>stella.babian@met.fu-berlin.de</t>
  </si>
  <si>
    <t>Rust, H.W./F-2961-2013; Grieger, Jens/A-1107-2014</t>
  </si>
  <si>
    <t>Rust, H.W./0000-0003-0763-3954; Cubasch, Ulrich/0000-0001-9628-4666; Grieger, Jens/0000-0003-0985-8479</t>
  </si>
  <si>
    <t>E SCHWEIZERBARTSCHE VERLAGSBUCHHANDLUNG</t>
  </si>
  <si>
    <t>STUTTGART</t>
  </si>
  <si>
    <t>NAEGELE U OBERMILLER, SCIENCE PUBLISHERS, JOHANNESSTRASSE 3A, D 70176 STUTTGART, GERMANY</t>
  </si>
  <si>
    <t>0941-2948</t>
  </si>
  <si>
    <t>1610-1227</t>
  </si>
  <si>
    <t>METEOROL Z</t>
  </si>
  <si>
    <t>Meteorol. Z.</t>
  </si>
  <si>
    <t>10.1127/metz/2016/0661</t>
  </si>
  <si>
    <t>Meteorology &amp; Atmospheric Sciences</t>
  </si>
  <si>
    <t>EG1KT</t>
  </si>
  <si>
    <t>WOS:000390791900012</t>
  </si>
  <si>
    <t>Ye, W; Qiao, G; Kong, F; Guo, S; Ma, X; Tong, X; Li, R</t>
  </si>
  <si>
    <t>Halounova, L; Schindler, K; Limpouch, A; Pajdla, T; Safar, V; Mayer, H; Elberink, SO; Mallet, C; Rottensteiner, F; Bredif, M; Skaloud, J; Stilla, U</t>
  </si>
  <si>
    <t>Ye, W.; Qiao, G.; Kong, F.; Guo, S.; Ma, X.; Tong, X.; Li, R.</t>
  </si>
  <si>
    <t>RIGOROUS GEOMETRIC MODELLING OF 1960s ARGON SATELLITE IMAGES FOR ANTARCTIC ICE SHEET STEREO MAPPING</t>
  </si>
  <si>
    <t>XXIII ISPRS CONGRESS, COMMISSION III</t>
  </si>
  <si>
    <t>ISPRS Annals of the Photogrammetry Remote Sensing and Spatial Information Sciences</t>
  </si>
  <si>
    <t>23rd ISPRS Congress</t>
  </si>
  <si>
    <t>ARGON; Geometric Modelling; Antarctica</t>
  </si>
  <si>
    <t>Global climate change is one of the major challenges that all nations are commonly facing. Long-term observations of the Antarctic ice sheet have been playing a critical role in quantitatively estimating and predicting effects resulting from the global changes. The film-based ARGON reconnaissance imagery provides a remarkable data source for studying the Antarctic ice-sheet in 1960s, thus greatly extending the time period of Antarctica surface observations. To deal with the low-quality images and the unavailability of camera poses, a systematic photogrammetric approach is proposed to reconstruct the interior and exterior orientation information for further glacial mapping applications, including ice flow velocity mapping and mass balance estimation. Some noteworthy details while performing geometric modelling using the ARGON images were introduced, including methods and results for handling specific effects of film deformation, damaged or missing fiducial marks and calibration report, automatic fiducial mark detection, control point selection through Antarctic shadow and ice surface terrain analysis, and others. Several sites in East Antarctica were tested. As an example, four images in the Byrd glacier region were used to assess the accuracy of the geometric modelling. A digital elevation model (DEM) and an orthophoto map of Byrd glacier were generated. The accuracy of the ground positions estimated by using independent check points is within one nominal pixel of 140 m of ARGON imagery. Furthermore, a number of significant features, such as ice flow velocity and regional change patterns, will be extracted and analysed.</t>
  </si>
  <si>
    <t>[Ye, W.; Qiao, G.; Kong, F.; Guo, S.; Ma, X.; Tong, X.; Li, R.] Tongji Univ, Coll Surveying &amp; Geoinformat, 1239 Siping Rd, Shanghai, Peoples R China; [Ye, W.; Qiao, G.; Kong, F.; Guo, S.; Ma, X.; Tong, X.; Li, R.] Tongji Univ, Ctr Spatial Informat Sci &amp; Sustainable Dev, 1239 Siping Rd, Shanghai, Peoples R China</t>
  </si>
  <si>
    <t>Qiao, G (corresponding author), Tongji Univ, Coll Surveying &amp; Geoinformat, 1239 Siping Rd, Shanghai, Peoples R China.;Qiao, G (corresponding author), Tongji Univ, Ctr Spatial Informat Sci &amp; Sustainable Dev, 1239 Siping Rd, Shanghai, Peoples R China.</t>
  </si>
  <si>
    <t>yewenkai1990@tongji.edu.cn; qiaogang@tongji.edu.cn; 4kongfansi@tongji.edu.cn; guosong@tongji.edu.cn; 1434906@tongji.edu.cn; tongxhtj@tongji.edu.cn; rli@tongji.edu.cn</t>
  </si>
  <si>
    <t>2194-9042</t>
  </si>
  <si>
    <t>2194-9050</t>
  </si>
  <si>
    <t>ISPRS ANN PHOTO REM</t>
  </si>
  <si>
    <t>10.5194/isprsannals-III-3-147-2016</t>
  </si>
  <si>
    <t>Computer Science, Information Systems; Computer Science, Interdisciplinary Applications; Geography, Physical; Remote Sensing; Imaging Science &amp; Photographic Technology</t>
  </si>
  <si>
    <t>Computer Science; Physical Geography; Remote Sensing; Imaging Science &amp; Photographic Technology</t>
  </si>
  <si>
    <t>BG6YS</t>
  </si>
  <si>
    <t>WOS:000391012700019</t>
  </si>
  <si>
    <t>Li, ZM; Bian, SF; Liu, Q; Li, HP; Chen, C; Hu, YF</t>
  </si>
  <si>
    <t>Halounova, L; Safar, V; Jiang, J; Olesovska, H; Dvoracek, P; Holland, D; Seredovich, VA; Muller, JP; Rao, EPR; Veenendaal, B; Mu, L; Zlatanova, S; Oberst, J; Yang, CP; Stylianidis, YBS; Vozenilek, V; Vondrakova, A; Gartner, G; Remondino, F; Doytsher, Y; Percivall, G; Schreier, G; Dowman, I; Streilein, A; Ernst, J</t>
  </si>
  <si>
    <t>Li, Zhongmei; Bian, Shaofeng; Liu, Qiang; Li, Houpu; Chen, Cheng; Hu, Yanfeng</t>
  </si>
  <si>
    <t>NONZONAL EXPRESSIONS OF GAUSS-KRUGER PROJECTION IN POLAR REGIONS</t>
  </si>
  <si>
    <t>XXIII ISPRS CONGRESS, COMMISSION IV</t>
  </si>
  <si>
    <t>Gauss-kruger projection; transverse Mercator projection; polar surveying; reference frame; conformal colatitude; computer algebra system</t>
  </si>
  <si>
    <t>With conformal colatitude introduced, based on the mathematical relationship between exponential and logarithmic functions by complex numbers, strict equation of complex conformal colatitude is derived, and then theoretically strict nonzonal expressions of Gauss projection in polar regions are carried out. By means of the computer algebra system, correctness of these expressions is verified, and sketches of Gauss-kruger projection without bandwidth restriction in polar regions are charted. In the Arctic or Antarctic region, graticule of nonzonal Gauss projection complies with people's reading habit and reflects real ground-object distribution. Achievements in this paper could perfect mathematical basis of Gauss projection and provide reference frame for polar surveying and photogrammetry.</t>
  </si>
  <si>
    <t>[Li, Zhongmei; Bian, Shaofeng; Liu, Qiang; Li, Houpu; Chen, Cheng; Hu, Yanfeng] Naval Univ Engn, Dept Nav, Wuhan 430033, Peoples R China</t>
  </si>
  <si>
    <t>Wuhan Naval University of Engineering</t>
  </si>
  <si>
    <t>Bian, SF (corresponding author), Naval Univ Engn, Dept Nav, Wuhan 430033, Peoples R China.</t>
  </si>
  <si>
    <t>lizhongmei126@126.com</t>
  </si>
  <si>
    <t>10.5194/isprsannals-III-4-11-2016</t>
  </si>
  <si>
    <t>Computer Science, Information Systems; Computer Science, Interdisciplinary Applications; Computer Science, Theory &amp; Methods; Geography, Physical; Remote Sensing</t>
  </si>
  <si>
    <t>Computer Science; Physical Geography; Remote Sensing</t>
  </si>
  <si>
    <t>BG6YT</t>
  </si>
  <si>
    <t>WOS:000391012900002</t>
  </si>
  <si>
    <t>Iliev, DM; Gourev, VN; Mitev, MG</t>
  </si>
  <si>
    <t>Iliev, Dian Milchev; Gourev, Vassil Nikolov; Mitev, Mityo Georgiev</t>
  </si>
  <si>
    <t>Realization of Adaptive Weather Station for Work in Antarctic Conditions</t>
  </si>
  <si>
    <t>2016 XXV INTERNATIONAL SCIENTIFIC CONFERENCE ELECTRONICS (ET)</t>
  </si>
  <si>
    <t>25th International Scientific Conference on Electronics (ET)</t>
  </si>
  <si>
    <t>SEP 12-14, 2016</t>
  </si>
  <si>
    <t>Sozopol, BULGARIA</t>
  </si>
  <si>
    <t>Weather Station; Ultra-Low Power Management; Self-Monitoring; Dynamically Reconfigurable; Global Warming; Data acquisition</t>
  </si>
  <si>
    <t>This paper describes the realization, calibration process and initial experimental data analysis of the prototype version of adaptive weather station. The device relays on an ultra-low power micro architecture and adaptive power distribution mechanism. It is dynamically reconfigurable for working in high performance, real time transfer mode with direct operator control; and ultra-low power, fully autonomous, self-monitoring, long-term measurement mode. For convenience the collected data of the environmental parameters could be initially analyzed and visualized by specialized end-user software tools.</t>
  </si>
  <si>
    <t>[Iliev, Dian Milchev; Mitev, Mityo Georgiev] Tech Univ Sofia, Dept Elect &amp; Elect Technol, Fac Elect Engn &amp; Technol, 8 Kl Ohridski Blvd, Sofia 1000, Bulgaria; [Gourev, Vassil Nikolov] Sofia Univ St Kliment Ohridski, Fac Phys, 5 J Bouchier Blvd, Sofia 1164, Bulgaria</t>
  </si>
  <si>
    <t>Technical University Sofia; University of Sofia</t>
  </si>
  <si>
    <t>Iliev, DM (corresponding author), Tech Univ Sofia, Dept Elect &amp; Elect Technol, Fac Elect Engn &amp; Technol, 8 Kl Ohridski Blvd, Sofia 1000, Bulgaria.</t>
  </si>
  <si>
    <t>d.m.iliev@gmail.com; gourev@phys.uni-sofia.bg; mitev@ecad.tu-sofia.bg</t>
  </si>
  <si>
    <t>978-1-5090-2883-2</t>
  </si>
  <si>
    <t>BG6PS</t>
  </si>
  <si>
    <t>WOS:000390766000032</t>
  </si>
  <si>
    <t>Duncan, N; Saint-Hilaire, P; Shih, AY; Hurford, GJ; Bain, HM; Amman, M; Mochizuki, BA; Hoberman, J; Olson, J; Maruca, BA; Godbole, NM; Smith, DM; Sample, J; Kelley, NA; Zoglauer, A; Caspi, A; Kaufmann, P; Boggs, S; Lin, RP</t>
  </si>
  <si>
    <t>DenHerder, JWA; Takahashi, T; Bautz, M</t>
  </si>
  <si>
    <t>Duncan, Nicole; Saint-Hilaire, P.; Shih, A. Y.; Hurford, G. J.; Bain, H. M.; Amman, M.; Mochizuki, B. A.; Hoberman, J.; Olson, J.; Maruca, B. A.; Godbole, N. M.; Smith, D. M.; Sample, J.; Kelley, N. A.; Zoglauer, A.; Caspi, A.; Kaufmann, P.; Boggs, S.; Lin, R. P.</t>
  </si>
  <si>
    <t>First flight of the Gamma-Ray Imager/Polarimeter for Solar flares (GRIPS) instrument</t>
  </si>
  <si>
    <t>SPACE TELESCOPES AND INSTRUMENTATION 2016: ULTRAVIOLET TO GAMMA RAY</t>
  </si>
  <si>
    <t>Conference on Space Telescopes and Instrumentation - Ultraviolet to Gamma Ray</t>
  </si>
  <si>
    <t>JUN 26-JUL 01, 2016</t>
  </si>
  <si>
    <t>GRIPS; solar flare; Sun; gamma-ray; HXR; hard x-ray; balloon; LDB</t>
  </si>
  <si>
    <t>The Gamma-Ray Imager/Polarimeter for Solar flares (GRIPS) instrument is a balloon-borne telescope designed to study solar-flare particle acceleration and transport. We describe GRIPS's first Antarctic long-duration flight in January 2016 and report preliminary calibration and science results. Electron and ion dynamics, particle abundances and the ambient plasma conditions in solar flares can be understood by examining hard X-ray (HXR) and gamma-ray emission (20 keV to 10 MeV). Enhanced imaging, spectroscopy and polarimetry of flare emissions in this energy range are needed to study particle acceleration and transport questions. The GRIPS instrument is specifically designed to answer questions including: What causes the spatial separation between energetic electrons producing hard X-rays and energetic ions producing gamma-ray lines? How anisotropic are the relativistic electrons, and why can they dominate in the corona? How do the compositions of accelerated and ambient material vary with space and time, and why? GRIPS's key technological improvements over the current solar state of the art at HXR/gamma-ray energies, the Reuven Ramaty High Energy Solar Spectroscopic Imager (RHESSI), include 3D position-sensitive germanium detectors (3D-GeDs) and a single-grid modulation collimator, the multi-pitch rotating modulator (MPRM). The 3D-GeDs have spectral FWHM resolution of a few hundred keV and spatial resolution &lt;1 mm(3). For photons that Compton scatter, usually greater than or similar to 150 keV, the energy deposition sites can be tracked, providing polarization measurements as well as enhanced background reduction through Compton imaging. Each of GRIPS's detectors has 298 electrode strips read out with ASIC/FPGA electronics. In GRIPS's energy range, indirect imaging methods provide higher resolution than focusing optics or Compton imaging techniques. The MPRM grid-imaging system has a single-grid design which provides twice the throughput of a bi-grid imaging system like RHESSI. The grid is composed of 2.5 cm deep tungsten-copper slats, and quasi-continuous FWHM angular coverage from 12.5-162 arcsecs are achieved by varying the slit pitch between 1-13 mm. This angular resolution is capable of imaging the separate magnetic loop footpoint emissions in a variety of flare sizes. In comparison, RHESSI's 35-arcsec resolution at similar energies makes the footpoints resolvable in only the largest flares.</t>
  </si>
  <si>
    <t>[Duncan, Nicole] Univ Calif Berkeley, 366 Leconte Hall, Berkeley, CA 94720 USA; [Duncan, Nicole; Saint-Hilaire, P.; Hurford, G. J.; Bain, H. M.; Mochizuki, B. A.; Hoberman, J.; Olson, J.; Maruca, B. A.; Godbole, N. M.; Kelley, N. A.; Zoglauer, A.; Boggs, S.; Lin, R. P.] Univ Calif Berkeley, Space Sci Lab, 7 Gauss Way, Berkeley, CA USA; [Shih, A. Y.] NASA, Heliophys Sci Div, Goddard SFC, Greenbelt, MD 20771 USA; [Amman, M.] Lawrence Berkeley Natl Lab, 1 Cyclotron Rd, Berkeley, CA 94720 USA; [Maruca, B. A.] Univ Delaware, Dept Phys &amp; Astron, 4 Kent Way, Newark, DE 19716 USA; [Smith, D. M.] UC Santa Cruz, Dept Phys, 1156 High St, Santa Cruz, CA 95064 USA; [Sample, J.] Montana State Univ, Dept Phys, EPS Bldg, Bozeman, MT 59717 USA; [Caspi, A.] Southwest Res Inst, 1050 Walnut St,Suite 300, Boulder, CO 80302 USA; [Kaufmann, P.] Univ Presbiteriana Mackenzie, Sao Paulo, SP, Brazil</t>
  </si>
  <si>
    <t>University of California System; University of California Berkeley; University of California System; University of California Berkeley; National Aeronautics &amp; Space Administration (NASA); NASA Goddard Space Flight Center; United States Department of Energy (DOE); Lawrence Berkeley National Laboratory; University of Delaware; University of California System; University of California Santa Cruz; Montana State University System; Montana State University Bozeman; Southwest Research Institute; Universidade Presbiteriana Mackenzie</t>
  </si>
  <si>
    <t>Duncan, N (corresponding author), Univ Calif Berkeley, 366 Leconte Hall, Berkeley, CA 94720 USA.;Duncan, N (corresponding author), Univ Calif Berkeley, Space Sci Lab, 7 Gauss Way, Berkeley, CA USA.</t>
  </si>
  <si>
    <t>nicoleduncan@berkeley.edu; pascal@ssl.berkeley.edu</t>
  </si>
  <si>
    <t>Shih, Albert Y/D-4714-2012; Caspi, Amir/AAL-9261-2020; Bain, Hazel M/AAQ-7118-2021; Boggs, Steven E/E-4170-2015</t>
  </si>
  <si>
    <t>Caspi, Amir/0000-0001-8702-8273; Bain, Hazel M/0000-0003-2595-3185; Amman, Mark/0000-0003-2397-7714; Shih, Albert/0000-0001-6874-2594</t>
  </si>
  <si>
    <t>978-1-5106-0189-5; 978-1-5106-0190-1</t>
  </si>
  <si>
    <t>99052Q</t>
  </si>
  <si>
    <t>10.1117/12.2233859</t>
  </si>
  <si>
    <t>Instruments &amp; Instrumentation; Optics</t>
  </si>
  <si>
    <t>BG2WP</t>
  </si>
  <si>
    <t>Bronze, Green Submitted</t>
  </si>
  <si>
    <t>WOS:000387731500078</t>
  </si>
  <si>
    <t>Fieber, KD; Mills, JP; Miller, PE; Fox, AJ</t>
  </si>
  <si>
    <t>Fieber, K. D.; Mills, J. P.; Miller, P. E.; Fox, A. J.</t>
  </si>
  <si>
    <t>REMOTELY-SENSED GLACIER CHANGE ESTIMATION: A CASE STUDY AT LINDBLAD COVE, ANTARCTIC PENINSULA</t>
  </si>
  <si>
    <t>Glacier Change; Antarctic Peninsula; Photogrammetry; WorldView-2; Archival Photography; DEM; Surface Matching</t>
  </si>
  <si>
    <t>VOLUME CHANGE</t>
  </si>
  <si>
    <t>This study builds on existing literature of glacier change estimation in polar regions and is a continuation of efforts aimed at unlocking the information encapsulated in archival aerial photography of Antarctic Peninsula glaciers. Historical aerial imagery acquired in 1957 over three marine-terminating glaciers at Lindblad Cove on the West Coast of Trinity Peninsula is processed to extract digital elevation models (DEMs) which are subsequently compared to DEMs generated from present day (2014) WorldView-2 satellite stereo-imagery. The new WorldView-2 images offer unprecedented sub-metre resolution of the Antarctic Peninsula and are explored here to facilitate improved registration and higher accuracy analysis of glacier changes. Unlike many studies, which focus on glacier fronts or only restricted regions of glaciers, this paper presents a complete coverage of elevation changes across the glacier surfaces for two of the studied glaciers. The study utilises a robust least squares matching technique to ensure precise registration of the archival and modern DEMs, which is applied due to lack of existing ground control in this remote region. This case study reveals that, while many glaciers in polar regions are reported as experiencing significant mass loss, some glaciers are stable or even demonstrate mass gain. All three glaciers reported here demonstrated overall mean increases in surface elevation, indicative of positive mass balance ranging from 0.6 to 5.8 metre water equivalent between 1957 and 2014.</t>
  </si>
  <si>
    <t>[Fieber, K. D.; Mills, J. P.] Newcastle Univ, Sch Civil Engn &amp; Geosci, Newcastle Upon Tyne NE1 7RU, Tyne &amp; Wear, England; [Miller, P. E.] James Hutton Inst, Aberdeen AB15 8QH, Scotland; [Fox, A. J.] British Antarctic Survey, High Cross,Madingley Rd, Cambridge CB3 0ET, England</t>
  </si>
  <si>
    <t>Newcastle University - UK; James Hutton Institute; UK Research &amp; Innovation (UKRI); Natural Environment Research Council (NERC); NERC British Antarctic Survey</t>
  </si>
  <si>
    <t>Fieber, KD (corresponding author), Newcastle Univ, Sch Civil Engn &amp; Geosci, Newcastle Upon Tyne NE1 7RU, Tyne &amp; Wear, England.</t>
  </si>
  <si>
    <t>karolina.fieber@ncl.ac.uk; jon.mills@ncl.ac.uk; pauline.miller@hutton.ac.uk; ajfo@bas.ac.uk</t>
  </si>
  <si>
    <t>; Mills, Jon/H-7444-2013</t>
  </si>
  <si>
    <t>Miller, Pauline/0000-0002-4157-3994; Mills, Jon/0000-0001-5304-7935</t>
  </si>
  <si>
    <t>10.5194/isprsannals-III-8-71-2016</t>
  </si>
  <si>
    <t>BG6JW</t>
  </si>
  <si>
    <t>WOS:000390406500010</t>
  </si>
  <si>
    <t>Schiaparelli, S; Jirkov, IA</t>
  </si>
  <si>
    <t>Schiaparelli, S.; Jirkov, I. A.</t>
  </si>
  <si>
    <t>A reassessment of the genus Amphicteis Grube, 1850 (Polychaeta: Amphaetidae) with the description of Amphicteis teresae sp nov from Terra Nova Bay (Ross Sea, Antarctica)</t>
  </si>
  <si>
    <t>ITALIAN JOURNAL OF ZOOLOGY</t>
  </si>
  <si>
    <t>Polychaeta; Ampharetidae; Amphicteis; new species; Antarctica</t>
  </si>
  <si>
    <t>SOUTHERN-OCEAN; AMPHARETIDAE; POPULATIONS; DIVERSITY</t>
  </si>
  <si>
    <t>Ampharetidae Malmgren, 1866 is a polychaete family of deposit-feeder species that flourishes in terms of individuals/m(2) and species richness in areas where large quantities of food may accumulate, such as Arctic and Antarctic fjords. Despite the common occurrence of ampharetids in benthic samples and their important ecological role, the nomenclatural status of several species and subspecies is unclear and a general revision of the family is highly needed. In this contribution we focus on the ampharetid genus Amphicteis Grube, 1850, assessing the status of the species currently included in it and describing a new one, Amphicteis teresae sp. nov., collected at Terra Nova Bay (Ross Sea, Antarctica). The new species has blunt and stout paleal chaetae, a feature that is known to occur only in northern hemisphere Amphicteis counterparts. The new species closely resemble the Arctic A. ninonae Jirkov, 1985, to which it could also be phylogenetically related. The morphological re-analysis of the Amphicteis taxa showed that the subspecies of the purportedly cosmopolitan A. gunneri (M. Sars, 1835), which were mainly based on a geographical criterion, represent valid species. Molecular data will indeed be needed to define phylogeographic relationships within this widespread genus. http://zoobank.org/urn:lsid:zoobank.org:pub: 7F9E0E76-3168-439B-A45E-861F5CF77126</t>
  </si>
  <si>
    <t>[Schiaparelli, S.] Univ Genoa, DISTAV, Cso Europa 26, I-16132 Genoa, Italy; [Schiaparelli, S.] MNA, Sez Genova, Genoa, Italy; [Jirkov, I. A.] Moscow MV Lomonosov State Univ, Fac Biol, Dept Hydrobiol, Moscow, Russia</t>
  </si>
  <si>
    <t>University of Genoa; Lomonosov Moscow State University</t>
  </si>
  <si>
    <t>Schiaparelli, S (corresponding author), Univ Genoa, DISTAV, Cso Europa 26, I-16132 Genoa, Italy.</t>
  </si>
  <si>
    <t>stefano.schiaparelli@unige.it</t>
  </si>
  <si>
    <t>Schiaparelli, Stefano/AAI-4024-2020; Jirkov, Igor/JSL-4347-2023; Jirkov, Igor/B-1302-2018</t>
  </si>
  <si>
    <t>Schiaparelli, Stefano/0000-0002-0137-3605; Jirkov, Igor/0000-0003-1110-4027</t>
  </si>
  <si>
    <t>Italian National Antarctic Program [2010-A1.10, 2013-AZ1.15]; Russian Foundation for Basic Research [14-50-00029]</t>
  </si>
  <si>
    <t>Italian National Antarctic Program; Russian Foundation for Basic Research(Russian Foundation for Basic Research (RFBR)Spanish Government)</t>
  </si>
  <si>
    <t>This work was supported by the Italian National Antarctic Program [2010-A1.10 and 2013-AZ1.15]; and the Russian Foundation for Basic Research [14-50-00029].</t>
  </si>
  <si>
    <t>1125-0003</t>
  </si>
  <si>
    <t>1748-5851</t>
  </si>
  <si>
    <t>ITAL J ZOOL</t>
  </si>
  <si>
    <t>Ital. J. Zoolog.</t>
  </si>
  <si>
    <t>10.1080/11250003.2016.1259359</t>
  </si>
  <si>
    <t>EF4RV</t>
  </si>
  <si>
    <t>WOS:000390320600010</t>
  </si>
  <si>
    <t>Sadowsky, A; Mettler-Altmann, T; Ott, S</t>
  </si>
  <si>
    <t>Sadowsky, Andres; Mettler-Altmann, Tabea; Ott, Sieglinde</t>
  </si>
  <si>
    <t>Metabolic response to desiccation stress in strains of green algal photobionts (Trebouxia) from two Antarctic lichens of southern habitats</t>
  </si>
  <si>
    <t>PHYCOLOGIA</t>
  </si>
  <si>
    <t>Polyols; Sugars; Trebouxia; Umbilicaria decussata; Usnea lambii</t>
  </si>
  <si>
    <t>WATER RELATIONS; TOLERANCE; PROLINE; PHOTOSYNTHESIS; TEMPERATURE; CRYPTOGAMS; STRATEGIES; RESISTANCE; PHYSIOLOGY; POLYOLS</t>
  </si>
  <si>
    <t>Desiccation tolerance is a feature of most lichens. These symbiotic associations of a fungal partner (mycobiont) and a photosynthetic partner (photobiont) experience severe desiccation on a regular basis. Many lichen species colonise extreme habitats, such as the cold deserts of Antarctica. Although the stress physiology of lichens has been studied extensively, little is known about the photobionts' physiological potential. To assess the contribution of photobionts to lichen success in Antarctic terrestrial environments, the photosynthetic partners of Umbilicaria decussata (Umbilicariaceae, lichenised ascomycetes) and Usnea lambii (Parmeliaceae, lichenised ascomycetes) from extreme habitats in southern Antarctica were isolated. Significant differences regarding stress tolerance of the two green algae had been shown previously despite their close phylogenetic relationship. A deeper understanding and explanation of these differences were obtained by examination of the metabolite profiles and dynamics, especially the role of sugars, polyols and amino acids. High concentrations of ribitol and sucrose, among other metabolites, characterised the photobiont of Usnea lambii's mainly constitutive strategy of desiccation tolerance. A high degree of specialisation to dry environments can be assumed for this photobiont.</t>
  </si>
  <si>
    <t>[Sadowsky, Andres; Ott, Sieglinde] Heinrich Heine Univ, Inst Bot, Univ Str 1, D-40225 Dusseldorf, Germany; [Sadowsky, Andres; Mettler-Altmann, Tabea] Heinrich Heine Univ, Cluster Excellence Plant Sci CEPLAS, Univ Str 1, D-40225 Dusseldorf, Germany; [Sadowsky, Andres; Mettler-Altmann, Tabea] Heinrich Heine Univ, Inst Plant Biochem, Univ Str 1, D-40225 Dusseldorf, Germany</t>
  </si>
  <si>
    <t>Heinrich Heine University Dusseldorf; Heinrich Heine University Dusseldorf; University of Cologne; Heinrich Heine University Dusseldorf</t>
  </si>
  <si>
    <t>Sadowsky, A (corresponding author), Heinrich Heine Univ, Inst Bot, Univ Str 1, D-40225 Dusseldorf, Germany.;Sadowsky, A (corresponding author), Heinrich Heine Univ, Cluster Excellence Plant Sci CEPLAS, Univ Str 1, D-40225 Dusseldorf, Germany.;Sadowsky, A (corresponding author), Heinrich Heine Univ, Inst Plant Biochem, Univ Str 1, D-40225 Dusseldorf, Germany.</t>
  </si>
  <si>
    <t>andres.sadowsky@hhu.de</t>
  </si>
  <si>
    <t>German Research Foundation (DFG) [Ot 96/15-1, SPP 1158]</t>
  </si>
  <si>
    <t>German Research Foundation (DFG)(German Research Foundation (DFG))</t>
  </si>
  <si>
    <t>We thank Eva Posthoff for her substantial help with the photobiont cultures. Thanks are also due to Katrin Weber and Andreas Weber for providing the GC-MS facility and invaluable help and discussion. The last author is grateful to the German Research Foundation (DFG) for financing the research project Ot 96/15-1 as part of the Antarctic Priority Program (SPP 1158). Special thanks are due to the BGR (Bundesanstalt fur Geologie und Rohstoffe). The staff of the Gondwana Station is thanked for their invaluable help. Thanks are also due to the British Antarctic Survey, especially Peter Convey, and the staff at Rothera Station for logistic support and access to Coal Nunatak. The results are included in the doctoral thesis of Andres Sadowsky. We also thank the anonymous reviewers for their helpful comments on the manuscript.</t>
  </si>
  <si>
    <t>0031-8884</t>
  </si>
  <si>
    <t>2330-2968</t>
  </si>
  <si>
    <t>Phycologia</t>
  </si>
  <si>
    <t>10.2216/15-127.1</t>
  </si>
  <si>
    <t>Plant Sciences; Marine &amp; Freshwater Biology</t>
  </si>
  <si>
    <t>EF3ZD</t>
  </si>
  <si>
    <t>WOS:000390263000010</t>
  </si>
  <si>
    <t>Lee, T; Cho, S; Roh, C; Lee, S; Kang, Y</t>
  </si>
  <si>
    <t>Lee, Taekgyu; Cho, Seunghyun; Roh, Chiwon; Lee, Soojun; Kang, Yeonsik</t>
  </si>
  <si>
    <t>Design of an Autonomous Antarctic Exploration Platforms through Manipulations of All-Terrain Vehicles</t>
  </si>
  <si>
    <t>2016 IEEE TRANSPORTATION ELECTRIFICATION CONFERENCE AND EXPO, ASIA-PACIFIC (ITEC ASIA-PACIFIC)</t>
  </si>
  <si>
    <t>IEEE Transportation Electrification Conference and Expo Asia-Pacific</t>
  </si>
  <si>
    <t>IEEE Transportation Electrification Conference and Expo, Asia-Pacific (ITEC Asia-pacific)</t>
  </si>
  <si>
    <t>JUN 01-04, 2016</t>
  </si>
  <si>
    <t>Busan, SOUTH KOREA</t>
  </si>
  <si>
    <t>Autonomous driving; unmanned vehicle; remote control</t>
  </si>
  <si>
    <t>In Antarctica, there exists many crevasses which can be greatest risks to Antarctica exploration crew. In order to protect the scientists from these hazards, a robotic platform is being developed which can detect dangerous crevasses hidden below the surface. This paper presents such an effort to develop an unmanned vehicle by modifying a commercially available All Terrain Vehicle (ATV). The developed platform be driven autonomously given the user provided GPS trajectories in a harsh Antarctic environments. In order to provide such capabilities, several manipulators are designed on the throttle, break, steering wheel and gears of the ATV, each controlled by embedded motor drivers. The command to motor drivers are generated from the embedded controllers which can communicate wirelessly to either user command station or handheld remote controllers. This redundancy in the user input can enhance safety in an emergency situation. The developed platform is tested in many different experimental scenarios similar to the Antarctic exploration.</t>
  </si>
  <si>
    <t>[Lee, Taekgyu] Kookmin Univ, Grad Sch Automot Engn, Seoul, South Korea; [Cho, Seunghyun] Kookmin Univ, Dept Secured Smart Elect Vehicle, Seoul, South Korea; [Roh, Chiwon; Lee, Soojun] Potenit Co Ltd, Seoul, South Korea; [Kang, Yeonsik] Kookmin Univ, Dept Automot Engn, Seoul, South Korea</t>
  </si>
  <si>
    <t>Kookmin University; Kookmin University; Kookmin University</t>
  </si>
  <si>
    <t>Lee, T (corresponding author), Kookmin Univ, Grad Sch Automot Engn, Seoul, South Korea.</t>
  </si>
  <si>
    <t>dlxorrbek@naver.com; tmdqkdaos@naver.com; cwroh@potenit.com; sjeee@potenit.com; ykang@kookmin.ac.kr</t>
  </si>
  <si>
    <t>2693-3586</t>
  </si>
  <si>
    <t>978-1-5090-1272-5</t>
  </si>
  <si>
    <t>IEEE TRANSP EL ASIA</t>
  </si>
  <si>
    <t>BG5JZ</t>
  </si>
  <si>
    <t>WOS:000389514300055</t>
  </si>
  <si>
    <t>Wang, X; Zhang, J; Zhao, X</t>
  </si>
  <si>
    <t>Wang, X.; Zhang, J.; Zhao, X.</t>
  </si>
  <si>
    <t>A post-processing method to remove interference noise from acoustic data collected from Antarctic krill fishing vessels</t>
  </si>
  <si>
    <t>CCAMLR SCIENCE</t>
  </si>
  <si>
    <t>ECHO INTEGRATION DATA; EUPHAUSIA-SUPERBA; TARGET STRENGTH; BACKGROUND-NOISE; SOUTHERN-OCEAN; SCOTIA SEA; VARIABILITY; ATLANTIC; BIOMASS; ORIENTATION</t>
  </si>
  <si>
    <t>The use of fishing-vessel-based acoustic data has been recognised as an important way to estimate the distribution and relative abundance of Antarctic krill (Euphausia superba), yet the quality and even the utility of the data may be seriously degraded by interference noise due to the lack of synchronisation of the acoustic instruments found on some of the vessels. A simple method to remove significant interference noise was introduced based on relevant virtual variable operators in the existing acoustic data post-processing software. The utility of the method was demonstrated by applying it to the acoustic data at 38, 70 and 120 kHz collected from a Chinese krill fishing vessel. Results show that the interference noise was effectively reduced while structure and echo strength of the krill swarms were retained. The method may provide opportunity to improve the utility of fishing-vessel-based acoustic data for a range of objectives.</t>
  </si>
  <si>
    <t>[Wang, X.] Ocean Univ China, Qingdao 266100, Peoples R China; [Wang, X.; Zhang, J.; Zhao, X.] Chinese Acad Fishery Sci, Yellow Sea Fisheries Res Inst, Minist Agr, Key Lab Sustainable Dev Marine Fisheries, Qingdao 266071, Peoples R China; [Zhao, X.] Qingdao Natl Lab Marine Sci &amp; Technol, Funct Lab Marine Fisheries Sci &amp; Food Prod Proc, Qingdao 266237, Peoples R China</t>
  </si>
  <si>
    <t>Ocean University of China; Ministry of Agriculture &amp; Rural Affairs; Chinese Academy of Fishery Sciences; Yellow Sea Fisheries Research Institute, CAFS; Laoshan Laboratory</t>
  </si>
  <si>
    <t>Zhao, X (corresponding author), Chinese Acad Fishery Sci, Yellow Sea Fisheries Res Inst, Minist Agr, Key Lab Sustainable Dev Marine Fisheries, Qingdao 266071, Peoples R China.;Zhao, X (corresponding author), Qingdao Natl Lab Marine Sci &amp; Technol, Funct Lab Marine Fisheries Sci &amp; Food Prod Proc, Qingdao 266237, Peoples R China.</t>
  </si>
  <si>
    <t>zhaoxy@ysfri.ac.cn</t>
  </si>
  <si>
    <t>wang, xinliang/0000-0002-9321-3069</t>
  </si>
  <si>
    <t>Chinese National key Science &amp; Technology Program [2013BAD13B03]; CCAMLR</t>
  </si>
  <si>
    <t>Chinese National key Science &amp; Technology Program; CCAMLR</t>
  </si>
  <si>
    <t>We sincerely thank the crewmembers on board the Fu Rong Hai for helping with the data collection during the cruise. We also thank Dr Martin Cox, Dr Keith Reid and two anonymous reviewers for their efforts in improving the manuscript. This work was supported by a Chinese National key Science &amp; Technology Program (2013BAD13B03). The lead author (X. Wang) would also like to thank CCAMLR for granting him its scientific scholarship (2013-2014).</t>
  </si>
  <si>
    <t>C C A M L R TI</t>
  </si>
  <si>
    <t>NORTH HOBART</t>
  </si>
  <si>
    <t>PO BOX 213, NORTH HOBART, TAS 7002, AUSTRALIA</t>
  </si>
  <si>
    <t>1023-4063</t>
  </si>
  <si>
    <t>CCAMLR SCI</t>
  </si>
  <si>
    <t>CCAMLR Sci.</t>
  </si>
  <si>
    <t>EE8RV</t>
  </si>
  <si>
    <t>WOS:000389894300002</t>
  </si>
  <si>
    <t>Du, FJ; Li, H; Li, AA</t>
  </si>
  <si>
    <t>Hall, HJ; Gilmozzi, R; Marshall, HK</t>
  </si>
  <si>
    <t>Du Fu-Jia; Li Hao; Li Aiai</t>
  </si>
  <si>
    <t>Power supply system design and build for Antarctica telescope</t>
  </si>
  <si>
    <t>GROUND-BASED AND AIRBORNE TELESCOPES VI</t>
  </si>
  <si>
    <t>Conference on Ground-Based and Airborne Telescopes VI</t>
  </si>
  <si>
    <t>Power supply; reliability; PFC; FMEA; Antarctic</t>
  </si>
  <si>
    <t>Currently, more and more telescopes were built and installed in Dome A of Antarctic. The telescopes are remote controlled, unattended operation due to Dome A's environment. These telescopes must be work successfully at least one year without any failure. According to past experience, the power supply system is the weakest point in whole system. The telescopes have to stop if the power system have a problem, even a minor problem. So the high requirement for power supply system are presented. The requirement include high reliability, the self-diagnosis and perfect monitor system. Furthermore, the optic telescope only can work at night. The power source mainly relay on diesel engine. To protect the Antarctic environment and increase the life of engines. The power capacity is limited during observation. So it need the power supply system must be high power factor, high efficient. To meet these requirement, one power supply system was design and built for Antarctic telescope. The power supply system have the following features. First, we give priority to achieve high reliability. The reliability of power system was calculated and the redundant system is designed to make sure that the spare one can be work immediately when some parts have problems. Second, the perfect monitor system was designed to monitor the voltage, current, power and power factor for each power channel. The status of power supply system can be acquired by internet continuously. All the status will be logged in main computer for future analysis. Third, the PFC (Power Factor Correction) technology was used in power supply system. This technology can dramatically increase the power factor, especially in high power situation. The DC-DC inverter instead of AC-DC inverter was used for different voltage level to increase the efficient of power supply.</t>
  </si>
  <si>
    <t>[Du Fu-Jia; Li Hao; Li Aiai] Chinese Acad Sci, Natl Astron Observ, Nanjing Inst Astron Opt &amp; Technol, Natl Astron Observ, Nanjing 210042, Jiangsu, Peoples R China; [Du Fu-Jia; Li Hao; Li Aiai] Chinese Acad Sci, Nanjing Inst Astron Opt &amp; Technol, Key Lab Astron Opt &amp; Technol, Nanjing 210042, Jiangsu, Peoples R China; [Li Hao; Li Aiai] Univ Chinese Acad Sci, Beijing 100049, Peoples R China</t>
  </si>
  <si>
    <t>Chinese Academy of Sciences; National Astronomical Observatory, CAS; Nanjing Institute of Astronomical Optics &amp; Technology, NAOC, CAS; Chinese Academy of Sciences; Nanjing Institute of Astronomical Optics &amp; Technology, NAOC, CAS; Chinese Academy of Sciences; University of Chinese Academy of Sciences, CAS</t>
  </si>
  <si>
    <t>Du, FJ (corresponding author), Chinese Acad Sci, Natl Astron Observ, Nanjing Inst Astron Opt &amp; Technol, Natl Astron Observ, Nanjing 210042, Jiangsu, Peoples R China.;Du, FJ (corresponding author), Chinese Acad Sci, Nanjing Inst Astron Opt &amp; Technol, Key Lab Astron Opt &amp; Technol, Nanjing 210042, Jiangsu, Peoples R China.</t>
  </si>
  <si>
    <t>978-1-5106-0191-8; 978-1-5106-0192-5</t>
  </si>
  <si>
    <t>99065R</t>
  </si>
  <si>
    <t>10.1117/12.2230671</t>
  </si>
  <si>
    <t>BG2WM</t>
  </si>
  <si>
    <t>WOS:000387731100174</t>
  </si>
  <si>
    <t>Ma, B; Shang, ZH; Hu, Y; Hu, KL; Pei, C; Yuan, XY</t>
  </si>
  <si>
    <t>Ma, Bin; Shang, Zhaohui; Hu, Yi; Hu, Keliang; Pei, Chong; Yuan, Xiangyan</t>
  </si>
  <si>
    <t>Atmospheric seeing measurement from bright star trails with frame transfer CCDs</t>
  </si>
  <si>
    <t>atmospheric turbulence; seeing; image motion; frame transfer; AST3</t>
  </si>
  <si>
    <t>DIFFERENTIAL IMAGE MOTION; DOME</t>
  </si>
  <si>
    <t>We present a new application of frame transfer Charge-Coupled Device (CCD) on measuring astronomical seeing. If a telescope is equipped with a shutterless, frame transfer CCD camera, a bright star will generate a trail during the frame transfer phase. Because the transfer is very fast, the trail is a series of short exposures (about 1 Ins) of the target star. Therefore the centroid is jittery due to atmospheric turbulence, anti the amplitude can be utilized to derive astronomical seeing. We present, the preliminary results from STA1600FT CCD on the second Antarctic Survey Telescope (AST3) tested in China. trail seeing moderately agrees with the simultaneous DIMM seeing.</t>
  </si>
  <si>
    <t>[Ma, Bin; Shang, Zhaohui; Hu, Yi; Hu, Keliang] Chinese Acad Sci, Natl Astron Observ, Beijing, Peoples R China; [Shang, Zhaohui] Tianjin Normal Univ, Tianjin, Peoples R China; [Pei, Chong; Yuan, Xiangyan] Chinese Acad Sci, Nanjin Inst Astron Opt &amp; Technol, Nanjing, Jiangsu, Peoples R China</t>
  </si>
  <si>
    <t>Chinese Academy of Sciences; National Astronomical Observatory, CAS; Tianjin Normal University; Chinese Academy of Sciences; Nanjing Institute of Astronomical Optics &amp; Technology, NAOC, CAS</t>
  </si>
  <si>
    <t>Shang, ZH (corresponding author), Chinese Acad Sci, Natl Astron Observ, Beijing, Peoples R China.;Shang, ZH (corresponding author), Tianjin Normal Univ, Tianjin, Peoples R China.</t>
  </si>
  <si>
    <t>zshang@gmail.com</t>
  </si>
  <si>
    <t>hu, yi/0000-0003-3317-4771</t>
  </si>
  <si>
    <t>99060A</t>
  </si>
  <si>
    <t>10.1117/12.2231928</t>
  </si>
  <si>
    <t>WOS:000387731100008</t>
  </si>
  <si>
    <t>Moore, AM; Kasliwal, MM; Gelino, CR; Jencson, JE; Jones, MI; Kirkpatrick, JD; Lau, RM; Ofek, E; Petrunin, Y; Smith, R; Terebizh, V; Steinbring, E; Yan, L</t>
  </si>
  <si>
    <t>Moore, Anna M.; Kasliwal, Mansi M.; Gelino, Christopher R.; Jencson, Jacob E.; Jones, Mike I.; Kirkpatrick, J. Davy; Lau, Ryan M.; Ofek, Eran; Petrunin, Yuri; Smith, Roger; Terebizh, Valery; Steinbring, Eric; Yan, Lin</t>
  </si>
  <si>
    <t>Unveiling the Dynamic Infrared Sky with Gattini-IR</t>
  </si>
  <si>
    <t>Wide field infrared transient imaging in the Arctic and Antarctic</t>
  </si>
  <si>
    <t>While optical and radio transient surveys have enjoyed a renaissance over the past decade, the dynamic infrared sky remains virtually unexplored. The infrared is a powerful tool for probing transient events in dusty regions that have high optical extinction, and for detecting the coolest of stars that are bright only at these wavelengths. The fundamental roadblocks in studying the infrared time-domain have been the overwhelmingly bright sky background (250 times brighter than optical) and the narrow field-of-view of infrared cameras (largest is 0.6 sq deg). To begin to address these challenges and open a new observational window in the infrared, we present Palomar Gattini-IR: a 25 sq degree, 300mm aperture, infrared telescope at Palomar Observatory that surveys the entire accessible sky (20,000 sq deg) to a depth of 16.4 AB mag (J band, 1.25 um) every night. Palomar Gattini-IR is wider in area than every existing infrared camera by more than a factor of 40 and is able to survey large areas of sky multiple times. We anticipate the potential for otherwise infeasible discoveries, including, for example, the elusive electromagnetic counterparts to gravitational wave detections. With dedicated hardware in hand, and a F/1.44 telescope available commercially and cost-effectively, Palomar Gattini-IR will be on-sky in early 2017 and will survey the entire accessible sky every night for two years. We present an overview of the pathfinder Palomar Gattini-IR project, including the ambitious goal of sub-pixel imaging and ramifications of this goal on the opto-mechanical design and data reduction software. Palomar Gattini-IR will pave the way for a dual hemisphere, infrared-optimized, ultra-wide field high cadence machine called Turbo Gattini-IR. To take advantage of the low sky background at 2.5 um, two identical systems will be located at the polar sites of the South Pole, Antarctica and near Eureka on Ellesmere Island, Canada. Turbo Gattini-IR will survey 15,000 sq. degrees to a depth of 20 AB, the same depth of the VISTA VHS survey, every 2 hours with a survey efficiency of 97%.</t>
  </si>
  <si>
    <t>[Moore, Anna M.; Smith, Roger] CALTECH, Opt Observ, 1200 E Calif Blvd,Mail Code 11-17, Pasadena, CA 91125 USA; [Kasliwal, Mansi M.; Jencson, Jacob E.] CALTECH, Div Phys Math &amp; Astron, 1200 E Calif Blvd,Mail Code 249-17, Pasadena, CA 91125 USA; [Gelino, Christopher R.; Kirkpatrick, J. Davy; Yan, Lin] CALTECH, Infrared Proc &amp; Anal Ctr, 770 S Wilson Ave,MS 100-22, Pasadena, CA 91125 USA; [Jones, Mike I.] Precis Opt Azle LLC, 816 Wayne Trail, Azle, TX 76020 USA; [Lau, Ryan M.] CALTECH, Jet Prop Lab, 4800 Oak Grove Dr, Pasadena, CA 91109 USA; [Ofek, Eran] Weizmann Inst Sci, IL-76100 Rehovot, Israel; [Petrunin, Yuri] Telescope Engn Co, 15730 W 6-th Ave, Golden, CO 80401 USA; [Terebizh, Valery] Crimean Astrophys Observ, Nauchnyi, Crimea, Ukraine; [Steinbring, Eric] Natl Res Council Canada, Herzberg Astron &amp; Astrophys, 5071 West Saanich Rd, Victoria, BC V9E 2E7, Canada</t>
  </si>
  <si>
    <t>California Institute of Technology; California Institute of Technology; California Institute of Technology; California Institute of Technology; National Aeronautics &amp; Space Administration (NASA); NASA Jet Propulsion Laboratory (JPL); Weizmann Institute of Science; Russian Academy of Sciences; Crimean Astrophysical Observatory; National Research Council Canada</t>
  </si>
  <si>
    <t>Moore, AM (corresponding author), CALTECH, Opt Observ, 1200 E Calif Blvd,Mail Code 11-17, Pasadena, CA 91125 USA.</t>
  </si>
  <si>
    <t>amoore@astro.caltech.edu</t>
  </si>
  <si>
    <t>Steinbring, Eric/AFQ-5529-2022</t>
  </si>
  <si>
    <t>Steinbring, Eric/0000-0003-1259-0813; Moore, Anna/0000-0002-2894-6936; Kasliwal, Tamay/0000-0001-5634-7167; Gelino, Christopher/0000-0001-5072-4574; Kirkpatrick, Davy/0000-0003-4269-260X</t>
  </si>
  <si>
    <t>99062C</t>
  </si>
  <si>
    <t>10.1117/12.2233694</t>
  </si>
  <si>
    <t>Green Submitted, Green Accepted, Green Published</t>
  </si>
  <si>
    <t>WOS:000387731100069</t>
  </si>
  <si>
    <t>Yuan, XY; Yang, SH; Gu, BZ; Li, XY; Du, FJ; Li, ZY; Wen, HK; Lu, HP; Xu, LZ; Zhang, R; Zhang, Y; Cui, XQ; Wang, LF; Shang, ZH; Yu, C; Ma, B; Hu, Y</t>
  </si>
  <si>
    <t>Yuan, Xiangyan; Yang, Shihai; Gu, Bozhong; Li, Xiaoyan; Du, Fujjia; Li, Zhengyang; Wen, Haikun; Lu, Haiping; Xu, Lingzhe; Zhang, Ru; Zhang, Yi; Cui, Xiangqun; Wang, Lifan; Shang, Zhaohui; Yu, Ce; Ma, Bin; Hu, Yi</t>
  </si>
  <si>
    <t>Progress of Antarctic survey telescopes</t>
  </si>
  <si>
    <t>Antarctic; Telescope; Dome A; AST3</t>
  </si>
  <si>
    <t>DOME</t>
  </si>
  <si>
    <t>The Antarctic Survey Telescope-AST3 consists of three optical telescopes with 680mm primary mirror and 8 square degree field of view, mainly for observations of supernovas and extrasolar planets searching from Antarctic Dome A. The first two AST3 telescopes (AST3-1 and AST3-2) were successfully installed on Dome A by Chinese expedition team in Jan. 2012 and Jan. 2015 separately. Multi-anti-frost methods were designed for AST3-2 and the automatic observations are keeping on from March 2016. The best limited magnitude is 19.4m with exposure time 60s in G band. The third AST3 will have switchable interface for both optical camera and near infrared camera optimized for k dark band survey. Now the telescope is under development in NIAOT and the K-band camera is under development in AAO.</t>
  </si>
  <si>
    <t>[Yuan, Xiangyan; Yang, Shihai; Gu, Bozhong; Li, Xiaoyan; Du, Fujjia; Li, Zhengyang; Wen, Haikun; Lu, Haiping; Xu, Lingzhe; Zhang, Ru; Zhang, Yi; Cui, Xiangqun] Chinese Acad Sci, Nanjing Inst Astron Opt &amp; Technol, Natl Astron Observ, 188 Bancang St, Nanjing 210042, Jiangsu, Peoples R China; [Yuan, Xiangyan; Yang, Shihai; Gu, Bozhong; Li, Xiaoyan; Du, Fujjia; Li, Zhengyang; Wen, Haikun; Lu, Haiping; Xu, Lingzhe; Cui, Xiangqun] Nanjing Inst Astron Opt &amp; Technol, Key Lab Astron Opt &amp; Technol, Nanjing 210008, Jiangsu, Peoples R China; [Yuan, Xiangyan; Cui, Xiangqun; Wang, Lifan; Shang, Zhaohui] Chinese Ctr Antarctic Astron, Nanjing 210008, Jiangsu, Peoples R China; [Wang, Lifan] Chinese Acad Sci, Purple Mt Observ, Nanjing 210008, Jiangsu, Peoples R China; [Shang, Zhaohui; Ma, Bin; Hu, Yi] Chinese Acad Sci, Natl Astron Observ, Beijing 100012, Peoples R China; [Yu, Ce] Tianjin Univ, Tianjin, Peoples R China</t>
  </si>
  <si>
    <t>Chinese Academy of Sciences; National Astronomical Observatory, CAS; Nanjing Institute of Astronomical Optics &amp; Technology, NAOC, CAS; Chinese Academy of Sciences; Nanjing Institute of Astronomical Optics &amp; Technology, NAOC, CAS; Chinese Academy of Sciences; Nanjing Institute of Astronomical Optics &amp; Technology, NAOC, CAS; Purple Mountain Observatory, CAS; Chinese Academy of Sciences; National Astronomical Observatory, CAS; Tianjin University</t>
  </si>
  <si>
    <t>Yuan, XY (corresponding author), Chinese Acad Sci, Nanjing Inst Astron Opt &amp; Technol, Natl Astron Observ, 188 Bancang St, Nanjing 210042, Jiangsu, Peoples R China.;Yuan, XY (corresponding author), Nanjing Inst Astron Opt &amp; Technol, Key Lab Astron Opt &amp; Technol, Nanjing 210008, Jiangsu, Peoples R China.;Yuan, XY (corresponding author), Chinese Ctr Antarctic Astron, Nanjing 210008, Jiangsu, Peoples R China.</t>
  </si>
  <si>
    <t>Yang, Shihai/J-1593-2012; ZHANG, YIFEI/GRO-0728-2022; Lu, Haiping/T-8153-2019</t>
  </si>
  <si>
    <t>Lu, Haiping/0000-0002-0349-2181; hu, yi/0000-0003-3317-4771</t>
  </si>
  <si>
    <t>99061O</t>
  </si>
  <si>
    <t>10.1117/12.2232282</t>
  </si>
  <si>
    <t>WOS:000387731100050</t>
  </si>
  <si>
    <t>Iserson, KV</t>
  </si>
  <si>
    <t>Iserson, Kenneth V.</t>
  </si>
  <si>
    <t>Glove and mitten protection in extreme cold weather: an Antarctic study</t>
  </si>
  <si>
    <t>clothing; hand warmth; Antarctica; hand protection; hand comfort; cold injury prevention; protective gear</t>
  </si>
  <si>
    <t>SKIN TEMPERATURE; COMFORT; HANDS</t>
  </si>
  <si>
    <t>Background: Myths, misconceptions and a general lack of information surround the use of gloves and mittens in extreme cold environments. Objective. This study assessed how well an assortment of gloves and mittens performed in a very cold environment. Methods. A convenience sample of gloves and mittens were tested in Antarctica during the winter of 2016 using a calibrated thermometer (range: -148 degrees F to +158 degrees F/-1008C to +70 degrees C) three times over a 0.5-mile distance (similar to 20 minutes). A small sensor on a 10-foot-long cable was taped to the radial surface of the distal small finger on the non-dominant hand. The tested clothing was donned over the probe, the maximum temperature inside the glove/mitten was established near a building exit (ambient temperature approximately 54 degrees F/12 degrees C), and the building was exited, initiating the test. The hand was kept immobile during the test. Some non-heated gloves were tested with chemical heat warmers placed over the volar or dorsal wrist. Results. The highest starting (96 degrees F/36 degrees C) and ending (82 degrees F/28 degrees C) temperatures were with electrically heated gloves. The lowest starting temperature was with electrically heated gloves with the power off (63 degrees F/17 degrees C). Non-heated gloves with an inserted chemical hand warmer had the lowest minimum temperature (33 degrees F/1 degrees C). Maximum temperatures for gloves/mittens did not correlate well with their minimum temperature. Conclusions. Coverings that maintained finger temperatures within a comfortable and safe range (at or above 59 degrees F/15 degrees C) included the heated gloves and mittens (including some with the power off) and mittens with liners. Mittens without liners (shell) generally performed better than unheated gloves. Better results generally paralleled the item's cost. Inserting chemical heat warmers at the wrist increased heat loss, possibly through the exposed area around the warmer.</t>
  </si>
  <si>
    <t>[Iserson, Kenneth V.] Univ Arizona, Dept Emergency Med, 4930 N Calle Faja, Tucson, AZ 85718 USA</t>
  </si>
  <si>
    <t>University of Arizona</t>
  </si>
  <si>
    <t>Iserson, KV (corresponding author), Univ Arizona, Dept Emergency Med, 4930 N Calle Faja, Tucson, AZ 85718 USA.</t>
  </si>
  <si>
    <t>kvi@u.arizona.edu</t>
  </si>
  <si>
    <t>CO-ACTION PUBLISHING</t>
  </si>
  <si>
    <t>JARFALLA</t>
  </si>
  <si>
    <t>RIPVAGEN 7, JARFALLA, SE-175 64, SWEDEN</t>
  </si>
  <si>
    <t>10.3402/ijch.v75.33564</t>
  </si>
  <si>
    <t>EE6CD</t>
  </si>
  <si>
    <t>WOS:000389695300001</t>
  </si>
  <si>
    <t>Jawak, SD; Udhayaraj, AD; Luis, AJ</t>
  </si>
  <si>
    <t>Khanbilvardi, R; Ganju, A; Rajawat, AS; Chen, JM</t>
  </si>
  <si>
    <t>Jawak, Shridhar D.; Udhayaraj, A. D.; Luis, Alvarinho J.</t>
  </si>
  <si>
    <t>Geospatial mapping of vegetation in the Antarctic environment using very high resolution WorldView-2 imagery</t>
  </si>
  <si>
    <t>LAND SURFACE AND CRYOSPHERE REMOTE SENSING III</t>
  </si>
  <si>
    <t>Conference on Land Surface and Cryosphere Remote Sensing III</t>
  </si>
  <si>
    <t>APR 04-07, 2016</t>
  </si>
  <si>
    <t>Indian Soc Remote Sensing, New Delhi, INDIA</t>
  </si>
  <si>
    <t>Indian Soc Remote Sensing</t>
  </si>
  <si>
    <t>vegetation; WordlView-2; mapping; supervised target detection methods</t>
  </si>
  <si>
    <t>ARCTIC VEGETATION; COVER; RAMP</t>
  </si>
  <si>
    <t>A robust monitoring of the changes in the distribution and density of cryospheric plant species requires accurate and high-resolution baseline maps of vegetation. Mapping such change at the landscape scale is often problematic, particularly in remote areas, such as Antarctica. Vegetation mapping of plant communities at fine spatial scales is increasingly supported by remote sensing technology in cryospheric regions. Less frequent imaging with high spatial resolution satellite sensors enable more detailed analyses of vegetation change frequently. This study is the first to use high-resolution WorldView-2 (WV-2) imagery to classify vegetation communities on Antarctic oases and to provide semi-automated means to map vegetation, as an imperative indicator for environmental change. Multispectral imagery (MSI) and panchromatic imagery (PAN) from very high resolution WV-2 have been used for mapping of vegetation in different forms in Antarctic environment. A range of supervised classification methods have been executed using pansharpened WV-2 data. This study comparatively and statistically evaluates vegetation mapping results using supervised and unsupervised classification methods to extract vegetation in Larsemann Hills and Schirmacher oasis, east Antarctica. We also discuss on the use of supervised pixel-based classifiers and textural measures, in addition to standard multispectral information, to improve the classification of Antarctic vegetation communities. Classification results were validated with independent reference datasets. This work indicates that the overall accuracy of mapping vegetation using WV-2 imagery and semiautomated target extraction methods ranged from 90% to 94%.</t>
  </si>
  <si>
    <t>[Jawak, Shridhar D.; Luis, Alvarinho J.] NCAOR, ESSO, Polar Remote Sensing Dept, Minist Earth Sci, Gama 403804, Goa, India; [Udhayaraj, A. D.] Univ Madras, Dept Geog, Chennai, Tamil Nadu, India</t>
  </si>
  <si>
    <t>Ministry of Earth Sciences (MoES) - India; National Centre for Polar and Ocean Research (NCPOR); Earth System Science Organization (ESSO); University of Madras</t>
  </si>
  <si>
    <t>Jawak, SD (corresponding author), NCAOR, ESSO, Polar Remote Sensing Dept, Minist Earth Sci, Gama 403804, Goa, India.</t>
  </si>
  <si>
    <t>shridhar.jawak@gmail.com</t>
  </si>
  <si>
    <t>Jawak, Shridhar/G-9678-2012</t>
  </si>
  <si>
    <t>Jawak, Shridhar/0000-0002-0648-3109; Luis, Dr Alvarinho J./0000-0002-3425-8048</t>
  </si>
  <si>
    <t>978-1-5106-0118-5</t>
  </si>
  <si>
    <t>98772N</t>
  </si>
  <si>
    <t>10.1117/12.2222751</t>
  </si>
  <si>
    <t>Remote Sensing; Optics</t>
  </si>
  <si>
    <t>BG5QM</t>
  </si>
  <si>
    <t>WOS:000389680500040</t>
  </si>
  <si>
    <t>Jawak, SD; Luis, AJ</t>
  </si>
  <si>
    <t>Jawak, Shridhar D.; Luis, Alvarinho J.</t>
  </si>
  <si>
    <t>Application of high resolution multispectral data for mapping blue ice areas in the Antarctic environment</t>
  </si>
  <si>
    <t>Antarctic; mapping; pixel based classification methods; object based methods</t>
  </si>
  <si>
    <t>CLASSIFICATION</t>
  </si>
  <si>
    <t>High resolution calibrated PAN-sharpened images from WorldView-2 (WV-2) were used for extracting blue ice areas in Schirmacher Oasis, east Antarctica. The Schirmacher oasis extends from 70 degrees 45 ' S to 70 degrees 75 ' S and 11 degrees 38 ' E to 11 degrees 38 ' E. Blue ice areas represents long-term ablation. The amplitude of blue ice is lower than that of snow, because the ice surface is smoother than the latter. But the difference is not so obvious when applying automatic extraction techniques. To achieve desirable results and support comparative analysis, multiband image combinations were generated from atmospherically-corrected WV-2 data. For feature extraction process, regions of interest (ROI) were considered in which blue ice was used as target and white snow/ice appearing on the blue ice was considered as non-target. Various semiautomatic feature extraction methods, such as, target detection, mapping methods, etc, and many trials were used for extracting blue ice areas. Surface patterns of alternating snow and blue ice bands were found in east Antarctica which becomes obstacle to clearly extract blue ice feature. From the high resolution WV-2 data, reference data (digitized data) were prepared for blue ice area. By comparing reference data and extracted data, bias and root mean square (RMS) error values were calculated. Accuracy assessment was done considering the entire necessary prior results of the blue ice area. Our results indicate that the pixel-based supervised classification methods yielded an overall accuracy ranging from 82%-89% for extraction of blue ice areas.</t>
  </si>
  <si>
    <t>[Jawak, Shridhar D.; Luis, Alvarinho J.] NCAOR, ESSO, Polar Remote Sensing Dept, Minist Earth Sci, Gama 403804, Goa, India</t>
  </si>
  <si>
    <t>Earth System Science Organization (ESSO); Ministry of Earth Sciences (MoES) - India; National Centre for Polar and Ocean Research (NCPOR)</t>
  </si>
  <si>
    <t>Jawak, Shridhar/0000-0002-0648-3109</t>
  </si>
  <si>
    <t>98772M</t>
  </si>
  <si>
    <t>10.1117/12.2222770</t>
  </si>
  <si>
    <t>WOS:000389680500039</t>
  </si>
  <si>
    <t>Jawak, SD; Jadhav, A; Luis, AJ</t>
  </si>
  <si>
    <t>Jawak, Shridhar D.; Jadhav, Ajay; Luis, Alvarinho J.</t>
  </si>
  <si>
    <t>Object-oriented feature extraction approach for mapping supraglacial debris in Schirmacher Oasis using very high resolution satellite data</t>
  </si>
  <si>
    <t>supraglacial debris; WorldView-2; mapping; pixel based classification methods; object based methods</t>
  </si>
  <si>
    <t>DIGITAL ELEVATION MODEL; GLACIERS</t>
  </si>
  <si>
    <t>Supraglacial debris was mapped in the Schirmacher Oasis, east Antarctica, by using WorldView-2 (WV-2) high resolution optical remote sensing data consisting of 8-band calibrated Gram Schmidt (GS)-sharpened and atmospherically corrected WV-2 imagery. This study is a preliminary attempt to develop an object-oriented rule set to extract supraglacial debris for Antarctic region using 8-spectral band imagery. Supraglacial debris was manually digitized from the satellite imagery to generate the ground reference data. Several trials were performed using few existing traditional pixel-based classification techniques and color-texture based object-oriented classification methods to extract supraglacial debris over a small domain of the study area. Multi-level segmentation and attributes such as scale, shape, size, compactness along with spectral information from the data were used for developing the rule set. The quantitative analysis of error was carried out against the manually digitized reference data to test the practicability of our approach over the traditional pixel-based methods. Our results indicate that OBIA-based approach (overall accuracy: 93%) for extracting supraglacial debris performed better than all the traditional pixel-based methods (overall accuracy: 80-85%). The present attempt provides a comprehensive improved method for semiautomatic feature extraction in supraglacial environment and a new direction in the cryospheric research.</t>
  </si>
  <si>
    <t>[Jawak, Shridhar D.; Luis, Alvarinho J.] NCAOR, ESSO, Polar Remote Sensing Dept, Minist Earth Sci, Gama 403804, Goa, India; [Jadhav, Ajay] Univ Pune, Sinhgad Coll Sci, Geoinformat Dept, Pune, Maharashtra, India</t>
  </si>
  <si>
    <t>Earth System Science Organization (ESSO); Ministry of Earth Sciences (MoES) - India; National Centre for Polar and Ocean Research (NCPOR); Savitribai Phule Pune University</t>
  </si>
  <si>
    <t>98772L</t>
  </si>
  <si>
    <t>10.1117/12.2223012</t>
  </si>
  <si>
    <t>WOS:000389680500038</t>
  </si>
  <si>
    <t>Generation of a Precise DEM by interactive synthesis of multi-temporal elevation datasets: a case study of Schirmacher Oasis, East Antarctica</t>
  </si>
  <si>
    <t>Antarctic; digital elevation model (DEM); interpolation techniques</t>
  </si>
  <si>
    <t>LIDAR-DERIVED ELEVATION; SLOPE</t>
  </si>
  <si>
    <t>Digital elevation model (DEM) is indispensable for analysis such as topographic feature extraction, ice sheet melting, slope stability analysis, landscape analysis and so on. Such analysis requires a highly accurate DEM. Available DEMs of Antarctic region compiled by using radar altimetry and the Antarctic digital database indicate elevation variations of up to hundreds of meters, which necessitates the generation of local improved DEM. An improved DEM of the Schirmacher Oasis, East Antarctica has been generated by synergistically fusing satellite-derived laser altimetry data from Geoscience Laser Altimetry System (GLAS), Radarsat Antarctic Mapping Project (RAMP) elevation data and Advanced Space-borne Thermal Emission and Reflection Radiometer (ASTER) global elevation data (GDEM). This is a characteristic attempt to generate a DEM of any part of Antarctica by fusing multiple elevation datasets, which is essential to model the ice elevation change and address the ice mass balance. We analyzed a suite of interpolation techniques for constructing a DEM from GLAS, RAMP and ASTER DEM-based point elevation datasets, in order to determine the level of confidence with which the interpolation techniques can generate a better interpolated continuous surface, and eventually improve the elevation accuracy of DEM from synergistically fused RAMP, GLAS and ASTER point elevation datasets. The DEM presented in this work has a vertical accuracy (approximate to 23 m) better than RAMP DEM (approximate to 57 m) and ASTER DEM (approximate to 64 m) individually. The RAMP DEM and ASTER DEM elevations were corrected using differential GPS elevations as ground reference data, and the accuracy obtained after fusing multitemporal datasets is found to be improved than that of existing DEMs constructed by using RAMP or ASTER alone. This is our second attempt of fusing multitemporal, multisensory and multisource elevation data to generate a DEM of Antarctica, in order to address the ice elevation change and address the ice mass balance. Our approach focuses on the strengths of each elevation data source to produce an accurate elevation model.</t>
  </si>
  <si>
    <t>[Jawak, Shridhar D.; Luis, Alvarinho J.] Natl Ctr Antarctic &amp; Ocean Res NCAOR, ESSO, Polar Remote Sensing Dept, Gama 403804, Goa, India</t>
  </si>
  <si>
    <t>Ministry of Earth Sciences (MoES) - India; National Centre for Polar and Ocean Research (NCPOR); Earth System Science Organization (ESSO)</t>
  </si>
  <si>
    <t>Jawak, SD (corresponding author), Natl Ctr Antarctic &amp; Ocean Res NCAOR, ESSO, Polar Remote Sensing Dept, Gama 403804, Goa, India.</t>
  </si>
  <si>
    <t>98772E</t>
  </si>
  <si>
    <t>10.1117/12.2223609</t>
  </si>
  <si>
    <t>WOS:000389680500034</t>
  </si>
  <si>
    <t>Jayaprasad, P; Mehra, R; Chawla, S; Ram, RD; Oza, SR</t>
  </si>
  <si>
    <t>Jayaprasad, P.; Mehra, Raghav; Chawla, Saket; Ram, Rajak D.; Oza, Sandip R.</t>
  </si>
  <si>
    <t>Role of Indian Remote Sensing Imaging Satellites for the Antarctic Monitoring and Mapping: A case Study Around Indian Antarctic Research Stations</t>
  </si>
  <si>
    <t>RISAT-1; RS-2; Change detection; Safer Ship Navigation; Extreme Events; Volcano; Ice Calving</t>
  </si>
  <si>
    <t>Antarctic research station's existence largely depend on the supply of fuel, food and other commodities through Antarctic Scientific Expedition using ship voyage. Safer Ship Navigation demands high resolution satellite monitoring of the ice conditions which varies from 30 km to 200 km from the Antarctic coast of Research stations. During the last couple of years Indian Satellites play a major role in safer ship navigation in sea ice regions of the Arctic and the Antarctic. Specifically Indian Scientific Expedition to the Antarctica (ISEA) through National Centre for Antarctic and Oceanic Research (NCAOR) is one of the beneficiaries for safer ship navigation using information derived from Indian Satellite data. Space Applications Centre, Indian Space Research Organisation (SAC-ISRO) is providing Sea Ice Advisories for the safer optimum entry and exit for the expedition ship at two of the Research stations Bharati and Maitri. Two of the Indian Satellites namely Radar Imaging Satellite-1 (RISAT-1) and ResourceSAT-2 (RS-2) are the two major workhorses of ISRO for monitoring and mapping of the Antarctic terrain. The present study demonstrate the utilisation potential of these satellite images for various Polar Science Applications. Mosaic of the Antarctic Terrain was generated from RISAT-1 CRS data. The preliminary results of the mosaic from CRS-circular polarisation data is presented. Demonstration of the study is extended for other applications such as change detection studies, safer ship navigation and extreme events of Antarctica. The use of multi resolution multi sensor data is also shown in the study.</t>
  </si>
  <si>
    <t>[Jayaprasad, P.; Mehra, Raghav; Chawla, Saket; Ram, Rajak D.; Oza, Sandip R.] ISRO, Ctr Space Applicat, Ahmadabad 380015, Gujarat, India</t>
  </si>
  <si>
    <t>Department of Space (DoS), Government of India; Indian Space Research Organisation (ISRO); Space Applications Centre (SAC)</t>
  </si>
  <si>
    <t>Jayaprasad, P (corresponding author), ISRO, Ctr Space Applicat, Ahmadabad 380015, Gujarat, India.</t>
  </si>
  <si>
    <t>jayaprasadp@sac.isro.gov.in</t>
  </si>
  <si>
    <t>10.1117/12.2223787</t>
  </si>
  <si>
    <t>WOS:000389680500017</t>
  </si>
  <si>
    <t>Larar, AM; Chauhan, P; Suzuki, M; Wang, J</t>
  </si>
  <si>
    <t>Geospatial mapping of Antarctic coastal oasis using geographic object-based image analysis and high resolution satellite imagery</t>
  </si>
  <si>
    <t>MULTISPECTRAL, HYPERSPECTRAL, AND ULTRASPECTRAL REMOTE SENSING TECHNOLOGY, TECHNIQUES AND APPLICATIONS VI</t>
  </si>
  <si>
    <t>Conference on Multispectral, Hyperspectral, and Ultraspectral Remote Sensing Technology, Techniques and Applications VI</t>
  </si>
  <si>
    <t>object oriented classification; landcover classification; high resolution imagery</t>
  </si>
  <si>
    <t>MULTISPECTRAL IMAGERY; CLASSIFICATION; FOREST; IKONOS</t>
  </si>
  <si>
    <t>An accurate spatial mapping and characterization of land cover features in cryospheric regions is an essential procedure for many geoscientific studies. A novel semi-automated method was devised by coupling spectral index ratios (SIRs) and geographic object-based image analysis (OBIA) to extract cryospheric geospatial information from very high resolution WorldView 2 (WV-2) satellite imagery. The present study addresses development of multiple rule sets for OBIA-based classification of WV-2 imagery to accurately extract land cover features in the Larsemann Hills, east Antarctica. Multi-level segmentation process was applied to WV-2 image to generate different sizes of geographic image objects corresponding to various land cover features with respect to scale parameter. Several SIRs were applied to geographic objects at different segmentation levels to classify land mass, man-made features, snow/ice, and water bodies. We focus on water body class to identify water areas at the image level, considering their uneven appearance on landmass and ice. The results illustrated that synergetic usage of SIRs and OBIA can provide accurate means to identify land cover classes with an overall classification accuracy of approximate to 97%. In conclusion, our results suggest that OBIA is a powerful tool for carrying out automatic and semiautomatic analysis for most cryospheric remote-sensing applications, and the synergetic coupling with pixel-based SIRs is found to be a superior method for mining geospatial information.</t>
  </si>
  <si>
    <t>[Jawak, Shridhar D.; Luis, Alvarinho J.] Minist Earth Sci, NCAOR, ESSO, Polar Remote Sensing Dept, Vasco Da Gama 403804, Goa, India</t>
  </si>
  <si>
    <t>Jawak, SD (corresponding author), Minist Earth Sci, NCAOR, ESSO, Polar Remote Sensing Dept, Vasco Da Gama 403804, Goa, India.</t>
  </si>
  <si>
    <t>978-1-5106-0121-5</t>
  </si>
  <si>
    <t>98801Q</t>
  </si>
  <si>
    <t>10.1117/12.2222767</t>
  </si>
  <si>
    <t>BG5UZ</t>
  </si>
  <si>
    <t>WOS:000389776100041</t>
  </si>
  <si>
    <t>Khopkar, PS; Jawak, SD; Luis, AJ</t>
  </si>
  <si>
    <t>Khopkar, Parag S.; Jawak, Shridhar D.; Luis, Alvarinho J.</t>
  </si>
  <si>
    <t>Multisource Classification and Pattern recognition methods for Polar Geospatial Information Mining using WorldView-2 data</t>
  </si>
  <si>
    <t>NDLI; Pansharpening; WorldView-2; Pattern Recognition</t>
  </si>
  <si>
    <t>Current research study emphasizes the importance of advanced digital image processing methods in order to delineate between various LULC features. In the case of the Antarctica, the present LC (snow/ice, landmass, water, vegetation etc.) and the present LU (research stations of various nations) needs to be mapped accurately for the hassle free routine activities. Geo-location has become the most important part of geosciences studies. In this paper we have tried to locate three most important features (snow/ice, landmass, and water) and also have extracted the extent of the same using the multisource classification (image fusion/pansharpening) and pattern recognition (supervised/unsupervised methods, index ratio methods). Innovation in developing spectral index ratios has led us to come up with an unique ratio named Normalized Difference Landmass Index (NDLI) which performed better (Avg. Bias: 51.99m) than other ratios such as Normalized Difference Snow/Ice Index (NDSII) (Avg. Bias: -1572.11m) and Normalized Difference Water Index (NDWI) (Avg. Bias: 1886.60m). The practiced trial and error methodology quantifies the productivity of not only the classification methods over one other but also that of the fusion methods. In present study, classifiers used (Mahalanobis and Winner Takes All) performed better (Avg. Bias: 122.16 m) than spectral index ratios (Avg. Bias: 620.16 m). The study also revealed that newly introduced bands in WorldView-2, band 1 (Coastal Blue), 4 (Yellow), 6 (Red-edge) and 8 (Near Infrared-2) along with traditional bands have the capacity to mine the polar geospatial information with utmost accuracy and efficiency.</t>
  </si>
  <si>
    <t>[Khopkar, Parag S.] Univ Pune, Dept Geog, Pune, Maharashtra, India; [Khopkar, Parag S.] ISRO, Ctr Space Applicat, Ahmadabad, Gujarat, India; [Jawak, Shridhar D.; Luis, Alvarinho J.] Govt India, Minist Earth Sci, Natl Ctr Antarctic &amp; Ocean Res, ESSO, Vasco Da Gama, India</t>
  </si>
  <si>
    <t>Savitribai Phule Pune University; Department of Space (DoS), Government of India; Indian Space Research Organisation (ISRO); Space Applications Centre (SAC); Ministry of Earth Sciences (MoES) - India; National Centre for Polar and Ocean Research (NCPOR); Earth System Science Organization (ESSO)</t>
  </si>
  <si>
    <t>Khopkar, PS (corresponding author), Univ Pune, Dept Geog, Pune, Maharashtra, India.;Khopkar, PS (corresponding author), ISRO, Ctr Space Applicat, Ahmadabad, Gujarat, India.</t>
  </si>
  <si>
    <t>parag.khopkar@gmail.com</t>
  </si>
  <si>
    <t>98801R</t>
  </si>
  <si>
    <t>10.1117/12.2222984</t>
  </si>
  <si>
    <t>WOS:000389776100042</t>
  </si>
  <si>
    <t>Frouin, RJ; Shenoi, SC; Rao, KH</t>
  </si>
  <si>
    <t>Exploratory normalized difference water indices for semi-automated extraction of Antarctic lake features</t>
  </si>
  <si>
    <t>REMOTE SENSING OF THE OCEANS AND INLAND WATERS: TECHNIQUES, APPLICATIONS, AND CHALLENGES</t>
  </si>
  <si>
    <t>Conference on Remote Sensing of the Oceans and Inland Waters - Techniques, Applications, and Challenges</t>
  </si>
  <si>
    <t>NDWI; Antarctic lakes; high resolution imagery</t>
  </si>
  <si>
    <t>RECENT TRENDS; LANDSAT-TM; ICE COVER; CLASSIFICATION; CLIMATE</t>
  </si>
  <si>
    <t>This work presents various normalized difference water indices (NDWI) to delineate lakes from Schirmacher Oasis, East Antarctica, by using a very high resolution WorldView-2 (WV-2) satellite imagery. Schirmacher oasis region hosts a number of fresh as well as saline water lakes, such as epishelf lakes, ice-free or landlocked lakes, which are completely frozen or semi-frozen and in a ice-free state. Hence, detecting all these types of lakes distinctly on satellite imagery was the major challenge, as the spectral characteristics of various types of lakes were identical to the other land cover targets. Multiband spectral index pixel-based approach is most experimented and recently growing technique because of its unbeatable advantages such as its simplicity and comparatively lesser amount of processing-time. In present study, semiautomatic extraction of lakes in cryospheric region was carried out by designing specific spectral indices. The study utilized number of existing spectral indices to extract lakes but none could deliver satisfactory results and hence we modified NDWI. The potentials of newly added bands in WV-2 satellite imagery was explored by developing spectral indices comprising of Yellow (585 - 625 nm) band, in combination with Blue (450 - 510 nm), Coastal (400 -450 nm) and Green (510 - 580 nm) bands. For extraction of frozen lakes, use of Yellow (585 - 625 nm) and near-infrared 2 (NIR2) band pair, and Yellow and Green band pair worked well, whereas for ice-free lakes extraction, a combination of Blue and Coastal band yielded appreciable results, when compared with manually digitized data. The results suggest that the modified NDWI approach rendered bias error varying from similar to 1 to similar to 34 m(2).</t>
  </si>
  <si>
    <t>978-1-5106-0119-2</t>
  </si>
  <si>
    <t>10.1117/12.2222766</t>
  </si>
  <si>
    <t>BG5UR</t>
  </si>
  <si>
    <t>WOS:000389774100027</t>
  </si>
  <si>
    <t>High resolution multispectral satellite imagery for extracting bathymetric information of Antarctic shallow lakes</t>
  </si>
  <si>
    <t>bathymetry; Antarctic lake; Lyzenga model; Stumpf model; WorldView-2</t>
  </si>
  <si>
    <t>WATER BATHYMETRY; DEPTH</t>
  </si>
  <si>
    <t>High-resolution pansharpened images from WorldView-2 were used for bathymetric mapping around Larsemann Hills and Schirmacher oasis, east Antarctica. We digitized the lake features in which all the lakes from both the study areas were manually extracted. In order to extract the bathymetry values from multispectral imagery we used two different models: (a) Stumpf model and (b) Lyzenga model. Multiband image combinations were used to improve the results of bathymetric information extraction. The derived depths were validated against the in-situ measurements and root mean square error (RMSE) was computed. We also quantified the error between in-situ and satellite-estimated lake depth values. Our results indicated a high correlation (R = 0.60 similar to 0.80) between estimated depth and in-situ depth measurements, with RMSE ranging from 0.10 to 1.30 m. This study suggests that the coastal blue band in the WV-2 imagery could retrieve accurate bathymetry information compared to other bands. To test the effect of size and dimension of lake on bathymetry retrieval, we distributed all the lakes on the basis of size and depth (reference data), as some of the lakes were open, some were semi frozen and others were completely frozen. Several tests were performed on open lakes on the basis of size and depth. Based on depth, very shallow lakes provided better correlation (approximate to 0.89) compared to shallow (approximate to 0.67) and deep lakes (approximate to 0.48). Based on size, large lakes yielded better correlation in comparison to medium and small lakes.</t>
  </si>
  <si>
    <t>10.1117/12.2222769</t>
  </si>
  <si>
    <t>WOS:000389774100028</t>
  </si>
  <si>
    <t>Song, W; Li, LZ; Huang, HL; Jiang, KJ; Zhang, FY; Chen, XZ; Zhao, M; Ma, LB</t>
  </si>
  <si>
    <t>Song, Wei; Li, Lingzhi; Huang, Hongliang; Jiang, Keji; Zhang, Fengying; Chen, Xuezhong; Zhao, Ming; Ma, Lingbo</t>
  </si>
  <si>
    <t>The Gut Microbial Community of Antarctic Fish Detected by 16S rRNA Gene Sequence Analysis</t>
  </si>
  <si>
    <t>BIOMED RESEARCH INTERNATIONAL</t>
  </si>
  <si>
    <t>NOTOTHENIOID FISH; BACTERIAL COMMUNITIES; TREMATOMUS-BERNACCHII; CHIONODRACO-HAMATUS; EXPRESSION; ACCLIMATION; ENVIRONMENT; ADAPTATION; REVEALS; CARP</t>
  </si>
  <si>
    <t>Intestinal bacterial communities are highly relevant to the digestion, nutrition, growth, reproduction, and a range of fitness in fish, but little is known about the gut microbial community in Antarctic fish. In this study, the composition of intestinal microbial community in four species of Antarctic fish was detected based on 16S rRNA gene sequencing. As a result, 1 004 639 sequences were obtained from 13 samples identified into 36 phyla and 804 genera, in which Proteobacteria, Actinobacteria, Firmicutes, Thermi, and Bacteroidetes were the dominant phyla, and Rhodococcus, Thermus, Acinetobacter, Propionibacterium, Streptococcus, and Mycoplasma were the dominant genera. The number of common OTUs (operational taxonomic units) varied from 346 to 768, while unique OTUs varied from 84 to 694 in the four species of Antarctic fish. Moreover, intestinal bacterial communities in individuals of each species were not really similar, and those in the four species were not absolutely different, suggesting that bacterial communities might influence the physiological characteristics of Antarctic fish, and the common bacterial communities might contribute to the fish survival ability in extreme Antarctic environment, while the different ones were related to the living habits. All of these results could offer certain information for the future study of Antarctic fish physiological characteristics.</t>
  </si>
  <si>
    <t>[Song, Wei; Li, Lingzhi; Huang, Hongliang; Jiang, Keji; Zhang, Fengying; Chen, Xuezhong; Zhao, Ming; Ma, Lingbo] Chinese Acad Fishery Sci, Minist Agr, Key Lab East China Sea &amp; Ocean Fishery Resources, East China Sea Fisheries Res Inst, Shanghai, Peoples R China</t>
  </si>
  <si>
    <t>Chinese Academy of Fishery Sciences; East China Sea Fisheries Research Institute, CAFS; Ministry of Agriculture &amp; Rural Affairs</t>
  </si>
  <si>
    <t>Ma, LB (corresponding author), Chinese Acad Fishery Sci, Minist Agr, Key Lab East China Sea &amp; Ocean Fishery Resources, East China Sea Fisheries Res Inst, Shanghai, Peoples R China.</t>
  </si>
  <si>
    <t>swift83@sina.com</t>
  </si>
  <si>
    <t>Jiang, keji/F-1519-2010</t>
  </si>
  <si>
    <t>Zhao, Ming/0000-0002-1221-9240</t>
  </si>
  <si>
    <t>Special Fund for Agro-Scientific Research in the Public Interest [201203018]; Chinese National Antarctic Research Expedition [CHINARE2014-01-06]</t>
  </si>
  <si>
    <t>Special Fund for Agro-Scientific Research in the Public Interest; Chinese National Antarctic Research Expedition</t>
  </si>
  <si>
    <t>This work was supported by the Special Fund for Agro-Scientific Research in the Public Interest (201203018) and the Chinese National Antarctic Research Expedition (CHINARE2014-01-06). The authors report no conflict of interests.</t>
  </si>
  <si>
    <t>HINDAWI LTD</t>
  </si>
  <si>
    <t>LONDON</t>
  </si>
  <si>
    <t>ADAM HOUSE, 3RD FLR, 1 FITZROY SQ, LONDON, W1T 5HF, ENGLAND</t>
  </si>
  <si>
    <t>2314-6133</t>
  </si>
  <si>
    <t>2314-6141</t>
  </si>
  <si>
    <t>BIOMED RES INT</t>
  </si>
  <si>
    <t>Biomed Res. Int.</t>
  </si>
  <si>
    <t>10.1155/2016/3241529</t>
  </si>
  <si>
    <t>Biotechnology &amp; Applied Microbiology; Medicine, Research &amp; Experimental</t>
  </si>
  <si>
    <t>Biotechnology &amp; Applied Microbiology; Research &amp; Experimental Medicine</t>
  </si>
  <si>
    <t>ED4QC</t>
  </si>
  <si>
    <t>Green Published, gold, Green Submitted</t>
  </si>
  <si>
    <t>WOS:000388834100001</t>
  </si>
  <si>
    <t>Rozas, V; Le Quesne, C; Rojas-Badilla, M</t>
  </si>
  <si>
    <t>Rozas, Vicente; Le Quesne, Carlos; Rojas-Badilla, Moises</t>
  </si>
  <si>
    <t>Climatic factors controlling radial growth and formation of wood density fluctuations in Austrocedrus chilensis in Valdivia, Chile</t>
  </si>
  <si>
    <t>BOSQUE</t>
  </si>
  <si>
    <t>Valdivian climate; wood anatomy; dendrochronology; ENSO; rainfall</t>
  </si>
  <si>
    <t>TREE-RING GROWTH; MEDITERRANEAN CLIMATE; PINUS-PINASTER; FALSE RINGS; VARIABILITY; ARGENTINA; PATAGONIA; ANATOMY; SCALE</t>
  </si>
  <si>
    <t>Tree-ring widths and intrannual wood density fluctuations (IADFs) are sound proxies of the environmental factors that control the growth of forest tree species. In this work we evaluated the impact of climate on radial growth and IADFs formation in an Austrocedrus chilensis plantation in Valdivia, Chile. We calculated mean tree-ring chronology and the annual distribution of IADFs frequency from 20 trees, and we studied their relationships with local precipitation, temperature, and large-scale El Nifio-Southern Oscillation (ENSO) and Antarctic Oscillation (AO) climatic teleconnections in the period 1975-2010. We used correlation and multiple linear regression analyses to assess the climate-growth relationships and t test for means comparison to check for differences between years with and without IADFs. We observed an inverse relationship of growth with previous summer precipitation and maximum temperature during the growing period, which suggests physiological stress for trees caused by water surplus and warm summer conditions. Years with maximum IADFs frequency were those coinciding with El Nino events, which caused dry and warm summer conditions in the study area, followed by rainy conditions in September. We did not find statistically significant relationships with AO. The interaction between local climatic conditions and ENSO variation controlled IADFs formation in the wood of A. chilensis in Valdivia.</t>
  </si>
  <si>
    <t>[Rozas, Vicente; Le Quesne, Carlos; Rojas-Badilla, Moises] Univ Austral Chile, Fac Ciencias Forestales &amp; Recursos Nat, Lab Dendrocronol &amp; Cambio Global, Casilla 567, Valdivia, Chile</t>
  </si>
  <si>
    <t>Universidad Austral de Chile</t>
  </si>
  <si>
    <t>Rozas, V (corresponding author), Univ Austral Chile, Fac Ciencias Forestales &amp; Recursos Nat, Lab Dendrocronol &amp; Cambio Global, Casilla 567, Valdivia, Chile.</t>
  </si>
  <si>
    <t>vicenterozas@gmail.com</t>
  </si>
  <si>
    <t>Rozas, Vicente/E-7418-2011</t>
  </si>
  <si>
    <t>Rozas, Vicente/0000-0003-2048-6864; Rojas-Badilla, Moises/0000-0002-1101-2280</t>
  </si>
  <si>
    <t>UNIV AUSTRAL CHILE, FAC CIENCIAS FORESTALES</t>
  </si>
  <si>
    <t>VALDIVIA</t>
  </si>
  <si>
    <t>CASILLA 567, VALDIVIA, 00000, CHILE</t>
  </si>
  <si>
    <t>0717-9200</t>
  </si>
  <si>
    <t>Bosque</t>
  </si>
  <si>
    <t>10.4067/S0717-92002016000300003</t>
  </si>
  <si>
    <t>Ecology; Forestry</t>
  </si>
  <si>
    <t>Environmental Sciences &amp; Ecology; Forestry</t>
  </si>
  <si>
    <t>ED3YX</t>
  </si>
  <si>
    <t>Green Submitted, gold</t>
  </si>
  <si>
    <t>WOS:000388785500003</t>
  </si>
  <si>
    <t>Bonev, G; Gladkova, I; Grossberg, M; Romanov, P; Helfrich, S</t>
  </si>
  <si>
    <t>Butler, JJ; Xiong, X; Gu, X</t>
  </si>
  <si>
    <t>Bonev, George; Gladkova, Irina; Grossberg, Michael; Romanov, Peter; Helfrich, Sean</t>
  </si>
  <si>
    <t>Integrated approach using multi-platform sensors for enhanced high-resolution daily ice cover product</t>
  </si>
  <si>
    <t>EARTH OBSERVING SYSTEMS XXI</t>
  </si>
  <si>
    <t>Conference on Earth Observing Systems XXI</t>
  </si>
  <si>
    <t>AUG 30-SEP 01, 2016</t>
  </si>
  <si>
    <t>San Diego, CA</t>
  </si>
  <si>
    <t>sea-ice extent; multi-sensor fusion; visible; infrared; passive microwave instruments; Arctic; Antarctic; MODIS; VIIRS; AMSR-2</t>
  </si>
  <si>
    <t>SEA-ICE</t>
  </si>
  <si>
    <t>The ultimate objective of this work is to improve characterization of the ice cover distribution in the polar areas, to improve sea ice mapping and to develop a new automated real-time high spatial resolution multi-sensor ice extent and ice edge product for use in operational applications. Despite a large number of currently available automated satellite-based sea ice extent datasets, analysts at the National Ice Center tend to rely on original satellite imagery (provided by satellite optical, passive microwave and active microwave sensors) mainly because the automated products derived from satellite optical data have gaps in the area coverage due to clouds and darkness, passive microwave products have poor spatial resolution, automated ice identifications based on radar data are not quite reliable due to a considerable difficulty in discriminating between the ice cover and rough ice-free ocean surface due to winds. We have developed a multi-sensor algorithm that first extracts maximum information on the sea ice cover from imaging instruments VIIRS and MODIS, including regions covered by thin, semitransparent clouds, then supplements the output by the microwave measurements and finally aggregates the results into a cloud gap free daily product. This ability to identify ice cover underneath thin clouds, which is usually masked out by traditional cloud detection algorithms, allows for expansion of the effective coverage of the sea ice maps and thus more accurate and detailed delineation of the ice edge. We have also developed a web-based monitoring system that allows comparison of our daily ice extent product with the several other independent operational daily products.</t>
  </si>
  <si>
    <t>[Bonev, George] CUNY, Grad Ctr, 365 5th Ave, New York, NY 10016 USA; [Bonev, George; Gladkova, Irina; Grossberg, Michael; Romanov, Peter] NOAA, City Coll New York, CREST, 138th &amp; Convent Ave, New York, NY 10031 USA; [Helfrich, Sean] US Natl Ice Ctr, 4231 Suitland Rd, Suitland, MD 20746 USA; [Helfrich, Sean] NOAA, NESDIS, 5830 Univ Res Ct, College Pk, MD 20740 USA</t>
  </si>
  <si>
    <t>City University of New York (CUNY) System; City University of New York (CUNY) System; City College of New York (CUNY); National Oceanic Atmospheric Admin (NOAA) - USA; National Oceanic Atmospheric Admin (NOAA) - USA</t>
  </si>
  <si>
    <t>Gladkova, I (corresponding author), NOAA, City Coll New York, CREST, 138th &amp; Convent Ave, New York, NY 10031 USA.</t>
  </si>
  <si>
    <t>Romanov, Peter/F-5622-2010</t>
  </si>
  <si>
    <t>978-1-5106-0335-6; 978-1-5106-0336-3</t>
  </si>
  <si>
    <t>10.1117/12.2244976</t>
  </si>
  <si>
    <t>Instruments &amp; Instrumentation; Remote Sensing; Optics; Imaging Science &amp; Photographic Technology</t>
  </si>
  <si>
    <t>BG5CW</t>
  </si>
  <si>
    <t>WOS:000389369500033</t>
  </si>
  <si>
    <t>De Man, P</t>
  </si>
  <si>
    <t>DeMan, P</t>
  </si>
  <si>
    <t>De Man, Philip</t>
  </si>
  <si>
    <t>Methodology</t>
  </si>
  <si>
    <t>EXCLUSIVE USE IN AN INCLUSIVE ENVIRONMENT: THE MEANING OF THE NON-APPROPRIATION PRINCIPLE FOR SPACE RESOURCE EXPLOITATION</t>
  </si>
  <si>
    <t>Space Regulations Library</t>
  </si>
  <si>
    <t>International law; Analogies; Law of the sea; Antarctic treaty system; Air law; Roman civil law; International telecommunication law; Resource management</t>
  </si>
  <si>
    <t>This chapter sets out the approach that has been adopted in this book in order to analyse the legality of the exploitation of natural resources in outer space. The present book is primarily concerned with finding a coherent interpretation of the key terms and principles of international space law, such as they have been used and codified in existing treaties that are binding on the community of States. These treaties include both the set of conventions adopted by the UN Committee on the Peaceful Uses of Outer Space and the instruments of the International Telecommunication Union of more recent date. Against this approach, the chapter weighs the advantages and disadvantages of more conventional space law analyses often followed in legal doctrine. These are based either on analogies with related regimes such as the law of the sea, airspace or the Antarctic, or on conceptual categories derived from Roman civil law. Though these approaches may be useful for guiding political negotiations on a future regime for the exploitation of space resources, the chapter finds that a legal analysis of the legality of resource exploitation in outer space should start from a thorough review of the existing space law principles and their mutual interplay.</t>
  </si>
  <si>
    <t>[De Man, Philip] Univ Leuven, Leuven Ctr Global Governance Studies, Leuven, Belgium; [De Man, Philip] Univ Leuven, Space Studies, Leuven, Belgium</t>
  </si>
  <si>
    <t>KU Leuven; KU Leuven</t>
  </si>
  <si>
    <t>De Man, P (corresponding author), Univ Leuven, Leuven Ctr Global Governance Studies, Leuven, Belgium.;De Man, P (corresponding author), Univ Leuven, Space Studies, Leuven, Belgium.</t>
  </si>
  <si>
    <t>978-3-319-38752-9; 978-3-319-38751-2</t>
  </si>
  <si>
    <t>SPACE REGUL LIB</t>
  </si>
  <si>
    <t>10.1007/978-3-319-38752-9_1</t>
  </si>
  <si>
    <t>10.1007/978-3-319-38752-9</t>
  </si>
  <si>
    <t>BG4UP</t>
  </si>
  <si>
    <t>WOS:000389195800002</t>
  </si>
  <si>
    <t>Eagles, G</t>
  </si>
  <si>
    <t>Ghiglione, MC</t>
  </si>
  <si>
    <t>Eagles, Graeme</t>
  </si>
  <si>
    <t>Tectonic Reconstructions of the Southernmost Andes and the Scotia Sea During the Opening of the Drake Passage</t>
  </si>
  <si>
    <t>GEODYNAMIC EVOLUTION OF THE SOUTHERNMOST ANDES: CONNECTIONS WITH THE SCOTIA ARC</t>
  </si>
  <si>
    <t>Springer Earth System Sciences</t>
  </si>
  <si>
    <t>Southernmost Andes; Scotia Sea; Scotia Ridge; Antarctica; Antarctic Peninsula; Drake Passage</t>
  </si>
  <si>
    <t>SOUTH-GEORGIA-ISLAND; ANTARCTIC PENINSULA; WEDDELL SEA; METAMORPHIC COMPLEXES; PLATE BOUNDARY; POWELL BASIN; EVOLUTION; ARC; RIDGE; FLOW</t>
  </si>
  <si>
    <t>Study of the tectonic development of the Scotia Sea region started with basic lithological and structural studies of outcrop geology in Tierra del Fuego and the Antarctic Peninsula. To nineteenth-and early twentieth-century geologists, the results of these studies suggested the presence of a submerged orocline running around the margins of the Scotia Sea. Subsequent increases in detailed knowledge about the fragmentary outcrop geology from islands distributed around the margins of the Scotia Sea, and later their interpretation in the light of the plate tectonic paradigm led to large modifications in the hypothesis such that by the present day the concept of oroclinal bending in the region persists only in vestigial form. Of the early comparative lithostratigraphic work in the region, only the likenesses between Jurassic-Cretaceous basin floor and fill sequences in South Georgia and Tierra del Fuego are regarded as strong enough to be useful in plate kinematic reconstruction by permitting the interpretation of those regions' contiguity in mid-Mesozoic times. Marine and satellite geophysical data sets reveal features of the remaining, submerged, 98 % of the Scotia Sea region between the outcrops. These data enable a more detailed and quantitative approach to the region's plate kinematics. In contrast to long-used interpretations of the outcrop geology, these data do not prescribe the proximity of South Georgia to Tierra del Fuego in any past period. It is, however, possible to reinterpret the geology of those two regions in terms of the plate kinematic history that the seafloor has preserved.</t>
  </si>
  <si>
    <t>[Eagles, Graeme] Alfred Wegener Inst, Helmholtz Ctr Marine &amp; Polar Res, Bremerhaven, Germany</t>
  </si>
  <si>
    <t>Helmholtz Association; Alfred Wegener Institute, Helmholtz Centre for Polar &amp; Marine Research</t>
  </si>
  <si>
    <t>Eagles, G (corresponding author), Alfred Wegener Inst, Helmholtz Ctr Marine &amp; Polar Res, Bremerhaven, Germany.</t>
  </si>
  <si>
    <t>geagles@awi.de</t>
  </si>
  <si>
    <t>2197-9596</t>
  </si>
  <si>
    <t>2197-960X</t>
  </si>
  <si>
    <t>978-3-319-39727-6; 978-3-319-39725-2</t>
  </si>
  <si>
    <t>SPRING EARTH SYST SC</t>
  </si>
  <si>
    <t>10.1007/978-3-319-39727-6_4</t>
  </si>
  <si>
    <t>10.1007/978-3-319-39727-6</t>
  </si>
  <si>
    <t>Geochemistry &amp; Geophysics; Geology</t>
  </si>
  <si>
    <t>BG4PL</t>
  </si>
  <si>
    <t>WOS:000389035800005</t>
  </si>
  <si>
    <t>Ghiglione, MC; Sue, C; Ramos, ME; Tobal, JE; Gallardo, RE</t>
  </si>
  <si>
    <t>Ghiglione, Matias C.; Sue, Christian; Ramos, Miguel E.; Tobal, Jonathan E.; Gallardo, Rocio E.</t>
  </si>
  <si>
    <t>The Relation Between Neogene Denudation of the Southernmost Andes and Sedimentation in the Offshore Argentine and Malvinas Basins During the Opening of the Drake Passage</t>
  </si>
  <si>
    <t>Atlantic offshore basins; Argentine Basin; Malvinas Basin; Magallanes-Austral Basin; Patagonian Andes; Fuegian Andes; Drake Passage; Malvinas Current; Sub-Antarctic Current</t>
  </si>
  <si>
    <t>TIERRA-DEL-FUEGO; DARWIN METAMORPHIC COMPLEX; AUSTRAL MAGALLANES BASIN; PATAGONIAN ANDES; TECTONIC EVOLUTION; MAGELLAN STRAIT; RIDGE COLLISION; SCOTIA SEA; CHILE; CORDILLERA</t>
  </si>
  <si>
    <t>The Neogene orogenic growth of the Southern Patagonian Andes has been related to the approximation and collision of a series of segments of the Chile seismic ridge, which separates the Antarctic and Nazca plates, against South America. The compiled thermochronological data consistently indicates an eastward moving trend of exhumation, were uplift of the western basement domain occurred from similar to 34 to 15 Ma, and was followed by denudation of the basement front and the fold and thrust belt between similar to 20 and 5 Ma. There has been an assumption that tectonic growth in southern Patagonia ended in late Miocene times, largely based on the top age of the molasse deposits of the Santa Cruz Formation, spanning from similar to 22-19 to 14 Ma. There is, however, multiple thermochronological evidence that exhumation in the hinterland continued profusely, with large volumes of rock denudated rapidly between similar to 15 and 5 Ma, and steadily since similar to 7 Ma. However, continental sedimentation rate was very low in the Magallanes-Austral Basin of the Southernmost Andes after 14 Ma, an effect produced by the dynamic uplift of Patagonia. Contrastingly, the upper Miocene-lower Pliocene constitutes an aggradational period very well developed in the offshore Argentine continental margin. We propose that the great volumes of sediments produced by Miocene-Pliocene denudation of the Southernmost Andes bypassed Patagonia and reached the Argentine and Malvinas basins, where they were accommodated in thick sequences with high sedimentation rates. Those sediments were distributed along the Southern Atlantic margin by sub-Antarctic currents, which propagated into the Argentine continental margin during the deepening of the Drake Passage. The sediments were probably funneled through gargantuan fluvial and glacifluvial W-E systems, similar to those preserved in Patagonia from the last glaciation, and axially through the Fuegian Andes foothills toward the offshore basins.</t>
  </si>
  <si>
    <t>[Ghiglione, Matias C.; Ramos, Miguel E.; Tobal, Jonathan E.; Gallardo, Rocio E.] Univ Buenos Aires, Inst Estudios Andinos Don Pablo Groeber, Dept Ciencias Geol, CONICET,FCEN, Buenos Aires, DF, Argentina; [Sue, Christian] Bourgogne Franche Comte Univ, Lab Chronoenvironm, Besancon, France</t>
  </si>
  <si>
    <t>University of Buenos Aires; Consejo Nacional de Investigaciones Cientificas y Tecnicas (CONICET); Universite de Franche-Comte</t>
  </si>
  <si>
    <t>Ghiglione, MC (corresponding author), Univ Buenos Aires, Inst Estudios Andinos Don Pablo Groeber, Dept Ciencias Geol, CONICET,FCEN, Buenos Aires, DF, Argentina.</t>
  </si>
  <si>
    <t>matias@gl.fcen.uba.ar</t>
  </si>
  <si>
    <t>Ghiglione, Matias C/A-9413-2010</t>
  </si>
  <si>
    <t>sue, christian/0000-0002-2472-5001</t>
  </si>
  <si>
    <t>10.1007/978-3-319-39727-6_5</t>
  </si>
  <si>
    <t>WOS:000389035800006</t>
  </si>
  <si>
    <t>Sue, C; Ghiglione, MC</t>
  </si>
  <si>
    <t>Sue, Christian; Ghiglione, Matias C.</t>
  </si>
  <si>
    <t>Wrenching Tectonism in the Southernmost Andes and the Scotia Sea Constrained from Fault Kinematic and Seismotectonic Overviews</t>
  </si>
  <si>
    <t>Geodynamic Evolution of the Southernmost Andes: Connections with the Scotia Arc</t>
  </si>
  <si>
    <t>Fuegian andes; Scotia plate; Fault kinematic; Seismotectonics; Wrenching; Magallanes-Fagnano fault system; North scotia ridge</t>
  </si>
  <si>
    <t>TIERRA-DEL-FUEGO; RELATIVE PLATE MOTIONS; SOUTH-AMERICA; SLIP DATA; WESTERN ALPS; STRESS-FIELD; ANTARCTIC PENINSULA; EARTHQUAKE ANALYSIS; STRUCTURAL GEOLOGY; REGIONAL STRESS</t>
  </si>
  <si>
    <t>The geodynamics of the study area includes subduction, orogen dynamics, and major transcurrent tectonics at a complex transform margin in the southern ocean. We present a synthesis of the fault system associated to major fault zones in the Fuegian Andes and the Scotia Sea and review the available kinematic databases from microtectonic measurements. Our synthesis of six independent fault kinematic studies is coherent with a very consistent shortening direction-oriented NE-SW in the Southernmost Andes. The stability of the stress pattern and orientation of the shortening axes on a more regional scale involving the Scotia Sea indicate a steady E-W to NNE-SSW sigma 1/shortening direction since middle Eocene times. This observations reflect that the global left-lateral motion between Antarctica-Scotia-South America plates circuit is the main driving force for the entire area and in particular for the Southernmost Andes, over the last similar to 45 Ma. Both the observed short-term geodetic and the long-term geological slip rates of the Magallanes-Fagnano fault system from Tierra del Fuego are moderate (similar to 5 mm/year), and the expected time span between major M8 earthquakes would be around 10 kyr. Yet the time between the two most recent large earthquakes was about 70 years. Such a great discrepancy suggests a complex mechanics on the Magallanes-Fagnano fault system, leading to complex recurrence time history for the characteristic earthquake (M &gt;= 7).</t>
  </si>
  <si>
    <t>[Sue, Christian] Bourgogne Franche Comte Univ, Lab Chronoenvironm, Besancon, France; [Ghiglione, Matias C.] Univ Buenos Aires, Inst Estudios Andinos Don Pablo Groeber, Dept Ciencias Geol, CONICET,FCEN, Buenos Aires, DF, Argentina</t>
  </si>
  <si>
    <t>Universite de Franche-Comte; Consejo Nacional de Investigaciones Cientificas y Tecnicas (CONICET); University of Buenos Aires</t>
  </si>
  <si>
    <t>Sue, C (corresponding author), Bourgogne Franche Comte Univ, Lab Chronoenvironm, Besancon, France.</t>
  </si>
  <si>
    <t>christian.sue@univ-fcomte.fr</t>
  </si>
  <si>
    <t>SPRINGER INT PUBLISHING AG</t>
  </si>
  <si>
    <t>10.1007/978-3-319-39727-6_6</t>
  </si>
  <si>
    <t>WOS:000389035800007</t>
  </si>
  <si>
    <t>Goodge, JW; Severinghaus, JP</t>
  </si>
  <si>
    <t>Goodge, John W.; Severinghaus, Jeffrey P.</t>
  </si>
  <si>
    <t>Rapid Access Ice Drill: a new tool for exploration of the deep Antarctic ice sheets and subglacial geology</t>
  </si>
  <si>
    <t>JOURNAL OF GLACIOLOGY</t>
  </si>
  <si>
    <t>Antarctica; bedrock coring; ice drilling; million year-old ice; subglacial access</t>
  </si>
  <si>
    <t>OLD ICE; CLIMATE; FLOW; EVOLUTION; CORE</t>
  </si>
  <si>
    <t>A new Rapid Access Ice Drill (RAID) will penetrate the Antarctic ice sheets in order to create borehole observatories and take cores in deep ice, the glacial bed and bedrock below. RAID is a mobile drilling system to make multiple long, narrow boreholes in a single field season in Antarctica. RAID is based on a mineral exploration-type rotary rock-coring system using threaded drill pipe to cut through ice using reverse circulation of a non-freezing fluid for pressure-compensation, maintenance of temperature and removal of ice cuttings. Near the bottom of the ice sheet, a wireline latching assembly will enable rapid coring of ice, the glacial bed and bedrock below. Once complete, boreholes will be kept open with fluid, capped and available for future down-hole measurement of temperature gradient, heat flow, ice chronology and ice deformation. RAID is designed to penetrate up to 3300 m of ice and take cores in &lt;200 hours, allowing completion of a borehole and coring in similar to 10 d at each site. Together, the rapid drilling capability and mobility of the system, along with ice-penetrating imaging methods, will provide a unique 3-D picture of interior and subglacial features of the Antarctic ice sheets.</t>
  </si>
  <si>
    <t>[Goodge, John W.] Univ Minnesota, Dept Earth &amp; Environm Sci, Duluth, MN 55812 USA; [Severinghaus, Jeffrey P.] Univ Calif San Diego, Scripps Inst Oceanog, La Jolla, CA 92093 USA</t>
  </si>
  <si>
    <t>University of Minnesota System; University of Minnesota Duluth; University of California System; University of California San Diego; Scripps Institution of Oceanography</t>
  </si>
  <si>
    <t>Goodge, JW (corresponding author), Univ Minnesota, Dept Earth &amp; Environm Sci, Duluth, MN 55812 USA.</t>
  </si>
  <si>
    <t>jgoodge@d.umn.edu</t>
  </si>
  <si>
    <t>Goodge, John/GQI-3878-2022</t>
  </si>
  <si>
    <t>Goodge, John/0000-0003-2578-3147</t>
  </si>
  <si>
    <t>Division of Polar Programs at the US National Science Foundation [1242027, 1419935, 1242049, 1419979]; Directorate For Geosciences; Office of Polar Programs (OPP) [1242049, 1419935, 1419979] Funding Source: National Science Foundation; Division Of Polar Programs; Directorate For Geosciences [1242027] Funding Source: National Science Foundation</t>
  </si>
  <si>
    <t>Division of Polar Programs at the US National Science Foundation; Directorate For Geosciences; Office of Polar Programs (OPP)(National Science Foundation (NSF)NSF - Directorate for Geosciences (GEO)); Division Of Polar Programs; Directorate For Geosciences(National Science Foundation (NSF)NSF - Directorate for Geosciences (GEO))</t>
  </si>
  <si>
    <t>We thank the staff of DOSECC Exploration Services, LLC, the principal contractor for the design-build process of RAID development. We are particularly grateful for the efforts of Chris Delahunty, lead engineer on the project, along with Chad Clarke, John Eckels, Dan McClellan, Dennis Nielson and Philippe Wyffels. The RAID design team also included Gary Clow and Arnold Law. Mary Albert, Alfred Eustes, Michael Gerasimoff and Jay Thiessen provided valuable insight and encouragement during the concept scoping phase, and Steffen Bo Hansen provided a review of the completed conceptual design. Steffen Bo Hansen measured the ESTISOL 140 viscosity at Antarctic temperatures and generously shared the data with us. We appreciate input from IDDO engineers Chris Gibson, Jay Johnson, and Tanner Kuhl, and help with validation by Frank Rack. John Rashid and Blaise Stephanus have capably guided the project management. Matthew Kippenhan has provided excellent support in the design and operational support planning. The RAID development project is supported by the Division of Polar Programs at the US National Science Foundation with awards to Goodge (1242027 and 1419935) and Severinghaus (1242049 and 1419979). We thank two anonymous reviewers for their helpful recommendations.</t>
  </si>
  <si>
    <t>CAMBRIDGE UNIV PRESS</t>
  </si>
  <si>
    <t>CAMBRIDGE</t>
  </si>
  <si>
    <t>EDINBURGH BLDG, SHAFTESBURY RD, CB2 8RU CAMBRIDGE, ENGLAND</t>
  </si>
  <si>
    <t>0022-1430</t>
  </si>
  <si>
    <t>1727-5652</t>
  </si>
  <si>
    <t>J GLACIOL</t>
  </si>
  <si>
    <t>J. Glaciol.</t>
  </si>
  <si>
    <t>10.1017/jog.2016.97</t>
  </si>
  <si>
    <t>Geography, Physical; Geosciences, Multidisciplinary</t>
  </si>
  <si>
    <t>Physical Geography; Geology</t>
  </si>
  <si>
    <t>ED9ER</t>
  </si>
  <si>
    <t>WOS:000389173500006</t>
  </si>
  <si>
    <t>Bridges, J; Solomon, KR</t>
  </si>
  <si>
    <t>Bridges, Jim; Solomon, Keith R.</t>
  </si>
  <si>
    <t>Quantitative weight-of-evidence analysis of the persistence, bioaccumulation, toxicity, and potential for long-range transport of the cyclic volatile methyl siloxanes</t>
  </si>
  <si>
    <t>JOURNAL OF TOXICOLOGY AND ENVIRONMENTAL HEALTH-PART B-CRITICAL REVIEWS</t>
  </si>
  <si>
    <t>TROPHIC MAGNIFICATION FACTORS; ADVERSE OUTCOME PATHWAYS; ORGANIC-CHEMICALS; RISK-ASSESSMENT; END-POINTS; DECAMETHYLCYCLOPENTASILOXANE D5; PARTITION-COEFFICIENTS; UNEXPECTED OCCURRENCE; EVIDENCE FRAMEWORK; ANTARCTIC SOILS</t>
  </si>
  <si>
    <t>Cyclic volatile methyl siloxanes (cVMSs) are highly volatile and have an unusual combination of physicochemical properties, which are unlike those of halocarbon-based chemicals used to establish criteria for identification of persistent organic pollutants (POPs) that undergo long-range transport (LRT). A transparent quantitative weight of evidence (QWoE) evaluation was conducted to characterize their properties. Measurements of concentrations of cVMSs in the environment are challenging, but currently, concentrations measured in robust studies are all less than thresholds of toxicity. The cVMSs are moderately persistent in air with half-lives 11d (greater than the criterion of 2d) but these compounds partition into the atmosphere, the final sink. The cVMSs are rapidly degraded in dry soils, partition from wet soils into the atmosphere, and are not classifiable as persistent in soils. Persistence in water and sediment is variable, but the greatest concentrations in the environment are observed in sediments. Based upon the measurements that have been made in the environment, cVMSs should not be classified as persistent. Studies in food webs support a conclusion that the cVMSs do not biomagnify, a conclusion that is consistent with results of toxicokinetic studies. Concentrations in air in remote locations are small and deposition has not been detected. Taken together, evidence indicates that traditional measures of persistence and biomagnification used for legacy POP are not suitable for cVMS. Refined approaches used here suggest that cVMSs are not classifiable as persistent, bioaccumulative, or toxic. Further, these chemicals do not undergo LRT in the sense of legacy POPs.</t>
  </si>
  <si>
    <t>[Bridges, Jim] Univ Surrey, Dept Toxicol &amp; Environm Hlth, Guildford, Surrey, England; [Solomon, Keith R.] Univ Guelph, Sch Environm Sci, Ctr Toxicol, Guelph, ON, Canada</t>
  </si>
  <si>
    <t>University of Surrey; University of Guelph</t>
  </si>
  <si>
    <t>Solomon, KR (corresponding author), Univ Guelph, Ctr Toxicol, 2120 Bovey Bldg,Gordon St, Guelph, ON N1G 2W1, Canada.;Solomon, KR (corresponding author), Univ Guelph, Dept Environm Biol, 2120 Bovey Bldg,Gordon St, Guelph, ON N1G 2W1, Canada.</t>
  </si>
  <si>
    <t>ksolomon@uoguelph.ca</t>
  </si>
  <si>
    <t>Solomon, Keith/AAF-4510-2020</t>
  </si>
  <si>
    <t>Solomon, Keith R/0000-0002-8496-6413</t>
  </si>
  <si>
    <t>TAYLOR &amp; FRANCIS INC</t>
  </si>
  <si>
    <t>PHILADELPHIA</t>
  </si>
  <si>
    <t>530 WALNUT STREET, STE 850, PHILADELPHIA, PA 19106 USA</t>
  </si>
  <si>
    <t>1093-7404</t>
  </si>
  <si>
    <t>1521-6950</t>
  </si>
  <si>
    <t>J TOXICOL ENV HEAL B</t>
  </si>
  <si>
    <t>J. Toxicol. Env. Health-Pt b-Crit. Rev.</t>
  </si>
  <si>
    <t>10.1080/10937404.2016.1200505</t>
  </si>
  <si>
    <t>Environmental Sciences; Public, Environmental &amp; Occupational Health; Toxicology</t>
  </si>
  <si>
    <t>Environmental Sciences &amp; Ecology; Public, Environmental &amp; Occupational Health; Toxicology</t>
  </si>
  <si>
    <t>ED2RB</t>
  </si>
  <si>
    <t>Green Submitted, hybrid</t>
  </si>
  <si>
    <t>WOS:000388694800002</t>
  </si>
  <si>
    <t>Rogers, GM; Monks, A</t>
  </si>
  <si>
    <t>Rogers, G. M.; Monks, A.</t>
  </si>
  <si>
    <t>Restoring lost ecological function: ecological surrogates facilitate maintenance of coastal turf communities</t>
  </si>
  <si>
    <t>NEW ZEALAND JOURNAL OF BOTANY</t>
  </si>
  <si>
    <t>Community dynamics; extinct avian guild; invasive species; mammalian grazing; Myosotis brevis; salinity; threatened plants</t>
  </si>
  <si>
    <t>ANTARCTIC CAMPBELL ISLAND; NEW-ZEALAND; GRAZING LAWNS; VEGETATION; ECOSYSTEMS; HERBIVORY; MODELS; FIRE; DECOMPOSITION; CONSERVATION</t>
  </si>
  <si>
    <t>Lost or extinct ecosystem function presents challenges for managers of natural ecosystems for conservation. One solution is to use ecological surrogates to replace these processes but the settings under which this often controversial approach succeeds are unclear. We tested whether mammalian grazing could be used as a surrogate for grazing by an extinct avian herbivore guild in two threatened coastal turf communities that are structured by an exposure and salt gradient, and vulnerable to non-native encroachment and invasion. Prostrate species had higher cover and species density relative to erect taxa when grazed, with the effect greater for native than non-native taxa. Prostrate species, dominated by native taxa, were most abundant closest to the ocean, with a secondary peak in abundance 25-35 m inland. A positive nutrient feedback mechanism consistent with a grazing lawn was not observed suggesting a primary role for the salinity gradient, augmented by opportunistic grazing of taller species, in structuring these communities. Synthesis and application: mammalian grazers can replace the likely functional role of extinct avian herbivores in turf communities under certain environmental settings.</t>
  </si>
  <si>
    <t>[Rogers, G. M.] Dept Conservat, Sci &amp; Policy, Dunedin, New Zealand; [Monks, A.] Landcare Res Manaaki Whenua, Dunedin, New Zealand</t>
  </si>
  <si>
    <t>Rogers, GM (corresponding author), Dept Conservat, Sci &amp; Policy, Dunedin, New Zealand.</t>
  </si>
  <si>
    <t>grogers@doc.govt.nz</t>
  </si>
  <si>
    <t>Monks, Adrian/0000-0002-4782-810X</t>
  </si>
  <si>
    <t>Department of Conservation</t>
  </si>
  <si>
    <t>The project was funded by the Department of Conservation.</t>
  </si>
  <si>
    <t>0028-825X</t>
  </si>
  <si>
    <t>1175-8643</t>
  </si>
  <si>
    <t>NEW ZEAL J BOT</t>
  </si>
  <si>
    <t>N. Z. J. Bot.</t>
  </si>
  <si>
    <t>10.1080/0028825X.2016.1216866</t>
  </si>
  <si>
    <t>ED8SY</t>
  </si>
  <si>
    <t>WOS:000389142400003</t>
  </si>
  <si>
    <t>Miller, MJ; Lim, DSS; Brady, AL; Cardman, Z; Bell, E; Garry, WB; Reid, D; Chappell, S; Abercromby, AFJ</t>
  </si>
  <si>
    <t>Miller, Matthew J.; Lim, Darlene S. S.; Brady, Allyson L.; Cardman, Zena; Bell, Ernest; Garry, W. Brent; Reid, Donnie; Chappell, Steve; Abercromby, Andrew F. J.</t>
  </si>
  <si>
    <t>PLRP-3: Operational Perspectives Conducting Science-Driven Extravehicular Activity with Communications Latency</t>
  </si>
  <si>
    <t>2016 IEEE AEROSPACE CONFERENCE</t>
  </si>
  <si>
    <t>IEEE Aerospace Conference Proceedings</t>
  </si>
  <si>
    <t>IEEE Aerospace Conference</t>
  </si>
  <si>
    <t>MAR 05-12, 2016</t>
  </si>
  <si>
    <t>Big Sky, MT</t>
  </si>
  <si>
    <t>FRESH-WATER MICROBIALITES; PAVILION LAKE; ANTARCTIC SEARCH; EXPLORATION; ANALOG</t>
  </si>
  <si>
    <t>The Pavilion Lake Research Project (PLRP) is a unique program where a combination of scientific research and human space exploration concepts are integrated in an underwater spaceflight analog environment. The 2015 PLRP field season took place at Pavilion Lake, British Columbia, Canada, where science-driven exploration techniques focused on microbialite characterization and acquisition. These techniques were evaluated within the context of crew and robotic deep-space extravehicular activity (EVA) operations. The primary objective of this analog study was to detail the capabilities, decision-making processes, and operational concepts required to meet non-simulated scientific objectives during 5-minute one-way communication latency utilizing crew and robotic assets. The relationship and interaction between ground and flight crew was found to be dependent on the specific scientific activities being addressed. Furthermore, the addition of a second intravehicular operator was found to be highly enabling when conducting science-driven EVAs.</t>
  </si>
  <si>
    <t>[Miller, Matthew J.] Georgia Inst Technol, 270 Ferst Dr,Room 416, Atlanta, GA 30332 USA; [Lim, Darlene S. S.] NASA, Ames Res Ctr, Moffett Field, CA 94035 USA; [Brady, Allyson L.] McMaster Univ, Sch Geog &amp; Earth Sci, 1280 Main St West, Hamilton, ON, Canada; [Cardman, Zena] Penn State Univ, 208 Deike Bldg, University Pk, PA 16802 USA; [Bell, Ernest] Univ Maryland, College Pk, MD 20742 USA; [Garry, W. Brent] NASA, Goddard Space Flight Ctr, 8800 Greenbelt Rd, Greenbelt, MD 20771 USA; [Reid, Donnie] Nuytco Res Ltd, N Vancouver, BC, Canada; [Chappell, Steve] Wyle Sci Technol &amp; Engn Grp, Wyle HAC 37C,2101 NASA Pkwy, Houston, TX 77058 USA; [Abercromby, Andrew F. J.] NASA JSC, 2101 NASA Pkwy, Houston, TX 77058 USA</t>
  </si>
  <si>
    <t>University System of Georgia; Georgia Institute of Technology; National Aeronautics &amp; Space Administration (NASA); NASA Ames Research Center; McMaster University; Pennsylvania Commonwealth System of Higher Education (PCSHE); Pennsylvania State University; Pennsylvania State University - University Park; University System of Maryland; University of Maryland College Park; National Aeronautics &amp; Space Administration (NASA); NASA Goddard Space Flight Center; National Aeronautics &amp; Space Administration (NASA); NASA Johnson Space Center; National Aeronautics &amp; Space Administration (NASA); NASA Johnson Space Center</t>
  </si>
  <si>
    <t>Miller, MJ (corresponding author), Georgia Inst Technol, 270 Ferst Dr,Room 416, Atlanta, GA 30332 USA.</t>
  </si>
  <si>
    <t>mmiller@gatech.edu; darlene.lim@nasa.gov; bradyal@mcmaster.ca; zena@psu.edu; ebell1@umd.edu; brent.garry@nasa.gov; donnie@nuytco.com; steven.p.chappell@nasa.gov; andrew.abercromby@nasa.gov</t>
  </si>
  <si>
    <t>1095-323X</t>
  </si>
  <si>
    <t>978-1-4673-7676-1</t>
  </si>
  <si>
    <t>AEROSP CONF PROC</t>
  </si>
  <si>
    <t>Engineering, Aerospace</t>
  </si>
  <si>
    <t>BG3XT</t>
  </si>
  <si>
    <t>WOS:000388374901051</t>
  </si>
  <si>
    <t>Steffenel, LA; Pinheiro, MK; Pinheiro, DK; Perez, LV</t>
  </si>
  <si>
    <t>Shakshuki, E</t>
  </si>
  <si>
    <t>Steffenel, Luiz A.; Pinheiro, Manuele K.; Pinheiro, Damaris K.; Perez, Lucas V.</t>
  </si>
  <si>
    <t>Using a Pervasive Computing Environment to Identify Secondary Effects of the Antarctic Ozone Hole</t>
  </si>
  <si>
    <t>7TH INTERNATIONAL CONFERENCE ON AMBIENT SYSTEMS, NETWORKS AND TECHNOLOGIES (ANT 2016) / THE 6TH INTERNATIONAL CONFERENCE ON SUSTAINABLE ENERGY INFORMATION TECHNOLOGY (SEIT-2016) / AFFILIATED WORKSHOPS</t>
  </si>
  <si>
    <t>Procedia Computer Science</t>
  </si>
  <si>
    <t>7th International Conference on Ambient Systems, Networks and Technologies (ANT) / 6th International Conference on Sustainable Energy Information Technology (SEIT)</t>
  </si>
  <si>
    <t>MAY 23-26, 2016</t>
  </si>
  <si>
    <t>Madrid, SPAIN</t>
  </si>
  <si>
    <t>Distributed computing; Pervasive Grid; Big Data; Ozone Hole; Geophysics</t>
  </si>
  <si>
    <t>IMPACT</t>
  </si>
  <si>
    <t>Ozone Secondary Effects (OSE) are characterized by the depletion of the ozone layer in medium latitude areas, triggered by the movement of the polar vortex borders over these regions. These air masses may remain in transit from 7 to 20 days after their separation from the vortex and reach inhabited latitudes, causing a temporary reduction in the total column ozone (TCO) over these areas. Detecting such events may help alerting the population and the local authorities on upcoming augmentations in the UV irradiation. In this work we describe our efforts to design a HPC application for OSE detection. This application runs on a pervasive environment, being therefore capable of adapting to the available computing resources of the researchers and institutions interested in such information. (C) 2016 The Authors. Published by Elsevier B.V.</t>
  </si>
  <si>
    <t>[Steffenel, Luiz A.] Univ Reims, CReSTIC Lab, Reims, France; [Pinheiro, Manuele K.] Univ Paris I Pantheon Sorbonne, CRI Lab, Paris, France; [Pinheiro, Damaris K.; Perez, Lucas V.] Univ Fed Santa Maria, Santa Maria, RS, Brazil</t>
  </si>
  <si>
    <t>Universite de Reims Champagne-Ardenne; Universidade Federal de Santa Maria (UFSM)</t>
  </si>
  <si>
    <t>Steffenel, LA (corresponding author), Univ Reims, CReSTIC Lab, Reims, France.</t>
  </si>
  <si>
    <t>angelo.steffenel@univ-reims.fr</t>
  </si>
  <si>
    <t>Pinheiro, Damaris Kirsch/AAE-6120-2020; Steffenel, Luiz Angelo/AAE-4573-2020</t>
  </si>
  <si>
    <t>Pinheiro, Damaris Kirsch/0000-0001-6939-7091; Steffenel, Luiz Angelo/0000-0003-3670-4088</t>
  </si>
  <si>
    <t>1877-0509</t>
  </si>
  <si>
    <t>PROCEDIA COMPUT SCI</t>
  </si>
  <si>
    <t>10.1016/j.procs.2016.04.215</t>
  </si>
  <si>
    <t>BG2SP</t>
  </si>
  <si>
    <t>WOS:000387655000135</t>
  </si>
  <si>
    <t>Klinck, H; Kindermann, L; Boebel, O</t>
  </si>
  <si>
    <t>Au, WWL; Lammers, MO</t>
  </si>
  <si>
    <t>Klinck, Holger; Kindermann, Lars; Boebel, Olaf</t>
  </si>
  <si>
    <t>PALAOA: The Perennial Acoustic Observatory in the Antarctic Ocean-Real-Time Eavesdropping on the Antarctic Underwater Soundscape</t>
  </si>
  <si>
    <t>LISTENING IN THE OCEAN: NEW DISCOVERIES AND INSIGHTS ON MARINE LIFE FROM AUTONOMOUS PASSIVE ACOUSTIC RECORDERS</t>
  </si>
  <si>
    <t>Modern Acoustics and Signal Processing</t>
  </si>
  <si>
    <t>CRAB-EATER; ECOLOGY; RANGE; SEALS</t>
  </si>
  <si>
    <t>The Perennial Acoustic Observatory in the Antarctic Ocean (PALAOA) was developed to study the underwater vocal behavior of cetaceans and pinnipeds and to monitor ambient noise levels in the Southern Ocean. Establishing an autonomous long-term observatory in Antarctica is challenging mainly because of the harsh weather conditions and logistic constraints. The project goal was to build an autonomously operating, passive-acoustic observatory which allows scientists (1) to reliably and continuously record the Antarctic underwater soundscape yearround, (2) to record all vocalizations produced by marine mammals in the study area (frequency range of the recordings: 10 Hz to 96 kHz), (3) to locate vocalizing marine mammals and other underwater sound sources, (4) to obtain information on ambient noise levels in the area, and (5) to access and analyze the incoming acoustic data stream in real time at the Alfred Wegener Institute for Polar and Marine Research (AWI) located in Bremerhaven, Germany.</t>
  </si>
  <si>
    <t>[Klinck, Holger] Cornell Univ, Cornell Lab Ornithol, Bioacoust Res Program, 159 Sapsucker Woods Rd, Ithaca, NY 14850 USA; [Klinck, Holger] Oregon State Univ, Cooperat Inst Marine Resources Studies, 2030 SE Marine Sci Dr, Newport, OR 97365 USA; [Klinck, Holger] NOAA, Pacific Marine Environm Lab, 2030 SE Marine Sci Dr, Newport, OR 97365 USA; [Kindermann, Lars; Boebel, Olaf] Alfred Wegener Inst Polar &amp; Marine Res, Handelshafen 12, D-27570 Bremerhaven, Germany</t>
  </si>
  <si>
    <t>Cornell University; Oregon State University; National Oceanic Atmospheric Admin (NOAA) - USA; Helmholtz Association; Alfred Wegener Institute, Helmholtz Centre for Polar &amp; Marine Research</t>
  </si>
  <si>
    <t>Klinck, H (corresponding author), Cornell Univ, Cornell Lab Ornithol, Bioacoust Res Program, 159 Sapsucker Woods Rd, Ithaca, NY 14850 USA.;Klinck, H (corresponding author), Oregon State Univ, Cooperat Inst Marine Resources Studies, 2030 SE Marine Sci Dr, Newport, OR 97365 USA.;Klinck, H (corresponding author), NOAA, Pacific Marine Environm Lab, 2030 SE Marine Sci Dr, Newport, OR 97365 USA.</t>
  </si>
  <si>
    <t>Holger.Klinck@oregonstate.edu</t>
  </si>
  <si>
    <t>Klinck, Holger/X-5214-2019</t>
  </si>
  <si>
    <t>Klinck, Holger/0000-0003-1078-7268</t>
  </si>
  <si>
    <t>SPRINGER-VERLAG BERLIN</t>
  </si>
  <si>
    <t>BERLIN</t>
  </si>
  <si>
    <t>HEIDELBERGER PLATZ 3, D-14197 BERLIN, GERMANY</t>
  </si>
  <si>
    <t>978-1-4939-3176-7; 978-1-4939-3175-0</t>
  </si>
  <si>
    <t>MOD ACOUST SIGN PROC</t>
  </si>
  <si>
    <t>10.1007/978-1-4939-3176-7_8</t>
  </si>
  <si>
    <t>10.1007/978-1-4939-3176-7</t>
  </si>
  <si>
    <t>Acoustics; Engineering, Electrical &amp; Electronic; Marine &amp; Freshwater Biology</t>
  </si>
  <si>
    <t>Acoustics; Engineering; Marine &amp; Freshwater Biology</t>
  </si>
  <si>
    <t>BG4HX</t>
  </si>
  <si>
    <t>WOS:000388838600010</t>
  </si>
  <si>
    <t>Miksis-Olds, JL; Van Opzeeland, IC; Van Parijs, SM; Jones, J</t>
  </si>
  <si>
    <t>Miksis-Olds, Jennifer L.; Van Opzeeland, Ilse C.; Van Parijs, Sofie M.; Jones, Joshua</t>
  </si>
  <si>
    <t>Pinniped Sounds in the Polar Oceans</t>
  </si>
  <si>
    <t>CRAB-EATER SEALS; MALE HARBOR SEALS; SOUTHERN ELEPHANT SEALS; MALE ATLANTIC WALRUSES; UNDERWATER VOCALIZATIONS; WEDDELL SEAL; HARP SEAL; LOBODON-CARCINOPHAGUS; INDIVIDUAL VARIATION; ERIGNATHUS-BARBATUS</t>
  </si>
  <si>
    <t>New developments and applications of autonomous Passive Acoustic Monitoring (PAM) technology in polar regions have come at time of increased interest in the Arctic and Antarctic due to predictions of global climate change. Information gained with autonomous PAM systems has provided new information on polar pinniped communication, mating systems, distribution, and the relationships between these species and their environment. Although new discoveries continue to be made, there is still much that remains to be learned about these species. This chapter is organized into a review of species specific information known prior to 2000, case studies describing new knowledge gained through the use of autonomous PAM systems since 2000, and future projection on how autonomous PAM systems can be used to address and fill data gaps related to polar pinnipeds.</t>
  </si>
  <si>
    <t>[Miksis-Olds, Jennifer L.] Penn State Univ, Appl Res Lab, State Coll, PA 16801 USA; [Van Opzeeland, Ilse C.] Alfred Wegener Inst Polar &amp; Marine Res, Ocean Acoust Lab, Bremerhaven, Germany; [Van Parijs, Sofie M.] NOAA Fisheries, Northeast Fisheries Sci Ctr, Woods Hole, MA USA; [Jones, Joshua] Scripps Inst Oceanog, Whale Acoust Lab, La Jolla, CA USA</t>
  </si>
  <si>
    <t>Pennsylvania Commonwealth System of Higher Education (PCSHE); Pennsylvania State University; Helmholtz Association; Alfred Wegener Institute, Helmholtz Centre for Polar &amp; Marine Research; National Oceanic Atmospheric Admin (NOAA) - USA; University of California System; University of California San Diego; Scripps Institution of Oceanography</t>
  </si>
  <si>
    <t>Miksis-Olds, JL (corresponding author), Penn State Univ, Appl Res Lab, State Coll, PA 16801 USA.</t>
  </si>
  <si>
    <t>jlm91@arl.psu.edu</t>
  </si>
  <si>
    <t>10.1007/978-1-4939-3176-7_11</t>
  </si>
  <si>
    <t>WOS:000388838600013</t>
  </si>
  <si>
    <t>Wright, RG; Baldauf, M</t>
  </si>
  <si>
    <t>Wright, R. Glenn; Baldauf, Michael</t>
  </si>
  <si>
    <t>Hydrographic Survey in Remote Regions: Using Vessels of Opportunity Equipped with 3-Dimensional Forward-Looking Sonar</t>
  </si>
  <si>
    <t>MARINE GEODESY</t>
  </si>
  <si>
    <t>Charting; coastal zone; digital nautical chart; mapping; ocean; shallow water; sounding; surveying</t>
  </si>
  <si>
    <t>Areas of the world where the physical environment is relatively unknown in terms of hydrographic surveys and nautical chart content are under pressure from increasing vessel transits as well as tourism and exploration for natural resources. These areas include the Arctic, Antarctic, and even remote tropical regions. Research efforts are described that are intended to exploit the capabilities of commercial off-the-shelf 3-dimensional forward-looking sonar installed on expeditionary and other vessels of opportunity that operate in these regions. This approach can provide high-resolution full-bottom survey data to supplement the assets of national hydrographic survey authorities in exploring and charting these regions.</t>
  </si>
  <si>
    <t>[Wright, R. Glenn; Baldauf, Michael] World Maritime Univ, Maritime Safety &amp; Environm Adm, Malmo, Sweden; [Wright, R. Glenn] GMATEK Inc, Annapolis, MD USA</t>
  </si>
  <si>
    <t>Wright, RG (corresponding author), World Maritime Univ, POB 500, SE-20124 Malmo, Sweden.</t>
  </si>
  <si>
    <t>glenn@gmatek.com</t>
  </si>
  <si>
    <t>Baldauf, Michael/AAO-8672-2020</t>
  </si>
  <si>
    <t>Baldauf, Michael/0000-0002-7333-0348</t>
  </si>
  <si>
    <t>GMATEK, Inc. of Annapolis, Maryland, USA [45215]</t>
  </si>
  <si>
    <t>GMATEK, Inc. of Annapolis, Maryland, USA</t>
  </si>
  <si>
    <t>This work was supported under project 45215 by GMATEK, Inc., of Annapolis, Maryland, USA.</t>
  </si>
  <si>
    <t>0149-0419</t>
  </si>
  <si>
    <t>1521-060X</t>
  </si>
  <si>
    <t>MAR GEOD</t>
  </si>
  <si>
    <t>Mar. Geod.</t>
  </si>
  <si>
    <t>10.1080/01490419.2016.1245226</t>
  </si>
  <si>
    <t>Geochemistry &amp; Geophysics; Oceanography; Remote Sensing</t>
  </si>
  <si>
    <t>ED1FJ</t>
  </si>
  <si>
    <t>WOS:000388589900003</t>
  </si>
  <si>
    <t>McEwen, DJ; Sivjee, GG; Zhang, YL</t>
  </si>
  <si>
    <t>Zhang, Y; Paxton, LJ</t>
  </si>
  <si>
    <t>McEwen, Donald J.; Sivjee, Gulamabas Gulamhusen; Zhang, Yongliang</t>
  </si>
  <si>
    <t>Dynamics of the Dayside Aurora as Viewed from the South Pole</t>
  </si>
  <si>
    <t>AURORAL DYNAMICS AND SPACE WEATHER</t>
  </si>
  <si>
    <t>Geophysical Monograph Book Series</t>
  </si>
  <si>
    <t>HEMISPHERIC-ASYMMETRY; EMISSIONS; CLEFT; LAYER</t>
  </si>
  <si>
    <t>Optical studies of the Aurora Australis have been conducted with a six-channel meridian scanning -photometer operating at the Amundsen-Scott Research Station at the South Pole (74 degrees magnetic latitude) through the last Solar Minimum. There are some striking differences from Arctic dayside results reported from Svalbard. The oxygen emissions are much weaker on average than in the Arctic dayside aurora. Antarctic results show that the 558-and 630-nm emissions can be as low as 30-40 R. At these low levels there is no evident relation between cusp intensity and solar wind dynamic pressure. The OI 630/558-nm intensity ratio is also significantly lower than in the Arctic dayside aurora, suggesting a higher average electron energy influx. There are notable-differences in auroral forms, giving further evidence of asymmetries in the two dayside ovals.</t>
  </si>
  <si>
    <t>[McEwen, Donald J.] Univ Saskatchewan, Dept Phys &amp; Engn Phys, Saskatoon, SK, Canada; [Sivjee, Gulamabas Gulamhusen] Embry Riddle Aeronaut Univ, Space Phys Res Lab, Daytona Beach, FL USA; [Zhang, Yongliang] Johns Hopkins Univ, Space Explorer Sect, Appl Phys Lab, Laurel, MD USA</t>
  </si>
  <si>
    <t>University of Saskatchewan; Embry-Riddle Aeronautical University; Johns Hopkins University; Johns Hopkins University Applied Physics Laboratory</t>
  </si>
  <si>
    <t>McEwen, DJ (corresponding author), Univ Saskatchewan, Dept Phys &amp; Engn Phys, Saskatoon, SK, Canada.</t>
  </si>
  <si>
    <t>Zhang, Yongliang/C-2180-2016; Paxton, Larry/D-1934-2015</t>
  </si>
  <si>
    <t>Zhang, Yongliang/0000-0003-4851-1662; Paxton, Larry/0000-0002-2597-347X</t>
  </si>
  <si>
    <t>AMER GEOPHYSICAL UNION</t>
  </si>
  <si>
    <t>2000 FLORIDA AVE NW, WASHINGTON, DC 20009 USA</t>
  </si>
  <si>
    <t>0065-8448</t>
  </si>
  <si>
    <t>978-1-118-97873-3; 978-1-118-97870-2</t>
  </si>
  <si>
    <t>GEOPHYS MONOGR SER</t>
  </si>
  <si>
    <t>Geochemistry &amp; Geophysics; Meteorology &amp; Atmospheric Sciences</t>
  </si>
  <si>
    <t>BF9GJ</t>
  </si>
  <si>
    <t>WOS:000385571200007</t>
  </si>
  <si>
    <t>Zwolinski, Z</t>
  </si>
  <si>
    <t>Beylich, AA; Dixon, JC; Zwolinski, Z</t>
  </si>
  <si>
    <t>Zwolinski, Zbigniew</t>
  </si>
  <si>
    <t>Solute and solid cascade system in the Antarctic oases</t>
  </si>
  <si>
    <t>SOURCE-TO-SINK FLUXES IN UNDISTURBED COLD ENVIRONMENTS</t>
  </si>
  <si>
    <t>CIRCUMPOLAR CURRENT; DRAKE PASSAGE; TRANSPORT; GLACIER</t>
  </si>
  <si>
    <t>[Zwolinski, Zbigniew] Adam Mickiewicz Univ, Inst Geoecol &amp; Geoinformat, Poznan, Poland</t>
  </si>
  <si>
    <t>Adam Mickiewicz University</t>
  </si>
  <si>
    <t>Zwolinski, Z (corresponding author), Adam Mickiewicz Univ, Inst Geoecol &amp; Geoinformat, Poznan, Poland.</t>
  </si>
  <si>
    <t>Zwolinski, Zbigniew/D-5583-2011</t>
  </si>
  <si>
    <t>Zwolinski, Zbigniew/0000-0002-3252-3143</t>
  </si>
  <si>
    <t>THE PITT BUILDING, TRUMPINGTON ST, CAMBRIDGE CB2 1RP, CAMBS, ENGLAND</t>
  </si>
  <si>
    <t>978-1-107-06822-3</t>
  </si>
  <si>
    <t>10.1017/CBO9781107705791</t>
  </si>
  <si>
    <t>Geography, Physical; Geosciences, Multidisciplinary; Meteorology &amp; Atmospheric Sciences</t>
  </si>
  <si>
    <t>Physical Geography; Geology; Meteorology &amp; Atmospheric Sciences</t>
  </si>
  <si>
    <t>BG2GZ</t>
  </si>
  <si>
    <t>WOS:000387347000016</t>
  </si>
  <si>
    <t>Isla, E</t>
  </si>
  <si>
    <t>Isla, Enrique</t>
  </si>
  <si>
    <t>Environmental controls on sediment composition and particle fluxes over the Antarctic continental shelf</t>
  </si>
  <si>
    <t>WEDDELL SEA ANTARCTICA; TERRA-NOVA BAY; FATTY-ACID-COMPOSITION; NORTHWESTERN ROSS-SEA; SOUTHERN-OCEAN; BRANSFIELD STRAIT; EAST ANTARCTICA; VERTICAL FLUX; BIOCHEMICAL-COMPOSITION; PHYTOPLANKTON BIOMASS</t>
  </si>
  <si>
    <t>[Isla, Enrique] CSIC, Inst Ciencies Mar, Barcelona, Spain</t>
  </si>
  <si>
    <t>Consejo Superior de Investigaciones Cientificas (CSIC); CSIC - Centro Mediterraneo de Investigaciones Marinas y Ambientales (CMIMA); CSIC - Instituto de Ciencias del Mar (ICM)</t>
  </si>
  <si>
    <t>Isla, E (corresponding author), CSIC, Inst Ciencies Mar, Barcelona, Spain.</t>
  </si>
  <si>
    <t>Isla, Enrique/0000-0003-4959-6936</t>
  </si>
  <si>
    <t>WOS:000387347000017</t>
  </si>
  <si>
    <t>Miller, AD; Scowen, PA; Veach, TJ</t>
  </si>
  <si>
    <t>Navarro, R; Burge, JH</t>
  </si>
  <si>
    <t>Miller, Alexander D.; Scowen, Paul A.; Veach, Todd J.</t>
  </si>
  <si>
    <t>Focal plane actuation by hexapod for the development of a high resolution suborbital telescope</t>
  </si>
  <si>
    <t>ADVANCES IN OPTICAL AND MECHANICAL TECHNOLOGIES FOR TELESCOPES AND INSTRUMENTATION II</t>
  </si>
  <si>
    <t>Conference on Advances in Optical and Mechanical Technologies for Telescopes and Instrumentation II</t>
  </si>
  <si>
    <t>Edinburgh, UNITED KINGDOM</t>
  </si>
  <si>
    <t>Hexapod; image stabilization; jitter; suborbital balloon</t>
  </si>
  <si>
    <t>We present a prototype hexapod image stabilization system as the key instrument for a proposed suborbital balloon mission. The unique design thermally isolates an off-the-shelf non-cryogenic hexapod from a liquid nitrogen cooled focal plane, enabling its use in a cryogenic environment. Balloon gondolas currently achieve 1-2 arcsecond pointing error, but cannot correct for unavoidable jitter movements (similar to 20 micron amplitude at 20 Hz at the worst) caused by wind rushing over balloon surfaces, thermal variations, and vibrations from cryocoolers, and reaction wheels. The jitter causes image blur during exposures and limits the resolution of the system. Removal of this final jitter term decreases pointing error by an order of magnitude and allows for true diffraction-limited observation. Tip-tilt pointing systems have been used for these purposes in the past, but require additional optics and introduce multiple reflections. The hexapod system, rather, is compact and can be plugged into the focal point of nearly any configuration. For a 0.8m telescope the improvement in resolution by this system would provide 0.1 angular resolution at 300nm, which is comparable to Hubble for a fraction of the cost. On an actual balloon, the hexapod system would actuate the focal plane to counteract the jitter using position information supplied by guidestar cameras. However, in the lab, we instead simulate guide camera tracking, using a 1024 x 1024 e2v science-grade CCD to take long exposures of a target attached to an XY stage driven with the balloon jitter signal recorded during the STO mission. Further confirmation of the positional accuracy and agility of the hexapod is achieved using a laser and fast-sampling position-sensitive diode. High-resolution time domain multispectral imaging of the gas giants, especially in the UV range, is of particular interest to the planetary community, and a suborbital telescope with the hexapod stabilization in place would provide a wealth of new data. On an Antarctic similar to 100-day Long-Duration-Balloon (LDB) mission the continued high-resolution imaging of gas giant storm systems would provide cloud formation and evolution data second to only a Flagship orbiter.</t>
  </si>
  <si>
    <t>[Miller, Alexander D.; Scowen, Paul A.] ASU Sch Earth &amp; Space Explorat, 781 South Terrace Rd, Tempe, AZ 85287 USA; [Veach, Todd J.] NASA, Goddard Space Flight Ctr, 8800 Greenbelt Rd, Greenbelt, MD 20771 USA</t>
  </si>
  <si>
    <t>Arizona State University; Arizona State University-Tempe; National Aeronautics &amp; Space Administration (NASA); NASA Goddard Space Flight Center</t>
  </si>
  <si>
    <t>Miller, AD (corresponding author), ASU Sch Earth &amp; Space Explorat, 781 South Terrace Rd, Tempe, AZ 85287 USA.</t>
  </si>
  <si>
    <t>alexdukemiller@gmail.com</t>
  </si>
  <si>
    <t>978-1-5106-0203-8; 978-1-5106-0204-5</t>
  </si>
  <si>
    <t>99126B</t>
  </si>
  <si>
    <t>10.1117/12.2230834</t>
  </si>
  <si>
    <t>BG2XH</t>
  </si>
  <si>
    <t>WOS:000387747900188</t>
  </si>
  <si>
    <t>Folguera, A; Naipauer, M; Sagripanti, L; Ghiglione, MC; Orts, DL; Giambiagi, L</t>
  </si>
  <si>
    <t>Ghiglione, Matias C.</t>
  </si>
  <si>
    <t>Orogenic Growth of the Fuegian Andes (52-56°) and Their Relation to Tectonics of the Scotia Arc</t>
  </si>
  <si>
    <t>GROWTH OF THE SOUTHERN ANDES</t>
  </si>
  <si>
    <t>Fuegian Andes; Southernmost Andes; Scotia Plate; Antarctica; Drake Passage; Eocene-Oligocene global cooling; Austral basin; Magallanes basin; Malvinas basin; Magallanes-Fagnano fault; Scotia ridge</t>
  </si>
  <si>
    <t>TIERRA-DEL-FUEGO; DARWIN METAMORPHIC COMPLEX; CORDILLERA-DARWIN; SOUTH-AMERICA; DRAKE PASSAGE; SOUTHERNMOST ANDES; CORE COMPLEX; THRUST BELT; ANTARCTIC PENINSULA; STRUCTURAL GEOLOGY</t>
  </si>
  <si>
    <t>The tectonic evolution of the Fuegian Andes is strongly related to their southern neighbors, the Scotia Sea and Antarctica. During Mesozoic times, extensional and magmatic processes in the southernmost Andes developed in continuity with the Antarctic Peninsula. The Rocas Verdes back-arc oceanic basin opened during the Jurassic along the Patagonian-Fuegian margin, widening toward the south were it connected with the Weddell Sea. Jurassic volcaniclastic deposits from the large igneous province Chon Aike of Patagonia and the Antarctic Peninsula Volcanic Group were part of the same volcanic event related to Gondwana breakup. It was followed by Late Cretaceous compression, closure and inversion of the Rocas Verdes Basin that culminated with the onset of orogenesis and foreland sedimentation in the Austral or Magallanes Basin. The beginning of compression coincided with geodynamic reconstructions predicting the collision of the Antarctic Peninsula against the Fuegian Andes due to accelerated convergence rates. Afterward, three phases of Cenozoic deformation in the southernmost Andes that can also be tied to tectonics of the Scotia Arc occurred: (1) a Paleocene-early Eocene continental stretching on the Austral, Malvinas, and South Malvinas basins, produced by the slow, N-S separation of South America and Antarctica. After 50 Ma, crustal extension was concentrated in the Drake Passage due to an acceleration in South America-Antarctica separation rate, while regional continental stretching ceased. (2) The Fuegian Andes were affected by middle Eocene-Oligocene compressional deformation producing the forward advance of the orogenic front. Shortening was due to the synergetic combination of rapid convergence and northward-directed subduction of the Farallon plate against South America, and the fast opening of the Scotia Sea producing ridge-push forces. (3) The development of the present seismically active Magallanes-Fagnano continental strike-slip plate boundary between South America and Scotia Plates produces widespread deformation in the Fuegian Andes since the latest Oligocene.</t>
  </si>
  <si>
    <t>[Ghiglione, Matias C.] Inst Estudios Andinos Don Pablo Groeber UBA CONIC, Dept Ciencias Geol, Fac Ciencias Exactas &amp; Nat, Buenos Aires, DF, Argentina</t>
  </si>
  <si>
    <t>Ghiglione, MC (corresponding author), Inst Estudios Andinos Don Pablo Groeber UBA CONIC, Dept Ciencias Geol, Fac Ciencias Exactas &amp; Nat, Buenos Aires, DF, Argentina.</t>
  </si>
  <si>
    <t>mcghiglione@gmail.com</t>
  </si>
  <si>
    <t>978-3-319-23060-3; 978-3-319-23059-7</t>
  </si>
  <si>
    <t>10.1007/978-3-319-23060-3_11</t>
  </si>
  <si>
    <t>10.1007/978-3-319-23060-3</t>
  </si>
  <si>
    <t>BF8DP</t>
  </si>
  <si>
    <t>WOS:000384743600011</t>
  </si>
  <si>
    <t>Chen, C; Chu, XZ; Fong, WC; Lu, X; McDonald, AJ; Pautet, D; Taylor, M</t>
  </si>
  <si>
    <t>Gross, B; Moshary, F; Arend, M</t>
  </si>
  <si>
    <t>Chen, Cao; Chu, Xinzhao; Fong, Weichun; Lu, Xian; McDonald, Adrian J.; Pautet, Dominique; Taylor, Mike</t>
  </si>
  <si>
    <t>ANTARCTIC WAVE DYNAMICS MYSTERY DISCOVERED BY LIDAR, RADAR AND IMAGER</t>
  </si>
  <si>
    <t>27TH INTERNATIONAL LASER RADAR CONFERENCE (ILRC 27)</t>
  </si>
  <si>
    <t>EPJ Web of Conferences</t>
  </si>
  <si>
    <t>27th International Laser Radar Conference (ILRC)</t>
  </si>
  <si>
    <t>JUL 05-10, 2015</t>
  </si>
  <si>
    <t>Natl Ocean &amp; Atmospher Adm, Cooperat Remote Sensing Sci &amp; Technol Ctr, New York City, NY</t>
  </si>
  <si>
    <t>Natl Ocean &amp; Atmospher Adm, Cooperat Remote Sensing Sci &amp; Technol Ctr</t>
  </si>
  <si>
    <t>Since the start of the McMurdo Fe lidar campaign, large amplitude (similar to +/- 30 K), long-period (4 to 9 h) waves with upward energy propagating signatures are frequently observed in the MLT temperatures. Despite its frequent appearance, such type of wave was neither widely observed nor well understood in the past. At McMurdo (77.8 degrees S, 166.7 degrees E), the simultaneous observations of such waves using lidar, radar and airglow imager can provide 3-D intrinsic wave-propagation properties, which are greatly needed for understanding their sources and potential impacts. This study presents the first coincident observation of these 4-9 h waves by lidar, radar and airglow imager in the Antarctic mesopause region.</t>
  </si>
  <si>
    <t>[Chen, Cao; Chu, Xinzhao; Fong, Weichun; Lu, Xian] Univ Colorado, CIRES, 216 UCB, Boulder, CO 80309 USA; [McDonald, Adrian J.] Univ Canterbury, Dept Phys &amp; Astron, Christchurch, New Zealand; [Pautet, Dominique; Taylor, Mike] Utah State Univ, Ctr Atmospher &amp; Space Sci, Logan, UT 84322 USA</t>
  </si>
  <si>
    <t>University of Colorado System; University of Colorado Boulder; University of Canterbury; Utah System of Higher Education; Utah State University</t>
  </si>
  <si>
    <t>Chen, C (corresponding author), Univ Colorado, CIRES, 216 UCB, Boulder, CO 80309 USA.</t>
  </si>
  <si>
    <t>Cao.Chen@Colorado.edu</t>
  </si>
  <si>
    <t>Lu, Xian/A-2980-2015; Lu, Xian/AAZ-3385-2021; Chen, Cao/D-9851-2016</t>
  </si>
  <si>
    <t>Lu, Xian/0000-0002-2535-8151; Chen, Cao/0000-0002-7780-2787; Pautet, Pierre-Dominique/0000-0001-9452-7337; McDonald, Adrian/0000-0002-1456-6254</t>
  </si>
  <si>
    <t>Office of Polar Programs (OPP); Directorate For Geosciences [1246405] Funding Source: National Science Foundation</t>
  </si>
  <si>
    <t>Office of Polar Programs (OPP); Directorate For Geosciences(National Science Foundation (NSF)NSF - Directorate for Geosciences (GEO))</t>
  </si>
  <si>
    <t>E D P SCIENCES</t>
  </si>
  <si>
    <t>CEDEX A</t>
  </si>
  <si>
    <t>17 AVE DU HOGGAR PARC D ACTIVITES COUTABOEUF BP 112, F-91944 CEDEX A, FRANCE</t>
  </si>
  <si>
    <t>2100-014X</t>
  </si>
  <si>
    <t>EPJ WEB CONF</t>
  </si>
  <si>
    <t>10.1051/epjconf/201611913004</t>
  </si>
  <si>
    <t>Engineering, Electrical &amp; Electronic; Optics; Physics, Applied</t>
  </si>
  <si>
    <t>Engineering; Optics; Physics</t>
  </si>
  <si>
    <t>BG1GC</t>
  </si>
  <si>
    <t>gold, Green Submitted, Green Published</t>
  </si>
  <si>
    <t>WOS:000386726600108</t>
  </si>
  <si>
    <t>Córdoba-Jabonero, C; Lopes, FJS; Landulfo, E; Ochoa, H; Gil-Ojeda, M</t>
  </si>
  <si>
    <t>Cordoba-Jabonero, Carmen; Lopes, Fabio J. S.; Landulfo, Eduardo; Ochoa, Hector; Gil-Ojeda, Manuel</t>
  </si>
  <si>
    <t>SUBTROPICAL AND POLAR CIRRUS CLOUDS CHARACTERIZED BY GROUND-BASED LIDARS AND CALIPSO/CALIOP OBSERVATIONS</t>
  </si>
  <si>
    <t>Cirrus clouds are product of weather processes, and then their occurrence and macrophysical/optical properties can vary significantly over different regions of the world. Lidars can provide height-resolved measurements with a relatively good both vertical and temporal resolutions, making them the most suitable instrumentation for high-cloud observations. The aim of this work is to show the potential of lidar observations on Cirrus clouds detection in combination with a recently proposed methodology to retrieve the Cirrus clouds macrophysical and optical features. In this sense, a few case studies of cirrus clouds observed at both subtropical and polar latitudes are examined and compared to CALIPSO/CALIOP observations. Lidar measurements are carried out in two stations: the Metropolitan city of Sao Paulo (MSP, Brazil, 23.3 degrees S 46.4 degrees W), located at subtropical latitudes, and the Belgrano II base (BEL, Argentina, 78 degrees S 35 degrees W) in the Antarctic continent. Optical (COD-cloud optical depth and LR-Lidar Ratio) and macrophysical (top/base heights and thickness) properties of both the subtropical and polar cirrus clouds are reported. In general, subtropical Cirrus clouds present lower LR values and are found at higher altitudes than those detected at polar latitudes. In general, Cirrus clouds are detected at similar altitudes by CALIOP. However, a poor agreement is achieved in the LR retrieved between ground-based lidars and space-borne CALIOP measurements, likely due to the use of a fixed (or low-variable) LR value in CALIOP inversion procedures.</t>
  </si>
  <si>
    <t>[Cordoba-Jabonero, Carmen; Gil-Ojeda, Manuel] INTA, Atmospher Res &amp; Instrumentat Branch, Madrid 28850, Spain; [Lopes, Fabio J. S.; Landulfo, Eduardo] IPEN, Ctr Lasers &amp; Applicat, Sao Paulo, Brazil; [Ochoa, Hector] IAA, DNA, Buenos Aires, DF, Argentina</t>
  </si>
  <si>
    <t>Consejo Superior de Investigaciones Cientificas (CSIC); CSIC - Centro de Astrobiologia (INTA); Comissao Nacional de Energia Nuclear (CNEN); Instituto de Pesquisas Energeticas e Nucleares (IPEN)</t>
  </si>
  <si>
    <t>Córdoba-Jabonero, C (corresponding author), INTA, Atmospher Res &amp; Instrumentat Branch, Madrid 28850, Spain.</t>
  </si>
  <si>
    <t>cordobajc@inta.es</t>
  </si>
  <si>
    <t>Lopes, Fabio J. S./D-8630-2012; Landulfo, Eduardo/I-4187-2019; Lopes, Fabio Juliano da Silva/AAJ-9323-2021; Cordoba-Jabonero, Carmen/J-6331-2014</t>
  </si>
  <si>
    <t>Lopes, Fabio J. S./0000-0001-7243-7197; Landulfo, Eduardo/0000-0002-9691-5306; Cordoba-Jabonero, Carmen/0000-0003-4859-471X</t>
  </si>
  <si>
    <t>10.1051/epjconf/201611916012</t>
  </si>
  <si>
    <t>Green Submitted, Green Published, gold</t>
  </si>
  <si>
    <t>WOS:000386726600143</t>
  </si>
  <si>
    <t>Sagasti, AJ; Massini, JG; Escapa, IH; Guido, DM; Channing, A</t>
  </si>
  <si>
    <t>Julia Sagasti, Ana; Garcia Massini, Juan; Escapa, Ignacio H.; Guido, Diego M.; Channing, Alan</t>
  </si>
  <si>
    <t>Millerocaulis zamunerae sp nov (Osmundaceae) from Jurassic, geothermally influenced, wetland environments of Patagonia, Argentina</t>
  </si>
  <si>
    <t>ALCHERINGA</t>
  </si>
  <si>
    <t>Argentina; Middle-Late Jurassic; La Matilde Formation; Osmundaceae; fossil ferns; Millerocaulis</t>
  </si>
  <si>
    <t>WESTERN NORTH-AMERICA; IN-SITU SPORES; DESEADO MASSIF; ANTARCTIC PENINSULA; ADDITIONAL EVIDENCE; LIVINGSTON ISLAND; SAN AGUSTIN; FERN; PHYLOGENY; DEPOSITS</t>
  </si>
  <si>
    <t>A new species of Millerocaulis Erasmus ex. Tidwell emend. Vera is defined based on several permineralized stems recovered from geothermally influenced chert deposits in the Middle-Late Jurassic La Matilde Formation (Santa Cruz, Argentina). Millerocaulis zamunerae sp. nov. is characterized by the presence of an ectophloic dictyoxylic siphonostele, inner parenchymatic and outer sclerotic cortices, homogeneous sclerotic ring in the petiole bases, two masses of sclerenchyma lining the concavity of the petiolar vascular bundle, petiolar inner cortex with sclerenchyma strands in the outermost petiole cycles and stipular wings having one large and several smaller sclerenchyma bundles. Millerocaulis zamunerae inhabited geothermal wetlands and other hot-spring-related sedimentary facies associated with the La Bajada epithermal deposit. Reference to active geothermal wetlands, analogous living plants and other fossil hot spring ecosystems suggest the plant's tolerance of physico-chemical stressors including elevated temperature, pH, salinity and phytotoxic metals/metalloids. Millerocaulis zamunerae thrived in wetlands preserved in the Jurassic geothermal systems of Santa Cruz Province, the same kind of environment in which Equisetum thermale Channing et al. was recorded previously.</t>
  </si>
  <si>
    <t>[Julia Sagasti, Ana] Becaria Doctoral Consejo Nacl Invest Cient &amp; Tecn, Fac Ciencias Nat &amp; Museo, Div Paleobot, Paseo Bosque S-N B1900FWA, Buenos Aires, DF, Argentina; [Garcia Massini, Juan] Consejo Nacl Invest Cient &amp; Tecn, Ctr Reg Invest Cient &amp; Transferencia Tecnol La Ri, UNLaR, SEGEMAR,UNCa, Entre Rios &amp; Mendoza S-N, RA-5301 Anillaco, La Rioja, Argentina; [Escapa, Ignacio H.] Consejo Nacl Invest Cient &amp; Tecn, Museo Paleontol Egidio Feruglio, Ave Fontana 140,U9100GYO, Trelew, Chubut, Argentina; [Guido, Diego M.] Univ Nacl La Plata, Inst Recursos Minerales INREMI, Fac Ciencias Nat &amp; Museo, Consejo Nacl Invest Cient &amp; Tecn, Calle 64 &amp; 120, RA-1900 La Plata, Buenos Aires, Argentina; [Channing, Alan] Cardiff Univ, Sch Earth &amp; Ocean Sci, Cardiff CF10 3AT, S Glam, Wales</t>
  </si>
  <si>
    <t>Consejo Nacional de Investigaciones Cientificas y Tecnicas (CONICET); Consejo Nacional de Investigaciones Cientificas y Tecnicas (CONICET); National University of La Plata; Museo La Plata; Consejo Nacional de Investigaciones Cientificas y Tecnicas (CONICET); Cardiff University</t>
  </si>
  <si>
    <t>Sagasti, AJ (corresponding author), Becaria Doctoral Consejo Nacl Invest Cient &amp; Tecn, Fac Ciencias Nat &amp; Museo, Div Paleobot, Paseo Bosque S-N B1900FWA, Buenos Aires, DF, Argentina.</t>
  </si>
  <si>
    <t>anajusagasti@gmail.com; massini112@yahoo.com.ar; iescapa@mef.org.ar; diegoguido@yahoo.com; channinga@gmail.com</t>
  </si>
  <si>
    <t>channing, alan/B-2478-2010; E., Ignacio/AAA-3569-2021</t>
  </si>
  <si>
    <t>Guido, Diego/0000-0003-4696-5644; Sagasti, Ana Julia/0000-0003-3565-0591; Escapa, Ignacio/0000-0002-7042-7750</t>
  </si>
  <si>
    <t>Culture Bureau of Santa Cruz Province; CONICET [D. 2318, P. 202, 173]; Agencia Nacional de Promocion Cientifica y Tecnica [PICT2014-2751, PICT 2014-3496]</t>
  </si>
  <si>
    <t>Culture Bureau of Santa Cruz Province; CONICET(Consejo Nacional de Investigaciones Cientificas y Tecnicas (CONICET)); Agencia Nacional de Promocion Cientifica y Tecnica(ANPCyT)</t>
  </si>
  <si>
    <t>We thank the Culture Bureau of Santa Cruz Province for supporting our Research and granting us the research permits to study the geothermal deposits in the Deseado Massif. We also thank CONICET for funding (Res. D. 2318, P. 202 &amp; 173; to JLGM). We also thank Agencia Nacional de Promocion Cientifica y Tecnica for financial support (PICT2014-2751; to AJS) and (PICT 2014-3496; to JGM and DG). Our acknowledgements are extended to the authorities and personnel of Patagonian Gold and local people for invaluable logistic support. We are also grateful to Sergio De La Vega (CRILAR) and Mariano Caffa (MEF) for their technical support.</t>
  </si>
  <si>
    <t>0311-5518</t>
  </si>
  <si>
    <t>1752-0754</t>
  </si>
  <si>
    <t>Alcheringa</t>
  </si>
  <si>
    <t>SI</t>
  </si>
  <si>
    <t>10.1080/03115518.2016.1210851</t>
  </si>
  <si>
    <t>Paleontology</t>
  </si>
  <si>
    <t>EB0QQ</t>
  </si>
  <si>
    <t>WOS:000387050000006</t>
  </si>
  <si>
    <t>Quilty, PG; Darragh, TA; Gallagher, SJ; Harding, LA</t>
  </si>
  <si>
    <t>Quilty, Patrick G.; Darragh, Thomas A.; Gallagher, Stephen J.; Harding, Lucy A.</t>
  </si>
  <si>
    <t>Pliocene Mollusca (Bivalvia, Gastropoda) from the SOrsdal Formation, Marine Plain, Vestfold Hills, East Antarctica: taxonomy and implications for Antarctic Pliocene palaeoenvironments</t>
  </si>
  <si>
    <t>Mollusca; Neogene; East Antarctica; palaeoenvironment; early Pliocene interglacial; warming event</t>
  </si>
  <si>
    <t>PRINCE-CHARLES-MOUNTAINS; KING-GEORGE ISLAND; JAMES-ROSS-ISLAND; DIATOM BIOSTRATIGRAPHY; WEST ANTARCTICA; LARSEMANN HILLS; MCMURDO SOUND; WRIGHT VALLEY; NEW-ZEALAND; PENINSULA</t>
  </si>
  <si>
    <t>Pliocene shallow-water marine sediments at Marine Plain (centred on 68 degrees 37.7'S; 78 degrees 07.8'E) and covering approximately 10 km(2) in the Vestfold Hills, East Antarctica, have yielded six species of gastropods, and 11 species of bivalves from two beds within the SOrsdal Formation. Most of the material is close to in situ but some specimens have been disturbed from their life position; there is no evidence of significant transport. The gastropods include Nacella concinna (Strebel, 1908), Falsimargarita parvispira Quilty, Darragh, Gallagher &amp; Harding sp. nov., indeterminate species of trochids and naticids, Chlanidota (Chlanidota) sp. cf. C. signeyana Powell, 1951, and two species of Trophon/Trophonella. Bivalves include Ennucula sp. aff. E. grayi (d'Orbigny, 1846), Aequiyoldia defossata Quilty, Darragh, Gallagher &amp; Harding, sp. nov., Pectunculina' sp., Lissarca sp., Austrochlamys anderssoni (Hennig, 1911), Ruthipecten campestris Quilty, Darragh, Gallagher &amp; Harding sp. nov., Adamussium necopinatum Quilty, Darragh, Gallagher &amp; Harding sp. nov., Limatula (Antarctolima) sp. cf. L. hodgsoni (Smith, 1907), Cyclocardia magna Quilty, Darragh, Gallagher &amp; Harding sp. nov., ?Hiatella sp. cf. H. arctica (Linnaeus, 1767) and Laternula elliptica (King, 1832). Preservation varies considerably owing to recrystallization, dissolution or distortion through compaction, so several species are left in open nomenclature. Oxygen isotope data indicate that water temperature was 4-7.5 degrees C at the time of shell growth. Many species or species groups are now extinct or have migrated away from the Antarctic to the sub-Antarctic region. An Antarctic mollusc fauna has been characteristic of the region for much of the Cenozoic.</t>
  </si>
  <si>
    <t>[Quilty, Patrick G.] Univ Tasmania, Discipline Earth Sci, Private Bag 79, Hobart, Tas 7001, Australia; [Darragh, Thomas A.] Museum Victoria, GPO Box 666, Melbourne, Vic 3000, Australia; [Gallagher, Stephen J.; Harding, Lucy A.] Univ Melbourne, Sch Earth Sci, Melbourne, Vic 3010, Australia</t>
  </si>
  <si>
    <t>University of Tasmania; Museum Victoria; University of Melbourne; Melbourne Bioinformatics</t>
  </si>
  <si>
    <t>Quilty, PG (corresponding author), Univ Tasmania, Discipline Earth Sci, Private Bag 79, Hobart, Tas 7001, Australia.</t>
  </si>
  <si>
    <t>p.quilty@utas.edu.au; tdarragh@museum.vic.gov.au; sjgall@unimelb.edu.au; harding.lucy.a@edumail.vic.gov.au</t>
  </si>
  <si>
    <t>Gallagher, Stephen/AFL-9448-2022</t>
  </si>
  <si>
    <t>Gallagher, Stephen/0000-0002-5593-2740</t>
  </si>
  <si>
    <t>10.1080/03115518.2016.1180800</t>
  </si>
  <si>
    <t>WOS:000387050000012</t>
  </si>
  <si>
    <t>Rodriguez, ES; Nation, M; Moy, AD; Curran, MAJ; Haddad, PR; Nesterenko, PN; Paull, B</t>
  </si>
  <si>
    <t>Rodriguez, Estrella Sanz; Nation, Meredith; Moy, Andrew D.; Curran, Mark A. J.; Haddad, Paul R.; Nesterenko, Pavel N.; Paull, Brett</t>
  </si>
  <si>
    <t>Application of capillary ion chromatography and capillary ion chromatography coupled with mass spectrometry to determine methanesulfonate and inorganic anions in microliter sample volumes of Antarctic snow and ice</t>
  </si>
  <si>
    <t>ANALYTICAL METHODS</t>
  </si>
  <si>
    <t>SEA-ICE; WEST ANTARCTICA; DIMETHYL SULFIDE; HIGH-RESOLUTION; CORES; VARIABILITY; REGRESSION; AMUNDSENISEN; LAND; ACID</t>
  </si>
  <si>
    <t>The high costs associated with logistics and the collection of Antarctic ice-cores demands scientists to extract the absolute maximum data from these precious resources. Typically, the chemical analyses of these valuable ice cores, and/or of ice cores from low snow accumulation sites, requires the ice samples to be as small as possible. Despite having a relatively long history within the research lab, recently, capillary ion chromatography (Cap-IC) has become a commercial reality allowing its use as a new analytical capability for the determination of inorganic and organic ions based upon reduced sample volumes. A quantitative study on the simultaneous determination of organic and inorganic anions, including fluoride, methanesulfonate, chloride, sulfate and nitrate anions in Antarctic ice and snow samples was carried out. The new Cap-IC method necessitated only 40 mu L of injection volume to attain the analytical performances required, compared to the usual 1-5 mL. In this work, the Cap-IC was also coupled with mass spectrometry, and optimised for the identification and quantification of methanesulfonate. The limit of detection for methanesulfonate was decreased to 0.07 mu g L-1 using a hyphenated technique, being the lowest detection limit reported until now in the literature for any ion chromatography based method. To validate the new analytical methods, a comparative study was performed with statistical evaluation of the anion concentrations obtained for snow pit samples from the Aurora Basin North, East Antarctica site, by three separate ion chromatography based methods, namely, standard ion chromatography, and Cap-IC coupled to either suppressed conductivity or mass spectrometry detection.</t>
  </si>
  <si>
    <t>[Rodriguez, Estrella Sanz; Haddad, Paul R.; Nesterenko, Pavel N.; Paull, Brett] Univ Tasmania, Australian Ctr Res Separat Sci, Sch Phys Sci, GPO Box 252-75, Hobart, Tas 7001, Australia; [Nation, Meredith; Moy, Andrew D.; Curran, Mark A. J.] Australian Antarctic Div, 203 Channel Highway, Kingston, Tas 7050, Australia; [Nation, Meredith; Moy, Andrew D.; Curran, Mark A. J.] Univ Tasmania, Australia Antarctic Climate &amp; Ecosyst Cooperat Re, Hobart, Tas 7001, Australia</t>
  </si>
  <si>
    <t>University of Tasmania; Australian Antarctic Division; University of Tasmania</t>
  </si>
  <si>
    <t>Rodriguez, ES (corresponding author), Univ Tasmania, Australian Ctr Res Separat Sci, Sch Phys Sci, GPO Box 252-75, Hobart, Tas 7001, Australia.</t>
  </si>
  <si>
    <t>Estrella.SanzRodriguez@utas.edu.au</t>
  </si>
  <si>
    <t>Nesterenko, Pavel N./A-4766-2012; paull, brett/AAO-8366-2020</t>
  </si>
  <si>
    <t>Nesterenko, Pavel N./0000-0002-9997-0650; paull, brett/0000-0001-6373-6582; Sanz Rodriguez, Estrella/0000-0003-3443-6382; Haddad, Paul/0000-0001-9579-7363</t>
  </si>
  <si>
    <t>Ian Potter Foundation [20160229]</t>
  </si>
  <si>
    <t>Ian Potter Foundation</t>
  </si>
  <si>
    <t>Financial support from Ian Potter Foundation Grant 20160229 is gratefully acknowledged.</t>
  </si>
  <si>
    <t>ROYAL SOC CHEMISTRY</t>
  </si>
  <si>
    <t>THOMAS GRAHAM HOUSE, SCIENCE PARK, MILTON RD, CAMBRIDGE CB4 0WF, CAMBS, ENGLAND</t>
  </si>
  <si>
    <t>1759-9660</t>
  </si>
  <si>
    <t>1759-9679</t>
  </si>
  <si>
    <t>ANAL METHODS-UK</t>
  </si>
  <si>
    <t>Anal. Methods</t>
  </si>
  <si>
    <t>10.1039/c6ay02426b</t>
  </si>
  <si>
    <t>Chemistry, Analytical; Food Science &amp; Technology; Spectroscopy</t>
  </si>
  <si>
    <t>Chemistry; Food Science &amp; Technology; Spectroscopy</t>
  </si>
  <si>
    <t>EB7WY</t>
  </si>
  <si>
    <t>WOS:000387603000009</t>
  </si>
  <si>
    <t>Saunders, P; Haward, M</t>
  </si>
  <si>
    <t>Saunders, Phillip; Haward, Marcus</t>
  </si>
  <si>
    <t>Politics, Science, and Species Protection Law: A Comparative Consideration of Southern and Atlantic Bluefin Tuna</t>
  </si>
  <si>
    <t>OCEAN DEVELOPMENT AND INTERNATIONAL LAW</t>
  </si>
  <si>
    <t>Highly migratory species; ocean tracking; regional fisheries management</t>
  </si>
  <si>
    <t>The southern and Atlantic bluefin tunas are highly valuable and heavily fished, such that there are concerns over the biomass of each species. While sharing some similarities, the species are managed in different geographical, political, and socioeconomic contexts. This article examines the complexities of managing these highly migratory species, recognizing that developments in science, most notably in ocean tracking, have a significant potential to improve management. Notwithstanding such developments, the critical element in management of bluefin tuna species remains political commitments to sustainable catches.</t>
  </si>
  <si>
    <t>[Saunders, Phillip] Dalhousie Univ, Schulich Sch Law, Halifax, NS, Canada; [Haward, Marcus] Univ Tasmania, Inst Marine &amp; Antarctic Studies, Oceans &amp; Cryosphere Ctr, Halifax, NS, Canada; [Haward, Marcus] Univ Tasmania, Ctr Marine Socioecol, Halifax, NS, Canada</t>
  </si>
  <si>
    <t>Dalhousie University</t>
  </si>
  <si>
    <t>Haward, M (corresponding author), Univ Tasmania, Inst Marine &amp; Antarctic Studies, Private Bag 129, Hobart, Tas 7001, Australia.</t>
  </si>
  <si>
    <t>Marcus.Haward@utas.edu.au</t>
  </si>
  <si>
    <t>Haward, Marcus/0000-0003-4775-0864</t>
  </si>
  <si>
    <t>0090-8320</t>
  </si>
  <si>
    <t>1521-0642</t>
  </si>
  <si>
    <t>OCEAN DEV INT LAW</t>
  </si>
  <si>
    <t>Ocean Dev. Int. Law</t>
  </si>
  <si>
    <t>10.1080/00908320.2016.1229940</t>
  </si>
  <si>
    <t>International Relations; Law</t>
  </si>
  <si>
    <t>International Relations; Government &amp; Law</t>
  </si>
  <si>
    <t>EA4ZT</t>
  </si>
  <si>
    <t>WOS:000386626600004</t>
  </si>
  <si>
    <t>Apostle, R; Gazit, T; Haward, M</t>
  </si>
  <si>
    <t>Apostle, Richard; Gazit, Tsafrir; Haward, Marcus</t>
  </si>
  <si>
    <t>Ocean Tracking and Marine Species Protection in Australia and Canada: Science, Technology, and Knowledge Brokering</t>
  </si>
  <si>
    <t>Marine species protection knowledge brokerage; ocean tracking; science-policy integration</t>
  </si>
  <si>
    <t>POLICY</t>
  </si>
  <si>
    <t>This article examines the promise and challenge of marine biotelemetry technologies, comparing the case of the Canadian Ocean Tracking Network (OTN) and the Australian Animal Tagging and Monitoring System (AATAMS). These technologies provide increased understanding of the marine environment and promise major advances in knowledge of species at risk. However, that utilization of marine biotelemetry raises challenges, including ensuring that knowledge obtained is translated into forms useful to and usable by decision makers. Knowledge brokering is a key to ensure that the advances seen in marine biotelemetry technologies lead to improved gover-nance of species at risk.</t>
  </si>
  <si>
    <t>[Apostle, Richard; Gazit, Tsafrir] Dalhousie Univ, Sociol &amp; Anthropol, Halifax, NS, Canada; [Haward, Marcus] Univ Tasmania, Inst Marine &amp; Antarctic Studies, Oceans &amp; Cryosphere Ctr, Private Bag 129, Hobart, Tas 7001, Australia; [Haward, Marcus] Univ Tasmania, Ctr Marine Socioecol, Hobart, Tas, Australia</t>
  </si>
  <si>
    <t>Dalhousie University; University of Tasmania; University of Tasmania</t>
  </si>
  <si>
    <t>Haward, M (corresponding author), Univ Tasmania, Inst Marine &amp; Antarctic Studies, Oceans &amp; Cryosphere Ctr, Private Bag 129, Hobart, Tas 7001, Australia.</t>
  </si>
  <si>
    <t>10.1080/00908320.2016.1229944</t>
  </si>
  <si>
    <t>WOS:000386626600005</t>
  </si>
  <si>
    <t>Cárdenas, CA; Newcombe, EM; Hajdu, E; Gonzalez-Aravena, M; Geange, SW; Bell, JJ</t>
  </si>
  <si>
    <t>Cardenas, Cesar A.; Newcombe, Emma M.; Hajdu, Eduardo; Gonzalez-Aravena, Marcelo; Geange, Shane W.; Bell, James J.</t>
  </si>
  <si>
    <t>Sponge richness on algae-dominated rocky reefs in the western Antarctic Peninsula and the Magellan Strait</t>
  </si>
  <si>
    <t>POLAR RESEARCH</t>
  </si>
  <si>
    <t>Porifera; sponge-algae interactions; Antarctica; sub-Antarctic; southern high-latitudes</t>
  </si>
  <si>
    <t>BENTHIC ASSEMBLAGES; ADELAIDE ISLAND; MARINE SPONGES; COMMUNITIES; MACROALGAE; HOLDFASTS; DIVERSITY; ABUNDANCE; LIGHT; BAY</t>
  </si>
  <si>
    <t>Sponges are important components of high-latitude benthic communities, but their diversity and abundance in algal-dominated rocky reefs has been underestimated because of the difficulty of in situ identification. Further, the influence of canopy-forming algae on sponge richness has been poorly studied in southern high-latitude rocky reefs compared to other latitudes. Here, we quantified taxon richness of sponges in algae-dominated rocky reefs at three sites in the western Antarctic Peninsula (62-64 degrees S) and two sites in the Magellan region (53 degrees S). We found higher sponge richness at sites in Antarctica (15) than in Magallanes (8), with Antarctic sponge richness higher than that reported for Arctic algal beds and similar to that reported for temperate regions. Estimated sponge richness at our Antarctic sites highlights diverse sponge assemblages (16-26 taxa) between 5 and 20 m that are typically dominated by macroalgae. Our results suggest that sponge assemblages associated with canopy-forming macroalgae on southern high-latitude reefs are more diverse than previously thought.</t>
  </si>
  <si>
    <t>[Cardenas, Cesar A.; Gonzalez-Aravena, Marcelo] Chilean Antarctic Inst, Dept Sci, Plaza Munoz Gamero 1055, Punta Arenas 6200965, Chile; [Newcombe, Emma M.] Cawthron Inst, 98 Halifax St, The Wood 7010, Nelson, New Zealand; [Hajdu, Eduardo] Univ Fed Rio de Janeiro, Natl Museum, Dept Invertebrates, Quinta Boa Vista S-N, BR-2090040 Rio De Janeiro, RJ, Brazil; [Geange, Shane W.] Dept Conservat, 32 Manners St, Wellington 6011, New Zealand; [Bell, James J.] Victoria Univ Wellington, Sch Biol Sci, POB 600, Wellington 6140, New Zealand</t>
  </si>
  <si>
    <t>Cawthron Institute; Universidade Federal do Rio de Janeiro; Victoria University Wellington</t>
  </si>
  <si>
    <t>Cárdenas, CA (corresponding author), Chilean Antarctic Inst, Dept Sci, Plaza Munoz Gamero 1055, Punta Arenas 6200965, Chile.</t>
  </si>
  <si>
    <t>ccardenas@inach.cl</t>
  </si>
  <si>
    <t>Cardenas, Cesar/ABF-1664-2020; Hajdu, Eduardo/C-3863-2009; González, Marcelo/ABF-1450-2020</t>
  </si>
  <si>
    <t>Hajdu, Eduardo/0000-0002-8760-9403; Cardenas, Cesar/0000-0001-6662-6899; Geange, Shane/0000-0002-0679-0272; Bell, James/0000-0001-9996-945X; Gonzalez, Marcelo/0000-0001-9986-9504</t>
  </si>
  <si>
    <t>Gobierno Regional de Magallanes y Antartica Chilena [INACH:T2-08, FIC-R 2008]; FAPERJ (Fundacao Carlos Chagas Filho de Amparo a Pesquisa do Estado do Rio de Janeiro, Brasil); CONICYT/FONDECYT/INACH/INICIACION [11150129]</t>
  </si>
  <si>
    <t>Gobierno Regional de Magallanes y Antartica Chilena; FAPERJ (Fundacao Carlos Chagas Filho de Amparo a Pesquisa do Estado do Rio de Janeiro, Brasil); CONICYT/FONDECYT/INACH/INICIACION</t>
  </si>
  <si>
    <t>We thank the Chilean Antarctic Institute personnel and volunteers at Professor Julio Escudero and Yelcho research stations for field and logistical support, and the Brazilian National Council for Scientific and Technological Development, Brazil. We also thank J.B. McClintock and an anonymous reviewer for their constructive comments. This research was partially funded by projects INACH:T2-08, FIC-R 2008 (Gobierno Regional de Magallanes y Antartica Chilena), FAPERJ (Fundacao Carlos Chagas Filho de Amparo a Pesquisa do Estado do Rio de Janeiro, Brasil) and CONICYT/FONDECYT/INACH/INICIACION/ #11150129.</t>
  </si>
  <si>
    <t>0800-0395</t>
  </si>
  <si>
    <t>1751-8369</t>
  </si>
  <si>
    <t>POLAR RES</t>
  </si>
  <si>
    <t>Polar Res.</t>
  </si>
  <si>
    <t>10.3402/polar.v35.30532</t>
  </si>
  <si>
    <t>Ecology; Geosciences, Multidisciplinary; Oceanography</t>
  </si>
  <si>
    <t>Environmental Sciences &amp; Ecology; Geology; Oceanography</t>
  </si>
  <si>
    <t>EB2IP</t>
  </si>
  <si>
    <t>WOS:000387183100001</t>
  </si>
  <si>
    <t>Tarroux, A; Lowther, AD; Lydersen, C; Kovacs, KM</t>
  </si>
  <si>
    <t>Tarroux, Arnaud; Lowther, Andrew D.; Lydersen, Christian; Kovacs, Kit M.</t>
  </si>
  <si>
    <t>Temporal shift in the isotopic niche of female Antarctic fur seals from Bouvetoya</t>
  </si>
  <si>
    <t>Arctocephalus gazella; krill; predation; Southern Ocean; stable isotopes; trophic relationships</t>
  </si>
  <si>
    <t>ARCTOCEPHALUS-GAZELLA; SOUTHERN-OCEAN; STABLE-ISOTOPES; CLIMATE-CHANGE; LIPID EXTRACTION; FOOD-CONSUMPTION; FORAGING ECOLOGY; SCOTIA SEA; DIET; CARBON</t>
  </si>
  <si>
    <t>The Antarctic fur seal (Arctocephalus gazella) is a key marine predator in the Southern Ocean, a region that has recently started to show changes as a result of global climate change. Here, carbon (delta C-13) and nitrogen (delta N-15) stable isotope analyses on whole blood and plasma samples were used to examine the isotopic niche of lactating female Antarctic fur seals. Using recently developed Bayesian approaches to determine changes in isotopic niche, a significant increase in delta C-13 and delta N-15 was found between 1997 and 2015; this change occurred at an average rate of 0.067%0 (delta C-13) and 0.072%0 (delta N-15) per year over this period. This suggests that a marked isotopic niche shift has occurred over this period, which very likely corresponds to a shift in diet towards prey at a higher trophic level, such as fish (replacing krill). Although our sampling design prevented us from exploring a seasonal trend in a conclusive manner, our data suggest that concurrent increases in delta C-13 and delta N-15 might occur as the breeding season progresses. At a seasonal scale, an average decrease of 0.7 parts per thousand per month (95% confidence interval = [0.9; 0.6]) in delta C-13 might have occurred, concurrently with an average increase of 1.1% per month in delta N-15. The results of this study constitute the first isotopic assessment for female Antarctic fur seals from Bouvetoya and provide a baseline for the use of this predator species as a sentinel of the marine trophic system in one of the least studied areas within this species' distributional range.</t>
  </si>
  <si>
    <t>[Tarroux, Arnaud; Lowther, Andrew D.; Lydersen, Christian; Kovacs, Kit M.] Norwegian Polar Res Inst, Fram Ctr, POB 6606 Langnes, NO-9296 Tromso, Norway</t>
  </si>
  <si>
    <t>Norwegian Polar Institute</t>
  </si>
  <si>
    <t>Tarroux, A (corresponding author), Norwegian Polar Res Inst, Fram Ctr, POB 6606 Langnes, NO-9296 Tromso, Norway.</t>
  </si>
  <si>
    <t>arnaud.tarroux@npolar.no</t>
  </si>
  <si>
    <t>Lowther, Andrew/T-2511-2019; Tarroux, Arnaud/AAE-5173-2021</t>
  </si>
  <si>
    <t>Lowther, Andrew/0000-0003-4294-3157; Tarroux, Arnaud/0000-0001-8306-6694</t>
  </si>
  <si>
    <t>Norwegian Antarctic Research Expedition programme; Norwegian Polar Institute</t>
  </si>
  <si>
    <t>This work was supported by the Norwegian Antarctic Research Expedition programme and the Norwegian Polar Institute. We thank all of the people who have helped with sample collection over the years. All capture and handling procedures were done in accordance with the requirements of the Norwegian Animal Research Authority. We thank Heidi Ahonen (Norwegian Polar Institute) for preparing the samples and Ricardo Alvarez and Susana Carrasco (LIE) for conducting the lipid extractions and the isotopic analyses.</t>
  </si>
  <si>
    <t>NORWEGIAN POLAR INST</t>
  </si>
  <si>
    <t>TROMSO</t>
  </si>
  <si>
    <t>POLAR ENVIRONMENTAL CENTRE, HJALMAR JOHANSENSGATE 14, TROMSO, FRAMSENTERET, NORWAY</t>
  </si>
  <si>
    <t>10.3402/polar.v35.31335</t>
  </si>
  <si>
    <t>EB2IR</t>
  </si>
  <si>
    <t>WOS:000387183400001</t>
  </si>
  <si>
    <t>Jurkovic, M; Abraham, K; Holzapfel, K; Krings, K; Resconi, E; Veenkamp, J</t>
  </si>
  <si>
    <t>Capone, A; DeBonis, G; DiPalma, I; Perrina, C</t>
  </si>
  <si>
    <t>Jurkovic, M.; Abraham, K.; Holzapfel, K.; Krings, K.; Resconi, E.; Veenkamp, J.</t>
  </si>
  <si>
    <t>IceCube-Gen2 Collaboration</t>
  </si>
  <si>
    <t>A Precision Optical Calibration Module (POCAM) for IceCube-Gen2</t>
  </si>
  <si>
    <t>VERY LARGE VOLUME NEUTRINO TELESCOPE (VLVNT-2015)</t>
  </si>
  <si>
    <t>7th Biannual Very Large Volume Neutrino Telescope Workshop (VLVnT)</t>
  </si>
  <si>
    <t>SEP 14-16, 2015</t>
  </si>
  <si>
    <t>La Sapienza Univ, Dept Phys, Rome, ITALY</t>
  </si>
  <si>
    <t>La Sapienza Univ, Dept Phys</t>
  </si>
  <si>
    <t>We present here a new concept of an in-situ self-calibrated isotropic light source for the future IceCube-Gen2 neutrino detector called the Precision Optical Calibration Module (POCAM). IceCube-Gen2 will be a matrix of light sensors buried deep in the ice at the geographic South Pole. The timing, the location, and the amount of Cherenkov light deposited by the secondary charged particles are used to reconstruct the properties of the incident neutrinos. The reconstruction relies on a detailed detector model that includes the response of optical modules to the Cherenkov light, as well as the optical properties of the detector medium - the natural Antarctic ice. To understand these properties, both natural, and artificial light sources are already used for calibration. New calibration devices are being developed in order to improve the precision of these measurements, and reduce systematic errors. The POCAM concept is based on the principle of an inverted integrating sphere. The main components are LEDs emitting light at several wavelengths and solid-state light sensors e. g. calibrated photodiode or silicon photomultipliers to monitor the emitted light intensity. We report on the current status of the POCAM R&amp;D.</t>
  </si>
  <si>
    <t>[Jurkovic, M.; Abraham, K.; Holzapfel, K.; Krings, K.; Resconi, E.; Veenkamp, J.; IceCube-Gen2 Collaboration] Tech Univ Munich, Phys Dept, James Franck Str 1, D-85748 Garching, Germany</t>
  </si>
  <si>
    <t>Technical University of Munich</t>
  </si>
  <si>
    <t>Jurkovic, M (corresponding author), Tech Univ Munich, Phys Dept, James Franck Str 1, D-85748 Garching, Germany.</t>
  </si>
  <si>
    <t>martin.jurkovic@tum.de</t>
  </si>
  <si>
    <t>Sánchez, Juan Antonio Aguilar/H-4467-2015; Resconi, Elisa/I-3874-2016</t>
  </si>
  <si>
    <t>Resconi, Elisa/0000-0003-0705-2770</t>
  </si>
  <si>
    <t>978-2-7598-2016-0</t>
  </si>
  <si>
    <t>10.1051/epjconf/201611606001</t>
  </si>
  <si>
    <t>Astronomy &amp; Astrophysics; Physics, Multidisciplinary</t>
  </si>
  <si>
    <t>Astronomy &amp; Astrophysics; Physics</t>
  </si>
  <si>
    <t>BG1QA</t>
  </si>
  <si>
    <t>WOS:000386965400036</t>
  </si>
  <si>
    <t>Bharti, PK; Sharma, B; Singh, RK; Tyagi, AK</t>
  </si>
  <si>
    <t>Ghosh, SK</t>
  </si>
  <si>
    <t>Bharti, Pawan Kumar; Sharma, Bhupesh; Singh, R. K.; Tyagi, A. K.</t>
  </si>
  <si>
    <t>Waste Generation and Management in Antarctica</t>
  </si>
  <si>
    <t>WASTE MANAGEMENT FOR RESOURCE UTILISATION</t>
  </si>
  <si>
    <t>Procedia Environmental Sciences</t>
  </si>
  <si>
    <t>5th International Conference on Solid Waste Management (IconSWM)</t>
  </si>
  <si>
    <t>NOV 25-27, 2015</t>
  </si>
  <si>
    <t>Bengaluru, INDIA</t>
  </si>
  <si>
    <t>Waste generation; Antarctic Environment; Indian research station; Waste management</t>
  </si>
  <si>
    <t>Antarctica is the coldest continent on the earth. The Indian Ocean, Pacific Ocean and Atlantic Ocean surround the continent. Antarctic continent covers 10% of the earth surface and has a surface area of nearly 14 million square kilometer. It also has 70% of the world's fresh water resources in the form of ice sheets. Thick ice sheets cover the whole continent (almost 98%). As a result of the environmental conditions, the remaining (2%) fraction without ice cover is basically the barren soil and rocks. Many countries have set up scientific research stations in Antarctica. There are about 65 scientific research stations in summer and 30 research stations in winter, which are currently operating for scientific investigations. India has two permanent scientific research stations in the Antarctica located in Schirmacher Oasis in Central Dronning Maud Land and in Larsemann Hills, East Antarctica. However, the activities due to operation and maintenance of the research station in Antarctica have impacts on the Antarctic environment. Besides, the scientific stations also generate waste materials and a significant part of it is discharged into the Antarctic environment, which may create impacts on the Antarctica. The assessment of waste materials emanating from various sources was carried out. The present paper attempts to highlight the environmental parameters observed during ISEA austral summer at Maitri and Bharti station, East Antarctica. (C) 2016 The Authors. Published by Elsevier B.V.</t>
  </si>
  <si>
    <t>[Bharti, Pawan Kumar; Sharma, Bhupesh; Singh, R. K.; Tyagi, A. K.] Shriram Inst Ind Res, R&amp;D Div, Antarctica Lab, 19 Univ Rd, Delhi, India</t>
  </si>
  <si>
    <t>Bharti, PK (corresponding author), Shriram Inst Ind Res, R&amp;D Div, Antarctica Lab, 19 Univ Rd, Delhi, India.</t>
  </si>
  <si>
    <t>gurupawanbharti@gmail.com</t>
  </si>
  <si>
    <t>1878-0296</t>
  </si>
  <si>
    <t>PROCEDIA ENVIRON SCI</t>
  </si>
  <si>
    <t>10.1016/j.proenv.2016.07.004</t>
  </si>
  <si>
    <t>Engineering, Environmental</t>
  </si>
  <si>
    <t>BG2EZ</t>
  </si>
  <si>
    <t>WOS:000387295000004</t>
  </si>
  <si>
    <t>Hoenner, X; Whiting, SD; Enever, G; Lambert, K; Hindell, MA; McMahon, CR</t>
  </si>
  <si>
    <t>Hoenner, Xavier; Whiting, Scott D.; Enever, Gavin; Lambert, Keith; Hindell, Mark A.; McMahon, Clive R.</t>
  </si>
  <si>
    <t>Nesting ecology of hawksbill turtles at a rookery of international significance in Australia's Northern Territory</t>
  </si>
  <si>
    <t>WILDLIFE RESEARCH</t>
  </si>
  <si>
    <t>biologging; Eretmochelys imbricata; Groote Eylandt; nesting; Northern Territory; reproductive behaviour; seasonality</t>
  </si>
  <si>
    <t>GREAT-BARRIER-REEF; ERETMOCHELYS-IMBRICATA; SEA-TURTLE; CHELONIA-MYDAS; INTERNESTING INTERVALS; CARETTA-CARETTA; MARINE TURTLES; GREEN TURTLES; GROWTH-RATES; SEASONALITY</t>
  </si>
  <si>
    <t>Context. Following centuries of intense human exploitation, the global stocks of hawksbill turtle have decreased precipitously and the species is currently considered Critically Endangered by the IUCN. Australia supports the largest breeding aggregations worldwide; however, there are no accurate estimates of population abundance and seasonality for hawksbill turtles at important nesting grounds in eastern Arnhem Land. Aims. This study was designed to fill in this lack of ecological information and assist with the conservation and management of hawksbill turtles. More specifically, our overarching goals were to assess nesting seasonality, habitat preferences and provide the first estimate of annual nesting population size at a Northern Territory rookery. Methods. In 2009 and 2010 we collected beach monitoring, satellite telemetry and sand temperature data over two nesting seasons at a group of three islands located 30 km off Groote Eylandt in the Gulf of Carpentaria, northern Australia. We subsequently analysed these data to unravel hawksbill nesting behaviour and reproductive outputs, and examined the vulnerability of this rookery to climate change. Key results. Hawksbill turtle nesting seasonality consistently started in mid-May, peaked in mid-August and ended in late November. Annual nesting abundance showed a near 3-fold increase between 2009 and 2010, with an average of 220 and 580 hawksbill females nesting on this island group respectively. Sand temperature at 50 cm reached more than 30 degrees C at all monitored sites during most of the peak of the incubation period. Conclusions. This remote and untouched group of islands constitutes a major hawksbill turtle rookery both nationally and globally. While anthropogenic impacts and predation are low year round, climate change threatens to skew hatchling sex ratios, eventually leading to an increase in hatchling mortality. Implications. Additional ground-based surveys are required to refine the accuracy of population estimates presented in this study. Given the paucity of data in the region, we recommend this island group off Groote Eylandt be used as a population-monitoring index site for the eastern Arnhem Land hawksbill turtle breeding aggregation.</t>
  </si>
  <si>
    <t>[Hoenner, Xavier; McMahon, Clive R.] Charles Darwin Univ, Inst Adv Studies, Res Inst Environm &amp; Livelihoods, Darwin, NT 0909, Australia; [Hoenner, Xavier] Univ Tasmania, IMOS, Private Bag 110, Hobart, Tas 7001, Australia; [Whiting, Scott D.] Dept Nat Resources Environm Arts &amp; Sport, Marine Biodivers Grp, Darwin, NT 0909, Australia; [Whiting, Scott D.] Dept Environm &amp; Conservat, Marine Sci Program, Kensington, WA, Australia; [Enever, Gavin; Lambert, Keith] Anindilyakwa Land Council, 30 Bougainvillea Dr,POB 172, Alyangula, NT 0885, Australia; [Hindell, Mark A.; McMahon, Clive R.] Univ Tasmania, Inst Marine &amp; Antarctic Studies, Hobart, Tas 7001, Australia; [Hindell, Mark A.; McMahon, Clive R.] Sydney Inst Marine Sci, 19 Chowder Bay Rd, Mosman, NSW 2088, Australia</t>
  </si>
  <si>
    <t>Charles Darwin University; University of Tasmania; University of Tasmania; Sydney Institute of Marine Science</t>
  </si>
  <si>
    <t>Hoenner, X (corresponding author), Charles Darwin Univ, Inst Adv Studies, Res Inst Environm &amp; Livelihoods, Darwin, NT 0909, Australia.;Hoenner, X (corresponding author), Univ Tasmania, IMOS, Private Bag 110, Hobart, Tas 7001, Australia.</t>
  </si>
  <si>
    <t>xavier.hoenner@utas.edu.au</t>
  </si>
  <si>
    <t>Hoenner, Xavier/P-2676-2019; Hindell, Mark A/K-1131-2013; McMahon, Clive R/D-5713-2013</t>
  </si>
  <si>
    <t>Hoenner, Xavier/0000-0001-5811-1166; McMahon, Clive R/0000-0001-5241-8917; Hindell, Mark/0000-0002-7823-7185</t>
  </si>
  <si>
    <t>Australian Government under the Caring for Country Initiative; Anindilyakwa Land Council; Northern Territory Government; Charles Darwin University</t>
  </si>
  <si>
    <t>Australian Government under the Caring for Country Initiative(Australian Government); Anindilyakwa Land Council; Northern Territory Government; Charles Darwin University</t>
  </si>
  <si>
    <t>We are very grateful for the practical help provided by the Land and Sea Ranger Unit of the Anindilyakwa Land Council and thank the different communities of the Groote Eylandt archipelago for having granted us access to their traditional land and sacred sites. Our deepest thanks go to G. Enever, K. Lambert, R. Lalara, S. Lalara, E. Hobbs, M. Sauter and N. Maunders for their assistance in the field. We are especially grateful to our research funders: the Australian Government under the Caring for Country Initiative, the Anindilyakwa Land Council, the Northern Territory Government and Charles Darwin University.</t>
  </si>
  <si>
    <t>1035-3712</t>
  </si>
  <si>
    <t>1448-5494</t>
  </si>
  <si>
    <t>WILDLIFE RES</t>
  </si>
  <si>
    <t>Wildl. Res.</t>
  </si>
  <si>
    <t>10.1071/WR16047</t>
  </si>
  <si>
    <t>Ecology; Zoology</t>
  </si>
  <si>
    <t>Environmental Sciences &amp; Ecology; Zoology</t>
  </si>
  <si>
    <t>EB2IK</t>
  </si>
  <si>
    <t>WOS:000387182100002</t>
  </si>
  <si>
    <t>Pincus, R; Ali, SH</t>
  </si>
  <si>
    <t>Pincus, Rebecca; Ali, Saleem H.</t>
  </si>
  <si>
    <t>Have you been to 'The Arctic'? Frame theory and the role of media coverage in shaping Arctic discourse</t>
  </si>
  <si>
    <t>POLAR GEOGRAPHY</t>
  </si>
  <si>
    <t>Arctic; frame theory; media; discourse; conflict</t>
  </si>
  <si>
    <t>POLITICAL CARTOONS; NEWS; SUPPORT; POLICY; WAR</t>
  </si>
  <si>
    <t>The value of theory in drawing lessons from empirical cases remains elusive in the Arctic. In the introduction to this special issue, we develop broad theoretical underpinnings to consider how frame analysis can better inform Arctic research. We build on a research synthesis from a collaborative anthology focused on diplomacy in polar regions [Pincus, R., &amp; Ali, S. H. (Eds.). (2015). Diplomacy on ice: Energy and the environment in the Arctic and Antarctic. New Haven, CT: Yale University Press]. Here, we review aspects of media and communication theory, in particular frame theory, and contextualize theoretically the common tropes of Arctic political conflict, centered on the so-called race or scramble for the Arctic. After introducing and identifying concepts of framing and discourse and discussing how these concepts are relevant to Arctic issues, the paper will address why these concepts are important to policy-makers, stakeholders, and the public. What are the impacts of conflict-driven frames as applied to Arctic sovereignty or development questions? We explore how frames impact diplomacy in contested spaces, such as the Arctic, and how to draw cooperative lessons from these discourses. Finally, the papers that make up this special edition are placed in relation to the broader topic.</t>
  </si>
  <si>
    <t>[Pincus, Rebecca] US Coast Guard Acad, New London, CT USA; [Ali, Saleem H.] Univ Queensland, Polit &amp; Int Studies, St Lucia, Qld, Australia; [Ali, Saleem H.] Univ Queensland, Sustainable Resources Dev, St Lucia, Qld, Australia</t>
  </si>
  <si>
    <t>University of Queensland; University of Queensland</t>
  </si>
  <si>
    <t>Pincus, R (corresponding author), US Coast Guard Acad, New London, CT USA.</t>
  </si>
  <si>
    <t>rebeccapincus@gmail.com</t>
  </si>
  <si>
    <t>Ali, Saleem H./I-1545-2013</t>
  </si>
  <si>
    <t>Ali, Saleem H./0000-0002-2943-9557</t>
  </si>
  <si>
    <t>1088-937X</t>
  </si>
  <si>
    <t>1939-0513</t>
  </si>
  <si>
    <t>POLAR GEOGR</t>
  </si>
  <si>
    <t>Polar Geogr.</t>
  </si>
  <si>
    <t>10.1080/1088937X.2016.1184722</t>
  </si>
  <si>
    <t>Geography, Physical</t>
  </si>
  <si>
    <t>Physical Geography</t>
  </si>
  <si>
    <t>EA2RQ</t>
  </si>
  <si>
    <t>WOS:000386442800001</t>
  </si>
  <si>
    <t>Percey, WJ; McMinn, A; Bose, J; Breadmore, MC; Guijt, RM; Shabala, S</t>
  </si>
  <si>
    <t>Percey, William J.; McMinn, Andrew; Bose, Jayakumar; Breadmore, Michael C.; Guijt, Rosanne M.; Shabala, Sergey</t>
  </si>
  <si>
    <t>Salinity effects on chloroplast PSII performance in glycophytes and halophytes</t>
  </si>
  <si>
    <t>FUNCTIONAL PLANT BIOLOGY</t>
  </si>
  <si>
    <t>membrane transport; non-stomatal limitation; photosynthesis; potassium; ROS; sodium</t>
  </si>
  <si>
    <t>PHOTOSYNTHETIC ELECTRON-TRANSPORT; BEAN LEAF MESOPHYLL; SALT TOLERANCE; POTASSIUM HOMEOSTASIS; OSMOTIC ADJUSTMENT; STRESS TOLERANCE; ION-TRANSPORT; K+ CHANNEL; CHLOROPHYLL FLUORESCENCE; MEMBRANE TRANSPORTERS</t>
  </si>
  <si>
    <t>The effects of NaCl stress and K+ nutrition on photosynthetic parameters of isolated chloroplasts were investigated using PAM fluorescence. Intact mesophyll cells were able to maintain optimal photosynthetic performance when exposed to salinity for more than 24h whereas isolated chloroplasts showed declines in both the relative electron transport rate (rETR) and the maximal photochemical efficiency of PSII (F-v/F-m) within the first hour of treatment. The rETR was much more sensitive to salt stress compared with F-v/F-m, with 40% inhibition of rETR observed at apoplastic NaCl concentration as low as 20mM. In isolated chloroplasts, absolute K+ concentrations were more essential for the maintenance of the optimal photochemical performance (F-v/F-m values) rather than sodium concentrations per se. Chloroplasts from halophyte species of quinoa (Chenopodium quinoa Willd.) and pigface (Carpobrotus rosii (Haw.) Schwantes) showed less than 18% decline in F-v/F-m under salinity, whereas the F-v/F-m decline in chloroplasts from glycophyte pea (Pisum sativum L.) and bean (Vicia faba L.) species was much stronger (31 and 47% respectively). Vanadate (a P-type ATPase inhibitor) significantly reduced F-v/F-m in both control and salinity treated chloroplasts (by 7 and 25% respectively), whereas no significant effects of gadolinium (blocker of non-selective cation channels) were observed in salt-treated chloroplasts. Tetraethyl ammonium (TEA) (K+ channel inhibitor) and amiloride (inhibitor of the Na+/H+ antiporter) increased the F-v/F-m of salinity treated chloroplasts by 16 and 17% respectively. These results suggest that chloroplasts' ability to regulate ion transport across the envelope and thylakoid membranes play a critical role in leaf photosynthetic performance under salinity.</t>
  </si>
  <si>
    <t>[Percey, William J.; Bose, Jayakumar; Shabala, Sergey] Univ Tasmania, Sch Land &amp; Food, Private Bag 54, Hobart, Tas 7001, Australia; [McMinn, Andrew] Univ Tasmania, Inst Marine &amp; Antarctic Studies, Private Bag 129, Hobart, Tas 7001, Australia; [Bose, Jayakumar] Univ Adelaide, Sch Agr Food &amp; Wine, ARC Ctr Excellence Plant Energy Biol, PMB 1, Glen Osmond, SA 5064, Australia; [Breadmore, Michael C.] Univ Tasmania, Australian Ctr Res Separat Sci ACROSS, Private Bag 75, Hobart, Tas 7001, Australia; [Breadmore, Michael C.] Univ Tasmania, Sch Chem, Private Bag 75, Hobart, Tas 7001, Australia; [Guijt, Rosanne M.] Univ Tasmania, Sch Med, Private Bag 34, Hobart, Tas 7001, Australia; [Guijt, Rosanne M.] Univ Tasmania, Australian Ctr Res Separat Sci, Private Bag 34, Hobart, Tas 7001, Australia</t>
  </si>
  <si>
    <t>University of Tasmania; University of Tasmania; University of Adelaide; University of Tasmania; University of Tasmania; University of Tasmania; University of Tasmania</t>
  </si>
  <si>
    <t>Shabala, S (corresponding author), Univ Tasmania, Sch Land &amp; Food, Private Bag 54, Hobart, Tas 7001, Australia.</t>
  </si>
  <si>
    <t>sergey.shabala@utas.edu.au</t>
  </si>
  <si>
    <t>Shabala, Sergey/AAF-5449-2020; McMinn, Andrew/A-9910-2008; Guijt, Rosanne/R-2428-2017; Bose, Jayakumar/C-2429-2014; Shabala, Sergey/C-6794-2013; Breadmore, Michael/J-7628-2014</t>
  </si>
  <si>
    <t>Shabala, Sergey/0000-0003-2345-8981; Guijt, Rosanne/0000-0003-0011-5708; Bose, Jayakumar/0000-0002-0565-2951; Breadmore, Michael/0000-0001-5591-4326</t>
  </si>
  <si>
    <t>Australian Research Council [DP0987402]; ARC [LP100200456]; Australian Research Council [DP0987402, LP100200456] Funding Source: Australian Research Council</t>
  </si>
  <si>
    <t>Australian Research Council(Australian Research Council); ARC(Australian Research Council); Australian Research Council(Australian Research Council)</t>
  </si>
  <si>
    <t>This work was supported by the Australian Research Council grant DP0987402 to SS and RMJ and ARC Linkage grant LP100200456 to SS.</t>
  </si>
  <si>
    <t>1445-4408</t>
  </si>
  <si>
    <t>1445-4416</t>
  </si>
  <si>
    <t>FUNCT PLANT BIOL</t>
  </si>
  <si>
    <t>Funct. Plant Biol.</t>
  </si>
  <si>
    <t>10.1071/FP16135</t>
  </si>
  <si>
    <t>EA1RJ</t>
  </si>
  <si>
    <t>WOS:000386369300001</t>
  </si>
  <si>
    <t>Park, HJ; Yim, JH; Park, H; Kim, D</t>
  </si>
  <si>
    <t>Park, Ha Ju; Yim, Joung Han; Park, Hyun; Kim, Dockyu</t>
  </si>
  <si>
    <t>Characterization of -N-acetylglucosaminidase from a marine Pseudoalteromonas sp for application in N-acetyl-glucosamine production</t>
  </si>
  <si>
    <t>PREPARATIVE BIOCHEMISTRY &amp; BIOTECHNOLOGY</t>
  </si>
  <si>
    <t>-N-Acetylglucosaminidase; arctic marine; cold-active; exochitinase; N-acetyl-glucosamine; psychrotolerant</t>
  </si>
  <si>
    <t>OUTER-MEMBRANE; MOLECULAR ANALYSIS; ALPHA-CHITIN; BACTERIUM; GENE; DEGRADATION; EXPRESSION; CLONING; ENZYME</t>
  </si>
  <si>
    <t>The psychrotolerant Pseudoalteromonas issachenkonii PAMC 22718 was isolated for its high exo-acting chitinase activity in the Kara Sea, Arctic. An exo-acting chitinase (W-Chi22718) was homogeneously purified from the culture supernatant of PAMC 22718, the molecular weight of which was estimated to be approximately 112kDa. Due to its -N-acetylglucosaminidase activity, W-Chi22718 was able to produce N-acetyl-D-glucosamine (GlcNAc) monomers from chitin oligosaccharide substrates. W-Chi22718 displayed chitinase activity from 0 to 37 degrees C (optimal temperature of 30 degrees C) and maintained activity from pH 6.0 to 9.0 (optimal pH of 7.6). W-Chi22718 exhibited a relative activity of 13 and 35% of maximal activity at 0 and 10 degrees C, respectively, which is comparable to the activities of previously characterized, cold-adapted bacterial chitinases. W-Chi22718 activity was enhanced by K+, Ca2+, and Fe2+, but completely inhibited by Cu2+ and SDS. We found that W-Chi22718 can produce much more (GlcNAcs) from colloidal chitin, working together with previously characterized cold-active endochitinase W-Chi21702. Genome sequencing revealed that the corresponding gene (chi22718_IV) was 2,856bp encoding a 951amino acid protein with a calculated molecular weight of approximately 102kDa.</t>
  </si>
  <si>
    <t>[Park, Ha Ju; Yim, Joung Han; Park, Hyun; Kim, Dockyu] Korea Polar Res Inst, Div Life Sci, 26 Songdomirae Ro, Inchon 21990, South Korea</t>
  </si>
  <si>
    <t>Kim, D (corresponding author), Korea Polar Res Inst, Div Life Sci, 26 Songdomirae Ro, Inchon 21990, South Korea.</t>
  </si>
  <si>
    <t>envimic@kopri.re.kr</t>
  </si>
  <si>
    <t>Park, Hyun/0000-0002-8055-2010</t>
  </si>
  <si>
    <t>Antarctic organisms: Cold-adaptation mechanisms and application grant - Korea Polar Research Institute [PE15070]</t>
  </si>
  <si>
    <t>Antarctic organisms: Cold-adaptation mechanisms and application grant - Korea Polar Research Institute</t>
  </si>
  <si>
    <t>This work was supported by the Antarctic organisms: Cold-adaptation mechanisms and its application grant (PE15070) funded by the Korea Polar Research Institute.</t>
  </si>
  <si>
    <t>1082-6068</t>
  </si>
  <si>
    <t>1532-2297</t>
  </si>
  <si>
    <t>PREP BIOCHEM BIOTECH</t>
  </si>
  <si>
    <t>Prep. Biochem. Biotechnol.</t>
  </si>
  <si>
    <t>10.1080/10826068.2015.1135459</t>
  </si>
  <si>
    <t>Biochemical Research Methods; Biochemistry &amp; Molecular Biology; Biotechnology &amp; Applied Microbiology</t>
  </si>
  <si>
    <t>Biochemistry &amp; Molecular Biology; Biotechnology &amp; Applied Microbiology</t>
  </si>
  <si>
    <t>EA1ET</t>
  </si>
  <si>
    <t>WOS:000386336000003</t>
  </si>
  <si>
    <t>Duncan, RA; Falloon, TJ; Quilty, PG; Coffin, MF</t>
  </si>
  <si>
    <t>Duncan, R. A.; Falloon, T. J.; Quilty, P. G.; Coffin, M. F.</t>
  </si>
  <si>
    <t>Widespread Neogene volcanism on Central Kerguelen Plateau, Southern Indian Ocean</t>
  </si>
  <si>
    <t>AUSTRALIAN JOURNAL OF EARTH SCIENCES</t>
  </si>
  <si>
    <t>age determinations; basalt compositions; ocean plateau; submarine volcanism; hotspot; plume incubation</t>
  </si>
  <si>
    <t>HEARD-ISLAND; CRUSTAL STRUCTURE; BROKEN RIDGE; FLOOD-BASALT; MANTLE; ARCHIPELAGO; PLUMES; LAVAS; MA; ANTARCTICA</t>
  </si>
  <si>
    <t>We report new age determinations and compositions for rocks from 18 dredge hauls collected from eight submarine areas across Central Kerguelen Plateau (CKP). Sea knolls and volcanic fields with multiple small cones were targeted over a approximate to 125 000 km(2) region that includes Heard and McDonald Islands. Large early Miocene (22-16 Ma) sea knolls rise from the western margin of the CKP and are part of a NNW-SSE line of volcanic centres that lie between iles Kerguelen and Heard and McDonald Islands. These are probably related to hotspot activity now underlying the Heard Island area. We see evidence of much younger activity (5 Ma to present) in volcanic fields to the north of, and up to 300 km NE of, Heard Island. Compositions include basanite, basalt and trachybasalt, which are broadly similar to plateau lava flows from nearby Ocean Drilling Program Site 1138, lower Miocene lavas at iles Kerguelen, dredged rocks from the early Miocene sea knolls, and Big Ben lavas from Heard Island. Geochemical data indicate decreasing fractions of mantle source melting with time. We propose that a broad region of the CKP became volcanically active in Neogene time owing to incubation of plume material at the base of the relatively stationary overlying plateau. The presence of pre-existing crustal faults gave access for melts from the Heard mantle plume to rise to the surface.</t>
  </si>
  <si>
    <t>[Duncan, R. A.] Oregon State Univ, Coll Earth Ocean &amp; Atmospher Sci, Corvallis, OR 97333 USA; [Falloon, T. J.; Quilty, P. G.; Coffin, M. F.] Univ Tasmania, Sch Phys Sci, Hobart, Tas 7001, Australia; [Falloon, T. J.; Quilty, P. G.; Coffin, M. F.] Univ Tasmania, Inst Marine &amp; Antarctic Studies, Hobart, Tas 7001, Australia</t>
  </si>
  <si>
    <t>Oregon State University; University of Tasmania; University of Tasmania</t>
  </si>
  <si>
    <t>Duncan, RA (corresponding author), Oregon State Univ, Coll Earth Ocean &amp; Atmospher Sci, Corvallis, OR 97333 USA.</t>
  </si>
  <si>
    <t>rduncan@coas.oregonstate.edu</t>
  </si>
  <si>
    <t>Falloon, Trevor John/J-2381-2019; Coffin, Millard F/H-4619-2011</t>
  </si>
  <si>
    <t>Coffin, Millard F/0000-0001-9960-0038; Falloon, Trevor/0000-0001-6528-9739</t>
  </si>
  <si>
    <t>Australian Research Council; Geoscience Australia</t>
  </si>
  <si>
    <t>Australian Research Council(Australian Research Council); Geoscience Australia</t>
  </si>
  <si>
    <t>The Australian Fisheries Management Authority (voyages SC26 and SC50 conducted for the Australian Antarctic Division) provided samples collected during two expeditions to CKP. Mr Richard Williams of the AAD alerted PQ to the existence of the samples and took steps to make them available for study. Jo Whittaker kindly provided Figures 1 and 2, and latest bathymetric data from the CKP. We thank Phil Robinson, Katie McGoldrick and Jay Thompson for their help with geochemical analyses. Dan Miggins provided assistance with age determinations. This research was supported by grants from the Australian Research Council and Geoscience Australia.</t>
  </si>
  <si>
    <t>0812-0099</t>
  </si>
  <si>
    <t>1440-0952</t>
  </si>
  <si>
    <t>AUST J EARTH SCI</t>
  </si>
  <si>
    <t>Aust. J. Earth Sci.</t>
  </si>
  <si>
    <t>10.1080/08120099.2016.1221857</t>
  </si>
  <si>
    <t>DY8HF</t>
  </si>
  <si>
    <t>WOS:000385369300002</t>
  </si>
  <si>
    <t>Abakumov, EV; Parnikoza, IY; Vlasov, DY; Lupachev, AV</t>
  </si>
  <si>
    <t>FrankKamenetskaya, OV; Panova, EG; Vlasov, DY</t>
  </si>
  <si>
    <t>Abakumov, Evgeniy V.; Parnikoza, Ivan Yu.; Vlasov, Dmitry Yu.; Lupachev, Alexey V.</t>
  </si>
  <si>
    <t>Biogenic-Abiogenic Interaction in Antarctic Ornithogenic Soils</t>
  </si>
  <si>
    <t>BIOGENIC-ABIOGENIC INTERACTIONS IN NATURAL AND ANTHROPOGENIC SYSTEMS</t>
  </si>
  <si>
    <t>5th International Symposium on Biogenic-Abiogenic Interactions in Natural and Anthropogenic Systems</t>
  </si>
  <si>
    <t>OCT 20-22, 2014</t>
  </si>
  <si>
    <t>Saint Petersburg, RUSSIA</t>
  </si>
  <si>
    <t>Antarctic soils; Biogenic-abiogenic interactions; Birds affect of soils; Organic material transportation; Ornithogenic material</t>
  </si>
  <si>
    <t>WEST ANTARCTICA; MARITIME ANTARCTICA; VEGETATION; BIOMASS</t>
  </si>
  <si>
    <t>In severe climatic and specific landscape conditions of Antarctica birds play an important role in transportation of organic matter of guano to the coastal landscapes. It has been shown that redistribution of guano components affects the speed of soil cover spatial development and formation of new polypedons of soils in environments, surrounding rookeries. Soils development is also affected by flying birds' transportation activity, while they transport the viable diasporas of plants, material of limpet shells, etc. This affects an initial or additional colonization of rocks being in distance from the coasts, sources of seed, and organic matter. Soils of Antarctica formed under effect of bird activity are the following: the most known typical ornithosols of the current penguin rockeries, post-Ornithosols, developed during post-Ornithogenic succession and organic lithosols formed in the areas of flying sea birds nesting and feeding areas due to limited nitrification and viable plant material and diasporas transportation.</t>
  </si>
  <si>
    <t>[Abakumov, Evgeniy V.; Vlasov, Dmitry Yu.] St Petersburg State Univ, Univ Skaya Emb 7-9, St Petersburg 199178, Russia; [Parnikoza, Ivan Yu.] Natl Acad Sci Ukraine, Inst Mol Biol &amp; Genet, 150 Zabolotnogo Str, UA-03680 Kyiev, Ukraine; [Lupachev, Alexey V.] Inst Biol &amp; Physicochem Problems Soil Sci, Pushchino, Russia</t>
  </si>
  <si>
    <t>Saint Petersburg State University; National Academy of Sciences Ukraine; Institute of Molecular Biology &amp; Genetics of NASU; Russian Academy of Sciences; Pushchino Scientific Center for Biological Research (PSCBI) of the Russian Academy of Sciences; Institute of Physicohemical &amp; Biological Problems of Soil Science</t>
  </si>
  <si>
    <t>Abakumov, EV (corresponding author), St Petersburg State Univ, Univ Skaya Emb 7-9, St Petersburg 199178, Russia.</t>
  </si>
  <si>
    <t>e_abakumov@mail.ru</t>
  </si>
  <si>
    <t>Parnikoza, Ivan/I-2398-2016; Abakumov, e_abakumov@mail.ru/ADJ-1297-2022; Abakumov, Evgeny/AAO-8580-2020; Lupachev, Alexey/J-6466-2018; Vlasov, Dmitry/J-8866-2013</t>
  </si>
  <si>
    <t>Abakumov, e_abakumov@mail.ru/0000-0002-5248-9018; Abakumov, Evgeny/0000-0002-5248-9018; Vlasov, Dmitry/0000-0002-0455-1462; Vlasov, Dmitry/0000-0001-9763-9078</t>
  </si>
  <si>
    <t>978-3-319-24987-2; 978-3-319-24985-8</t>
  </si>
  <si>
    <t>10.1007/978-3-319-24987-2_19</t>
  </si>
  <si>
    <t>Ecology; Geosciences, Multidisciplinary</t>
  </si>
  <si>
    <t>Environmental Sciences &amp; Ecology; Geology</t>
  </si>
  <si>
    <t>BF9NW</t>
  </si>
  <si>
    <t>WOS:000385789300020</t>
  </si>
  <si>
    <t>Xiong, XX; Angal, A; Butler, J; Cao, CY; Doelling, D; Wu, AS; Wu, XQ</t>
  </si>
  <si>
    <t>Xiong, XJ; Kuriakose, SA; Kimura, T</t>
  </si>
  <si>
    <t>Xiong, Xiaoxiong; Angal, Amit; Butler, James; Cao, Changyong; Doelling, David; Wu, Aisheng; Wu, Xiangqian</t>
  </si>
  <si>
    <t>Global Space-based Inter-Calibration System Reflective Solar Calibration Reference: From Aqua MODIS to S-NPP VIIRS</t>
  </si>
  <si>
    <t>EARTH OBSERVING MISSIONS AND SENSORS: DEVELOPMENT, IMPLEMENTATION, AND CHARACTERIZATION IV</t>
  </si>
  <si>
    <t>Conference on Earth Observing Missions and Sensors - Development, Implementation, and Characterization IV</t>
  </si>
  <si>
    <t>VIIRS; MODIS; calibration reference; calibration inter-comparison</t>
  </si>
  <si>
    <t>ON-ORBIT CALIBRATION; RADIOMETRIC CALIBRATION; PERFORMANCE</t>
  </si>
  <si>
    <t>The MODIS has successfully operated on-board the NASA's EOS Terra and Aqua spacecraft for more than 16 and 14 years, respectively. MODIS instrument was designed with stringent calibration requirements and comprehensive on-board calibration capability. In the reflective solar spectral region, Aqua MODIS has performed better than Terra MODIS and, therefore, has been chosen by the Global Space-based Inter'-Calibration System (GSICS) operational community as the calibration reference sensor in cross-sensor calibration and calibration inter-comparisons. For the same reason, it has also been used by a number of earth-observing sensors as their calibration reference. Considering that Aqua MODIS has already operated for nearly 14 years, it is essential to transfer its calibration to a follow-on reference sensor with a similar calibration capability and stable performance. The VIIRS is a follow-on instrument to MODIS and has many similar design features as MODIS, including their on-board calibrators (OBC). As a result, VIIRS is an ideal candidate to replace MODIS to serve as the future GSICS reference sensor. Since launch, the S-NPP VIIRS has already operated for more than 4 years and its overall performance has been extensively characterized and demonstrated to meet its overall design requirements. This paper provides an overview of Aqua MODIS and S-NPP VIIRS reflective solar bands (RSB) calibration methodologies and strategies, traceability, and their on-orbit performance. It describes and illustrates different methods and approaches that can be used to facilitate the calibration reference transfer, including the use of desert and Antarctic sites, deep convective clouds (DCC), and the lunar observations.</t>
  </si>
  <si>
    <t>[Xiong, Xiaoxiong; Butler, James] NASA GSFC, Sci &amp; Explorat Directorate, Greenbelt, MD 20771 USA; [Angal, Amit; Wu, Aisheng] Sci Syst &amp; Applicat Inc, 10210 Greenbelt Rd, Lanham, MD 20706 USA; [Cao, Changyong; Wu, Xiangqian] NOAA NESDIS, Ctr Satellite Applicat &amp; Res, College Pk, MD 20740 USA; [Doelling, David] NASA LaRC, Climate Sci Branch, Hampton, VA 23681 USA</t>
  </si>
  <si>
    <t>National Aeronautics &amp; Space Administration (NASA); NASA Goddard Space Flight Center; Science Systems and Applications Inc; National Oceanic Atmospheric Admin (NOAA) - USA; National Aeronautics &amp; Space Administration (NASA); NASA Langley Research Center</t>
  </si>
  <si>
    <t>Xiong, XX (corresponding author), NASA GSFC, Sci &amp; Explorat Directorate, Greenbelt, MD 20771 USA.</t>
  </si>
  <si>
    <t>Butler, James/D-4188-2013; Wu, Xiangqian/F-5634-2010; Richards, Amber/K-8203-2015; Cao, Changyong/F-5578-2010</t>
  </si>
  <si>
    <t>Cao, Changyong/0000-0003-3572-6525</t>
  </si>
  <si>
    <t>978-1-5106-0122-2</t>
  </si>
  <si>
    <t>98811D</t>
  </si>
  <si>
    <t>10.1117/12.2224320</t>
  </si>
  <si>
    <t>Engineering, Electrical &amp; Electronic; Remote Sensing; Optics; Imaging Science &amp; Photographic Technology</t>
  </si>
  <si>
    <t>Engineering; Remote Sensing; Optics; Imaging Science &amp; Photographic Technology</t>
  </si>
  <si>
    <t>BF9PH</t>
  </si>
  <si>
    <t>WOS:000385792900029</t>
  </si>
  <si>
    <t>Clement, S; Moore, SA; Lockwood, M</t>
  </si>
  <si>
    <t>Clement, Sarah; Moore, Susan A.; Lockwood, Michael</t>
  </si>
  <si>
    <t>Letting the managers manage: analyzing capacity to conserve biodiversity in a cross-border protected area network</t>
  </si>
  <si>
    <t>ECOLOGY AND SOCIETY</t>
  </si>
  <si>
    <t>adaptive governance; Australian Alps; biodiversity conservation; capacity; institutions; protected area management</t>
  </si>
  <si>
    <t>ADAPTIVE GOVERNANCE; SYSTEMS; INSTITUTIONS; PERFORMANCE; REFORM; FIRE</t>
  </si>
  <si>
    <t>Biodiversity loss is one of the most significant drivers of ecosystem change and is projected to continue at a rapid rate. While protected areas, such as national parks, are seen as important refuges for biodiversity, their effectiveness in stemming biodiversity decline has been questioned. Public agencies have a critical role in the governance of many such areas, but there are tensions between the need for these agencies to be more adaptive and their current operating environment. Our aim is to analyze how institutions enable or constrain capacity to conserve biodiversity in a globally significant cross-border network of protected areas, the Australian Alps. Using a novel conceptual framework for diagnosing biodiversity institutions, our research examined institutional adaptive capacity and more general capacity for conserving biodiversity. Several intertwined issues limit public agencies' capacity to fulfill their conservation responsibilities. Narrowly defined accountability measures constrain adaptive capacity and divert attention away from addressing key biodiversity outcomes. Implications for learning were also evident, with protected area agencies demonstrating successful learning for on-ground issues but less success in applying this learning to deeper policy change. Poor capacity to buffer political and community influences in managing significant cross-border drivers of biodiversity decline signals poor fit with the institutional context and has implications for functional fit. While cooperative federalism provides potential benefits for buffering through diversity, it also means protected area agencies have restricted authority to address cross-border threats. Restrictions on staff authority and discretion, as public servants, have further implications for deploying capacity. This analysis, particularly the possibility of fostering ambidexterity-creatively responding to political pressures in a way that also achieves a desirable outcome for biodiversity conservation-is one promising way of building capacity to buffer both political influences and ecological pressures. The findings and the supporting analysis provide insight into how institutional capacity to conserve biodiversity can be enhanced in protected areas in Australia and elsewhere, especially those governed by public agencies and/or multiple organizations and across jurisdictions.</t>
  </si>
  <si>
    <t>[Clement, Sarah] Univ Liverpool, Sch Environm Sci, Dept Geog &amp; Planning, Liverpool L69 3BX, Merseyside, England; [Moore, Susan A.] Murdoch Univ, Sch Vet &amp; Life Sci, Environm &amp; Conservat Sci, Murdoch, WA 6150, Australia; [Lockwood, Michael] Univ Tasmania, Sch Land &amp; Food, Geog &amp; Spatial Sci, Hobart, Tas 7001, Australia</t>
  </si>
  <si>
    <t>University of Liverpool; Murdoch University; University of Tasmania</t>
  </si>
  <si>
    <t>Clement, S (corresponding author), Univ Liverpool, Sch Environm Sci, Dept Geog &amp; Planning, Liverpool L69 3BX, Merseyside, England.</t>
  </si>
  <si>
    <t>Clement, Sarah/O-9997-2016</t>
  </si>
  <si>
    <t>Clement, Sarah/0000-0002-5422-622X</t>
  </si>
  <si>
    <t>Australian Government's National Environmental Research Program</t>
  </si>
  <si>
    <t>Australian Government's National Environmental Research Program(Australian Government)</t>
  </si>
  <si>
    <t>This research is an output from the Landscapes and Policy Research Hub. The hub is supported through funding from the Australian Government's National Environmental Research Program and involves researchers from the University of Tasmania (UTAS), the Australian National University (ANU), Murdoch University, the Antarctic Climate and Ecosystems Cooperative Research Centre (ACE CRC), Griffith University, and Charles Sturt University (CSU). We thank the interviewees for their time and expertise, and Gill Anderson for her contributions and support. We also benefited from the late Roger Good's generous sharing of his deep knowledge and insights on the Australian Alps. The paper was significantly improved through helpful suggestions from reviewers.</t>
  </si>
  <si>
    <t>RESILIENCE ALLIANCE</t>
  </si>
  <si>
    <t>WOLFVILLE</t>
  </si>
  <si>
    <t>ACADIA UNIV, BIOLOGY DEPT, WOLFVILLE, NS B0P 1X0, CANADA</t>
  </si>
  <si>
    <t>1708-3087</t>
  </si>
  <si>
    <t>ECOL SOC</t>
  </si>
  <si>
    <t>Ecol. Soc.</t>
  </si>
  <si>
    <t>10.5751/ES-08171-210339</t>
  </si>
  <si>
    <t>Ecology; Environmental Studies</t>
  </si>
  <si>
    <t>Environmental Sciences &amp; Ecology</t>
  </si>
  <si>
    <t>DZ3CB</t>
  </si>
  <si>
    <t>gold, Green Accepted, Green Published</t>
  </si>
  <si>
    <t>WOS:000385720400001</t>
  </si>
  <si>
    <t>Lin, S</t>
  </si>
  <si>
    <t>Lin, Shaun</t>
  </si>
  <si>
    <t>The Scramble for the Poles: The Geopolitics of the Arctic and the Antarctic</t>
  </si>
  <si>
    <t>GEOPOLITICS</t>
  </si>
  <si>
    <t>Book Review</t>
  </si>
  <si>
    <t>[Lin, Shaun] Univ Wollongong, Austr Natl Ctr Ocean Resources &amp; Secur ANCORS, Wollongong, NSW 2522, Australia</t>
  </si>
  <si>
    <t>University of Wollongong</t>
  </si>
  <si>
    <t>Lin, S (corresponding author), Univ Wollongong, Austr Natl Ctr Ocean Resources &amp; Secur ANCORS, Wollongong, NSW 2522, Australia.</t>
  </si>
  <si>
    <t>ROUTLEDGE JOURNALS, TAYLOR &amp; FRANCIS LTD</t>
  </si>
  <si>
    <t>2-4 PARK SQUARE, MILTON PARK, ABINGDON OX14 4RN, OXON, ENGLAND</t>
  </si>
  <si>
    <t>1465-0045</t>
  </si>
  <si>
    <t>1557-3028</t>
  </si>
  <si>
    <t>Geopolitics</t>
  </si>
  <si>
    <t>Geography; Political Science</t>
  </si>
  <si>
    <t>Geography; Government &amp; Law</t>
  </si>
  <si>
    <t>DZ1TH</t>
  </si>
  <si>
    <t>WOS:000385622700013</t>
  </si>
  <si>
    <t>Chen, J; Dong, SC; Jiang, FX; Zhang, HF; Wang, J</t>
  </si>
  <si>
    <t>Holland, AD; Beletic, J</t>
  </si>
  <si>
    <t>Chen, Jie; Dong, Shucheng; Jiang, Fengxin; Zhang, Hongfei; Wang, Jian</t>
  </si>
  <si>
    <t>Shutter Heating System of Antarctic Bright Star Survey Telescope</t>
  </si>
  <si>
    <t>HIGH ENERGY, OPTICAL, AND INFRARED DETECTORS FOR ASTRONOMY VII</t>
  </si>
  <si>
    <t>Conference on High Energy, Optical, and Infrared Detectors for Astronomy VII</t>
  </si>
  <si>
    <t>JUN 26-29, 2016</t>
  </si>
  <si>
    <t>thermal insulation design; shutter heating; temperature control; PID algorithm</t>
  </si>
  <si>
    <t>A heat preservation system for mechanical shutter in Antarctic is introduced in the paper. The system consists of the heat preservation chamber, the host controller STM32F103C8T6 with peripheral circuit and the control algorithm. The whole design is carried out on the basis of the low temperature requirement, including the cavity structure and thermal insulation. The heat preservation chamber is used to keep the shutter warm and support the weight of the camera. Using PT100 as the temperature sensor, the signal processing circuit converts the temperature to the voltage which is then digitized by the 12 bit ADC in the STM32. The host controller transforms the voltage data into temperature, and through the tuning of the Fussy PID algorithm which controls the duty cycle of the MOSFET, the temperature control of chamber is realized. The System has been tested in the cryogenic environment for a long time, with characteristic of low temperature resistance, small volume, high accuracy of temperature control as well as remote control and detection.</t>
  </si>
  <si>
    <t>[Chen, Jie; Dong, Shucheng; Jiang, Fengxin; Zhang, Hongfei; Wang, Jian] Univ Sci &amp; Technol China, Dept Modern Phys, State Key Lab Particle Detect &amp; Elect, Hefei 230026, Peoples R China</t>
  </si>
  <si>
    <t>Chinese Academy of Sciences; University of Science &amp; Technology of China, CAS</t>
  </si>
  <si>
    <t>Wang, J (corresponding author), Univ Sci &amp; Technol China, Dept Modern Phys, State Key Lab Particle Detect &amp; Elect, Hefei 230026, Peoples R China.</t>
  </si>
  <si>
    <t>wangjian@ustc.edu.cn</t>
  </si>
  <si>
    <t>WANG, Jian/B-8138-2013</t>
  </si>
  <si>
    <t>978-1-5106-0209-0; 978-1-5106-0210-6</t>
  </si>
  <si>
    <t>99151K</t>
  </si>
  <si>
    <t>10.1117/12.2228408</t>
  </si>
  <si>
    <t>Astronomy &amp; Astrophysics; Optics</t>
  </si>
  <si>
    <t>BF9PM</t>
  </si>
  <si>
    <t>WOS:000385793400046</t>
  </si>
  <si>
    <t>Zhang, HF; Wang, JM; Feng, Y; Lin, SZ; Chen, J; Wang, J</t>
  </si>
  <si>
    <t>Zhang, Hong-fei; Wang, Jian-min; Feng, Yi; Lin, Sheng-zhao; Chen, Jie; Wang, Jian</t>
  </si>
  <si>
    <t>Scientific CCD controller for the extreme environment at Antarctic</t>
  </si>
  <si>
    <t>Antarctic; low temperature; scientific CCD detector; controller; low noise; CDS</t>
  </si>
  <si>
    <t>A prototype of scientific CCD detector system is designed, implemented and tested for the extreme environment in Antarctic, including clocks and biases driver for CCD chip, video pre-amplifier, video sampling circuit and ultra-low noise power. The low temperature influence is fully considered in the electronics design. Low noise readout system with CCD47-20 is tested, and the readout noise is as low as 5e(-) when the CCD readout speed is 100kpixs/s. We simulated the extreme low temperature environment of Antarctic to test the system, and verified that the system has the ability of long-term working in the extreme low temperature environment as low as -80 degrees C.</t>
  </si>
  <si>
    <t>[Wang, Jian] Univ Sci &amp; Technol China, Dept Modern Phys, Hefei 230026, Peoples R China; Univ Sci &amp; Technol China, State Key Lab Particle Detect &amp; Elect, Hefei 230026, Peoples R China</t>
  </si>
  <si>
    <t>Chinese Academy of Sciences; University of Science &amp; Technology of China, CAS; Chinese Academy of Sciences; University of Science &amp; Technology of China, CAS</t>
  </si>
  <si>
    <t>Wang, J (corresponding author), Univ Sci &amp; Technol China, Dept Modern Phys, Hefei 230026, Peoples R China.</t>
  </si>
  <si>
    <t>wang, jian/GVS-0711-2022; lu, yuting/IIS-2826-2023; Jiang, Yalin/ITV-2565-2023; fang, yu/KCK-2014-2024; WANG, Jian/B-8138-2013</t>
  </si>
  <si>
    <t>Jiang, Yalin/0009-0003-3726-8828;</t>
  </si>
  <si>
    <t>99151L</t>
  </si>
  <si>
    <t>10.1117/12.2230756</t>
  </si>
  <si>
    <t>WOS:000385793400047</t>
  </si>
  <si>
    <t>Rankl, M; Braun, M</t>
  </si>
  <si>
    <t>Rankl, Melanie; Braun, Matthias</t>
  </si>
  <si>
    <t>Glacier elevation and mass changes over the central Karakoram region estimated from TanDEM-X and SRTM/X-SAR digital elevation models</t>
  </si>
  <si>
    <t>ANNALS OF GLACIOLOGY</t>
  </si>
  <si>
    <t>International Symposium on Glaciology in High Mountain Asia (HMA)</t>
  </si>
  <si>
    <t>MAR, 2015</t>
  </si>
  <si>
    <t>Kathmandu, NEPAL</t>
  </si>
  <si>
    <t>glacier mass balance; glacier surges; mountain glaciers; remote sensing</t>
  </si>
  <si>
    <t>ANTARCTIC PENINSULA; HIMALAYAN GLACIERS; ICE; INTERFEROMETRY; PENETRATION; RESOLUTION; BALANCES; SURGES; SNOW</t>
  </si>
  <si>
    <t>Snow cover and glaciers in the Karakoram region are important freshwater resources for many down-river communities as they provide water for irrigation and hydropower. A better understanding of current glacier changes is hence an important informational baseline. We present glacier elevation changes in the central Karakoram region using TanDEM-X and SRTM/X-SAR DEM differences between 2000 and 2012. We calculated elevation differences for glaciers with advancing and stable termini or surge-type glaciers separately using an inventory from a previous study. Glaciers with stable and advancing termini since the 1970s showed nearly balanced elevation changes of -0.09 +/- 0.12 m a(-1) on average or mass budgets of -0.01 +/- 0.02 Gt a(-1) (using a density of 850 kg m(-3)). Our findings are in accordance with previous studies indicating stable or only slightly negative glacier mass balances during recent years in the Karakoram. The high-resolution elevation changes revealed distinct patterns of mass relocation at glacier surfaces during active surge cycles. The formation of kinematic waves at quiescent surge-type glaciers could be observed and points towards future active surge behaviour. Our study reveals the potential of the TanDEM-X mission to estimate geodetic glacier mass balances, but also points to still existing uncertainties induced by the geodetic method.</t>
  </si>
  <si>
    <t>[Rankl, Melanie; Braun, Matthias] Univ Erlangen Nurnberg, Inst Geog, Erlangen, Germany</t>
  </si>
  <si>
    <t>University of Erlangen Nuremberg</t>
  </si>
  <si>
    <t>Rankl, M (corresponding author), Univ Erlangen Nurnberg, Inst Geog, Erlangen, Germany.</t>
  </si>
  <si>
    <t>melanie.rankl@fau.de</t>
  </si>
  <si>
    <t>Braun, Matthias H/S-4693-2016; Braun, Matthias/A-4968-2009</t>
  </si>
  <si>
    <t>Braun, Matthias/0000-0001-5169-1567</t>
  </si>
  <si>
    <t>0260-3055</t>
  </si>
  <si>
    <t>1727-5644</t>
  </si>
  <si>
    <t>ANN GLACIOL</t>
  </si>
  <si>
    <t>Ann. Glaciol.</t>
  </si>
  <si>
    <t>10.3189/2016AoG71A024</t>
  </si>
  <si>
    <t>DY1YY</t>
  </si>
  <si>
    <t>WOS:000384891500028</t>
  </si>
  <si>
    <t>Decombeix, AL; Taylor, EL; Taylor, TN</t>
  </si>
  <si>
    <t>Decombeix, Anne-Laure; Taylor, Edith L.; Taylor, Thomas N.</t>
  </si>
  <si>
    <t>BARK ANATOMY OF LATE PERMIAN GLOSSOPTERID TREES FROM ANTARCTICA</t>
  </si>
  <si>
    <t>IAWA JOURNAL</t>
  </si>
  <si>
    <t>Paleobotany; Paleozoic; high latitude; Glossopteridales; secondary xylem; secondary phloem; rhytidome</t>
  </si>
  <si>
    <t>CENTRAL TRANSANTARCTIC MOUNTAINS; PRESERVED SECONDARY PHLOEM; POLAR FOREST; GONDWANA; VERTEBRARIA; GYMNOSPERM; CONIFER; GROWTH; LEAVES; FUNGI</t>
  </si>
  <si>
    <t>The Glossopteridales are an extinct group of seed plants that dominated Gondwanan floras during the Permian. Their remains are found across a wide range of habitats and paleolatitudes, and it is particularly interesting to understand the anatomical characteristics that might have enabled such an extensive distribution. Here, we document for the first time the bark anatomy of high-latitude glossopteridalean trees using peels and thin sections made from a Late Permian trunk from Skaar Ridge, Antarctica. The bark is 3 cm thick. The secondary phloem is composed of sieve cells, axial and ray parenchyma, and fibers arranged in discontinuous unicellular tangential layers. The outer bark is a rhytidome, with numerous alternating layers of periderm and non-conducting secondary phloem showing some proliferation of the axial parenchyma. Successive periderms mostly run parallel to the cambium, with some longitudinal undulation and rare connections between two periderms. A similar anatomy was observed in bark fragments found isolated in the matrix or closely associated with large glossopterid stems or roots. The anatomy of the Skaar Ridge specimens shows that Antarctic Glossopteridales had a relatively thick, probably stringy bark. The retention of a significant amount of insulating dead bark tissue on the trunk likely provided protection of the cambium, conducting secondary phloem, and potential latent buds against biotic and abiotic environmental hazards (fire, frost, scalding, insects, etc.) and may have contributed to the extensive paleolatitudinal distribution of the Glossopteridales during the Permian.</t>
  </si>
  <si>
    <t>[Decombeix, Anne-Laure] CNRS, F-34000 Montpellier, France; [Decombeix, Anne-Laure] Univ Montpellier 2, UMR AMAP, F-34000 Montpellier, France; [Taylor, Edith L.; Taylor, Thomas N.] Univ Kansas, Dept Ecol &amp; Evolutionary Biol, Lawrence, KS 66045 USA; [Taylor, Edith L.; Taylor, Thomas N.] Univ Kansas, Nat Hist Museum, Lawrence, KS 66045 USA; [Taylor, Edith L.; Taylor, Thomas N.] Univ Kansas, Biodivers Inst, Lawrence, KS 66045 USA</t>
  </si>
  <si>
    <t>Centre National de la Recherche Scientifique (CNRS); CIRAD; Centre National de la Recherche Scientifique (CNRS); Institut de Recherche pour le Developpement (IRD); Universite de Montpellier; University of Kansas; University of Kansas; University of Kansas</t>
  </si>
  <si>
    <t>Decombeix, AL (corresponding author), CNRS, F-34000 Montpellier, France.;Decombeix, AL (corresponding author), Univ Montpellier 2, UMR AMAP, F-34000 Montpellier, France.</t>
  </si>
  <si>
    <t>anne-laure.decombeix@cirad.fr</t>
  </si>
  <si>
    <t>Decombeix, Anne-Laure/H-3710-2013</t>
  </si>
  <si>
    <t>Decombeix, Anne-Laure/0000-0002-6348-0086</t>
  </si>
  <si>
    <t>BRILL</t>
  </si>
  <si>
    <t>LEIDEN</t>
  </si>
  <si>
    <t>PLANTIJNSTRAAT 2, P O BOX 9000, 2300 PA LEIDEN, NETHERLANDS</t>
  </si>
  <si>
    <t>0928-1541</t>
  </si>
  <si>
    <t>2294-1932</t>
  </si>
  <si>
    <t>IAWA J</t>
  </si>
  <si>
    <t>IAWA J.</t>
  </si>
  <si>
    <t>10.1163/22941932-20160146</t>
  </si>
  <si>
    <t>Forestry</t>
  </si>
  <si>
    <t>DY2DD</t>
  </si>
  <si>
    <t>Green Submitted, Bronze</t>
  </si>
  <si>
    <t>WOS:000384902400007</t>
  </si>
  <si>
    <t>van der Wurff, ISM; von Schacky, C; Berge, K; Kirschner, PA; de Groot, RHM</t>
  </si>
  <si>
    <t>van der Wurff, I. S. M.; von Schacky, C.; Berge, K.; Kirschner, P. A.; de Groot, R. H. M.</t>
  </si>
  <si>
    <t>A protocol for a randomised controlled trial investigating the effect of increasing Omega-3 index with krill oil supplementation on learning, cognition, behaviour and visual processing in typically developing adolescents</t>
  </si>
  <si>
    <t>BMJ OPEN</t>
  </si>
  <si>
    <t>MAPPING BRAIN MATURATION; SELF-ESTEEM SCALE; FATTY-ACIDS; FISH-OIL; DOCOSAHEXAENOIC ACID; MENTAL-HEALTH; EICOSAPENTAENOIC ACID; MOTIVATED STRATEGIES; SLEEP; CONSUMPTION</t>
  </si>
  <si>
    <t>Introduction: The influence of n-3 long-chain polyunsaturated fatty acids (LCPUFA) supplementation on brain functioning is debated. Some studies have found positive effects on cognition in children with learning difficulties, elderly people with cognitive impairment and depression scores in depressed individuals. Other studies have found null or negative effects. Observational studies in adolescents have found positive associations between fish consumption (containing n-3 LCPUFAs) and academic achievement. However, intervention studies in typically developing adolescents are missing. Objective: The goal of this study is to determine the influence of increasing Omega-3 Index on cognitive functioning, academic achievement and mental wellbeing of typically developing adolescents. Methods and data analysis: Double-blind, randomised, placebo controlled intervention; 264 adolescents (age 13-15 years) attending lower general secondary education started daily supplementation of 400 mg eicosapentaenoic acid and docosahexaenoic acid (EPA+DHA) in cohort I (n=130) and 800 mg EPA+DHA in cohort II (n=134) or a placebo for 52 weeks. Recruitment took place according to a low Omega-3 Index (&lt;5%). The Omega-3 Index was monitored via a finger prick at baseline and after 3, 6 and 12 months. The supplement dose was adjusted after 3 months (placebo analogously) to reach an Omega-3 Index of 8-11%. At baseline, 6 and 12 months, a neuropsychological test battery, a number of questionnaires and a standardised math test (baseline and 12 months) were administered. School grades were collected. In a subsample, sleep quality and quantity data (n=64) and/or eye-tracking data (n=33) were collected. Ethics and dissemination: Food2Learn is performed according to Good Clinical Practice. All data collected are linked to participant number only. The results will be disseminated on group level to participants and schools. The results will be presented at conferences and published in peer-reviewed journals. The study is approved by the Medical Ethical Committee of Atrium-Orbis-Zuyd Hospital and is registered at the Netherlands Trial Register (NTR4082).</t>
  </si>
  <si>
    <t>[van der Wurff, I. S. M.; Kirschner, P. A.; de Groot, R. H. M.] Open Univ Netherlands, Res Ctr Learning Teaching &amp; Technol, Welten Inst, Heerlen, Netherlands; [von Schacky, C.] Omegametrix, Martinsried, Germany; [von Schacky, C.] Univ Munich, Med Clin &amp; Policlin 1, Prevent Cardiol, Munich, Germany; [Berge, K.] Aker BioMarine Antarctic AS, Lysaker, Norway; [de Groot, R. H. M.] Maastricht Univ, NUTRIM Sch Nutr &amp; Translat Res Metab, Maastricht, Netherlands</t>
  </si>
  <si>
    <t>Open University Netherlands; University of Munich; Maastricht University; Maastricht University Medical Centre (MUMC)</t>
  </si>
  <si>
    <t>van der Wurff, ISM (corresponding author), Open Univ Netherlands, Res Ctr Learning Teaching &amp; Technol, Welten Inst, Heerlen, Netherlands.</t>
  </si>
  <si>
    <t>inge.vanderwurff@ou.nl</t>
  </si>
  <si>
    <t>Kirschner, Paul/KBC-4463-2024</t>
  </si>
  <si>
    <t>Kirschner, Paul A./0000-0002-8743-0462</t>
  </si>
  <si>
    <t>Food, Cognition and Behaviour from the Dutch Scientific Organisation [057-13-002]; Aker Biomarine (Norway); Omegametrix (Germany)</t>
  </si>
  <si>
    <t>Food, Cognition and Behaviour from the Dutch Scientific Organisation; Aker Biomarine (Norway); Omegametrix (Germany)</t>
  </si>
  <si>
    <t>The study is funded by the grant Food, Cognition and Behaviour from the Dutch Scientific Organisation (grant number 057-13-002), Aker Biomarine (Norway) who provides the krill and placebo capsules, and Omegametrix (Germany) who is responsible for the blood analyses.</t>
  </si>
  <si>
    <t>BMJ PUBLISHING GROUP</t>
  </si>
  <si>
    <t>BRITISH MED ASSOC HOUSE, TAVISTOCK SQUARE, LONDON WC1H 9JR, ENGLAND</t>
  </si>
  <si>
    <t>2044-6055</t>
  </si>
  <si>
    <t>BMJ Open</t>
  </si>
  <si>
    <t>e011790</t>
  </si>
  <si>
    <t>10.1136/bmjopen-2016-011790</t>
  </si>
  <si>
    <t>Medicine, General &amp; Internal</t>
  </si>
  <si>
    <t>General &amp; Internal Medicine</t>
  </si>
  <si>
    <t>DU5LB</t>
  </si>
  <si>
    <t>WOS:000382252100130</t>
  </si>
  <si>
    <t>Labonne, J; Kaeuffer, R; Guéraud, F; Zhou, MS; Manicki, A; Hendry, AP</t>
  </si>
  <si>
    <t>Labonne, Jacques; Kaeuffer, Renaud; Gueraud, Franois; Zhou, Mingsha; Manicki, Aurelie; Hendry, Andrew P.</t>
  </si>
  <si>
    <t>From the bare minimum: genetics and selection in populations founded by only a few parents</t>
  </si>
  <si>
    <t>EVOLUTIONARY ECOLOGY RESEARCH</t>
  </si>
  <si>
    <t>genetic variation; heterozygosity; inbreeding; invasion; small population</t>
  </si>
  <si>
    <t>HETEROZYGOSITY-FITNESS CORRELATIONS; SALMON SALMO-SALAR; BROWN TROUT; INBREEDING DEPRESSION; REPRODUCTIVE SUCCESS; RANGE EXPANSION; DIVERSITY; TRUTTA; DIFFERENTIATION; CONSEQUENCES</t>
  </si>
  <si>
    <t>Question: Genetic variation is expected to control the fate of populations colonizing new environments, because the amount and nature of this variation influences adaptation. Thus, it is generally expected that the ability of populations to colonize new environments is severely compromised if the number of founding individuals is very few. Organisms: Brown trout (Salmo trutta) are native to the northern hemisphere, but have been widely introduced globally, including into the southern hemisphere. Times and places: We analysed two isolated populations of brown trout introduced in 1993 to the remote Kerguelen Islands in the sub-Antarctic region, each population being founded with the offspring of only a single mother, and with either only one or two fathers. Methods: Scale samples were collected in 2003 and 2010 and analysed using a set of 16 microsatellite markers. These data were used to calculate individual homozygosity level and variance in inbreeding. The association between age (estimated through scale reading) and homozygosity level was used to assess the potential consequences of low genetic variation for individual survival. Results: The two populations represented different outcomes. In one population, variance in inbreeding was high and a clear heterozygosity-fitness correlation (HFC) was evident: older individuals were less homozygous than younger individuals. Consistent with these results, homozygosity level in this population decreased from 2003 to 2010. In the other population, variance in inbreeding was low, no consistent HFC was detected, and no decline in homozygosity level was evident from 2003 to 2010. Low genetic variation and severe initial bottlenecks through founding effects did not prevent the establishment and success of these populations, one of which appears to be actively purging inbred individuals.</t>
  </si>
  <si>
    <t>[Labonne, Jacques; Gueraud, Franois; Manicki, Aurelie] INRA, UMR 1224, Ecol Comportementale &amp; Biol Populat Poissons, F-64310 St Pee Sur Nivelle, France; [Kaeuffer, Renaud; Zhou, Mingsha; Hendry, Andrew P.] McGill Univ, Redpath Museum, Montreal, PQ, Canada; [Kaeuffer, Renaud; Zhou, Mingsha; Hendry, Andrew P.] McGill Univ, Dept Biol, Montreal, PQ, Canada</t>
  </si>
  <si>
    <t>Universite de Pau et des Pays de l'Adour; INRAE; McGill University; McGill University</t>
  </si>
  <si>
    <t>Labonne, J (corresponding author), INRA, UMR 1224, Ecol Comportementale &amp; Biol Populat Poissons, F-64310 St Pee Sur Nivelle, France.</t>
  </si>
  <si>
    <t>labonne@st-pee.inra.fr</t>
  </si>
  <si>
    <t>Hendry, Andrew/C-5765-2008</t>
  </si>
  <si>
    <t>Labonne, Jacques/0000-0001-5953-3029</t>
  </si>
  <si>
    <t>French Polar Institute (IPEV); Institut national de la recherche agronomique (INRA)</t>
  </si>
  <si>
    <t>This study was funded by the French Polar Institute (IPEV) and Institut national de la recherche agronomique (INRA). Full logistic support was provided by IPEV. We thank the many people that helped us during field sampling in the Kerguelen Islands.</t>
  </si>
  <si>
    <t>EVOLUTIONARY ECOLOGY LTD</t>
  </si>
  <si>
    <t>TUCSON</t>
  </si>
  <si>
    <t>UNIV ARIZONA, 321 BIOSCIENCES WEST, TUCSON, AZ 85721 USA</t>
  </si>
  <si>
    <t>1522-0613</t>
  </si>
  <si>
    <t>1937-3791</t>
  </si>
  <si>
    <t>EVOL ECOL RES</t>
  </si>
  <si>
    <t>Evol. Ecol. Res.</t>
  </si>
  <si>
    <t>Ecology; Evolutionary Biology; Genetics &amp; Heredity</t>
  </si>
  <si>
    <t>Environmental Sciences &amp; Ecology; Evolutionary Biology; Genetics &amp; Heredity</t>
  </si>
  <si>
    <t>DY0RH</t>
  </si>
  <si>
    <t>WOS:000384803400002</t>
  </si>
  <si>
    <t>Rigby, CL; Daley, RK; Simpfendorfer, CA</t>
  </si>
  <si>
    <t>Rigby, Cassandra L.; Daley, Ross K.; Simpfendorfer, Colin A.</t>
  </si>
  <si>
    <t>Comparison of life histories of two deep-water sharks from eastern Australia: the piked spurdog and the Philippine spurdog</t>
  </si>
  <si>
    <t>MARINE AND FRESHWATER RESEARCH</t>
  </si>
  <si>
    <t>age; growth; reproduction</t>
  </si>
  <si>
    <t>BYCATCH REDUCTION DEVICES; DOGFISH SQUALUS-ACANTHIAS; TURTLE EXCLUDER DEVICES; SHORTNOSE SPINY DOGFISH; GREAT-BARRIER-REEF; LANTERN SHARK; DORSAL-SPINE; REPRODUCTIVE PARAMETERS; POPULATION-STRUCTURE; AGE-DETERMINATION</t>
  </si>
  <si>
    <t>Deep-water sharks have low biological productivity and are vulnerable to exploitation with species-specific regional life history required to enable effective management. The present study describes the life history of two squalids collected from Australia: (1) the piked spurdog (Squalus megalops) from the tropical Great Barrier Reef; and (2) the Philippine spurdog (S. montalbani) from New South Wales. Maximum observed ages for males and females were 18 and 25 years for S. megalops and 28 and 27 years for S. montalbani. Multiple growth models were all well supported and indicated very slow growth rates for both species. The tropical S. megalops population was smaller and older at maturity than previously reported temperate populations. Males were mature at 352-mm stretched total length (L-ST) and 12.6 years, whereas females were mature at 422mm L-ST and 19.1 years. Squalus montalbani males were mature at 700mm L-ST and 21.8 years, whereas females were mature at 800mm L-ST and 26 years. Fecundity was lower for S. megalops than S. montalbani with two to three compared with nine to 16 embryos. Both species have a conservative life history, although in the event of overfishing the longer-lived, later-maturing and deeper-dwelling S. montalbani is likely to take longer to recover than S. megalops.</t>
  </si>
  <si>
    <t>[Rigby, Cassandra L.; Simpfendorfer, Colin A.] James Cook Univ, Ctr Sustainable Trop Fisheries &amp; Aquaculture, Townsville, Qld 4811, Australia; [Rigby, Cassandra L.; Simpfendorfer, Colin A.] James Cook Univ, Sch Earth &amp; Environm Sci, Townsville, Qld 4811, Australia; [Daley, Ross K.] Univ Tasmania, Inst Marine &amp; Antarctic Studies, Private Bag 129, Hobart, Tas 7001, Australia</t>
  </si>
  <si>
    <t>James Cook University; James Cook University; University of Tasmania</t>
  </si>
  <si>
    <t>Rigby, CL (corresponding author), James Cook Univ, Ctr Sustainable Trop Fisheries &amp; Aquaculture, Townsville, Qld 4811, Australia.;Rigby, CL (corresponding author), James Cook Univ, Sch Earth &amp; Environm Sci, Townsville, Qld 4811, Australia.</t>
  </si>
  <si>
    <t>cassandra.rigby@my.jcu.edu.au</t>
  </si>
  <si>
    <t>Simpfendorfer, Colin A/G-9681-2011</t>
  </si>
  <si>
    <t>CSIRO Wealth from Oceans Flagship and Fisheries Research Development Corporation; Australian Postgraduate Award; Oceania Chondrichthyan Society and Passions of Paradise; Australian Government through the National Collaborative Research Infrastructure Strategy; Super Science Initiative</t>
  </si>
  <si>
    <t>CSIRO Wealth from Oceans Flagship and Fisheries Research Development Corporation; Australian Postgraduate Award(Australian Government); Oceania Chondrichthyan Society and Passions of Paradise; Australian Government through the National Collaborative Research Infrastructure Strategy(Australian GovernmentDepartment of Industry, Innovation and Science); Super Science Initiative</t>
  </si>
  <si>
    <t>The authors thank Ken Graham of the Australian Museum for providing the S. montalbani samples and data from a CSIRO Wealth from Oceans Flagship and Fisheries Research Development Corporation-funded survey. Thanks to Steve Murphy for allowing the first author onboard his company's vessels; without his and the fishers' cooperation, the S. megalops samples could not have been collected. Thanks also to Jonathan Smart for the valuable statistical advice and Cassandra Peters for the independent age reads. The first author was supported by an Australian Postgraduate Award, and the Oceania Chondrichthyan Society and Passions of Paradise provided funding via a Student Research Award. Water temperature data were sourced from the Integrated Marine Observing System (IMOS 2015); IMOS is supported by the Australian Government through the National Collaborative Research Infrastructure Strategy and the Super Science Initiative.</t>
  </si>
  <si>
    <t>1323-1650</t>
  </si>
  <si>
    <t>1448-6059</t>
  </si>
  <si>
    <t>MAR FRESHWATER RES</t>
  </si>
  <si>
    <t>Mar. Freshw. Res.</t>
  </si>
  <si>
    <t>10.1071/MF15176</t>
  </si>
  <si>
    <t>Fisheries; Limnology; Marine &amp; Freshwater Biology; Oceanography</t>
  </si>
  <si>
    <t>Fisheries; Marine &amp; Freshwater Biology; Oceanography</t>
  </si>
  <si>
    <t>DX5WP</t>
  </si>
  <si>
    <t>WOS:000384453700014</t>
  </si>
  <si>
    <t>Hrbácek, F; Oliva, M; Láska, K; Ruiz-Fernández, J; de Pablo, MA; Vieira, G; Ramos, M; Nyvlt, D</t>
  </si>
  <si>
    <t>Hrbacek, F.; Oliva, M.; Laska, K.; Ruiz-Fernandez, J.; de Pablo, M. A.; Vieira, G.; Ramos, M.; Nyvlt, D.</t>
  </si>
  <si>
    <t>ACTIVE LAYER THERMAL REGIME IN TWO CLIMATICALLY CONTRASTED SITES OF THE ANTARCTIC PENINSULA REGION</t>
  </si>
  <si>
    <t>CUADERNOS DE INVESTIGACION GEOGRAFICA</t>
  </si>
  <si>
    <t>Antarctic Peninsula; James Ross Island; Livingston Island; active layer; air and ground temperatures</t>
  </si>
  <si>
    <t>JAMES-ROSS-ISLAND; SOUTH-SHETLAND ISLANDS; LIVINGSTON ISLAND; BYERS PENINSULA; MARITIME ANTARCTICA; PERMAFROST; DYNAMICS; DEGLACIATION; VARIABILITY; THICKNESS</t>
  </si>
  <si>
    <t>Permafrost controls geomorphic processes in ice-free areas of the Antarctic Peninsula (AP) region. Future climate trends will promote significant changes of the active layer regime and permafrost distribution, and therefore a better characterization of present-day state is needed. With this purpose, this research focuses on Ulu Peninsula (James Ross Island) and Byers Peninsula (Livingston Island), located in the area of continuous and discontinuous permafrost in the eastern and western sides of the AP, respectively. Air and ground temperatures in as low as 80 cm below surface of the ground were monitored between January and December 2014. There is a high correlation between air temperatures on both sites (r=0.74). The mean annual temperature in Ulu Peninsula was -7.9 degrees C, while in Byers Peninsula was -2.6 degrees C. The lower air temperatures in Ulu Peninsula are also reflected in ground temperatures, which were between 4.9 (5 cm) and 5.9 degrees C (75/80 cm) lower. The maximum active layer thickness observed during the study period was 52 cm in Ulu Peninsula and 85 cm in Byers Peninsula. Besides climate, soil characteristics, topography and snow cover are the main factors controlling the ground thermal regime in both areas.</t>
  </si>
  <si>
    <t>[Hrbacek, F.; Nyvlt, D.] Masaryk Univ, Dept Geog, Brno, Czech Republic; [Oliva, M.; Laska, K.; Vieira, G.] Univ Lisbon, Ctr Geog Studies IGOT, Alameda Univ, P-1600214 Lisbon, Portugal; [Ruiz-Fernandez, J.] Univ Oviedo, Dept Geog, Oviedo, Spain; [de Pablo, M. A.] Univ Alcala De Henares, Dept Geol Geog &amp; Environm, Madrid, Spain; [Ramos, M.] Univ Alcala De Henares, Dept Math &amp; Phys, Madrid, Spain</t>
  </si>
  <si>
    <t>Masaryk University Brno; Universidade de Lisboa; University of Oviedo; Universidad de Alcala; Universidad de Alcala</t>
  </si>
  <si>
    <t>Oliva, M (corresponding author), Univ Lisbon, Ctr Geog Studies IGOT, Alameda Univ, P-1600214 Lisbon, Portugal.</t>
  </si>
  <si>
    <t>oliva_marc@yahoo.com</t>
  </si>
  <si>
    <t>Vieira, Goncalo/G-5958-2010; Ramos, Miguel/K-2230-2014; Laska, Kamil/L-7875-2013; Hrbacek, Filip/ABG-4319-2020; De Pablo, Miguel Ángel/J-6442-2014; Nyvlt, Daniel/J-6504-2019; Oliva, Marc/K-5423-2014</t>
  </si>
  <si>
    <t>Vieira, Goncalo/0000-0001-7611-3464; Ramos, Miguel/0000-0003-3648-6818; Laska, Kamil/0000-0002-5199-9737; Hrbacek, Filip/0000-0001-5032-9216; De Pablo, Miguel Ángel/0000-0002-4496-2741; Nyvlt, Daniel/0000-0002-6876-490X; Oliva, Marc/0000-0001-6521-6388</t>
  </si>
  <si>
    <t>UNIV RIOJA, SERV PUBLICACIONES</t>
  </si>
  <si>
    <t>LA RIOJA</t>
  </si>
  <si>
    <t>C/ PISCINAS S/N, LOGRONO, LA RIOJA, 26004, SPAIN</t>
  </si>
  <si>
    <t>0211-6820</t>
  </si>
  <si>
    <t>1697-9540</t>
  </si>
  <si>
    <t>CUAD INVESTIG GEOGR</t>
  </si>
  <si>
    <t>Cuad. Investig. Geogr.</t>
  </si>
  <si>
    <t>10.18172/cig.2915</t>
  </si>
  <si>
    <t>DX2UH</t>
  </si>
  <si>
    <t>WOS:000384226300009</t>
  </si>
  <si>
    <t>de Pablo, MA; Ramos, M; Molina, A; Vieira, G; Hidalgo, MA; Prieto, M; Jiménez, JJ; Fernández, S; Recondo, C; Calleja, JF; Peón, JJ; Mora, C</t>
  </si>
  <si>
    <t>de Pablo, M. A.; Ramos, M.; Molina, A.; Vieira, G.; Hidalgo, M. A.; Prieto, M.; Jimenez, J. J.; Fernandez, S.; Recondo, C.; Calleja, J. F.; Peon, J. J.; Mora, C.</t>
  </si>
  <si>
    <t>FROZEN GROUND AND SNOW COVER MONITORING IN THE SOUTH SHETLAND ISLANDS, ANTARCTICA: INSTRUMENTATION, EFFECTS ON GROUND THERMAL BEHAVIOR AND FUTURE RESEARCH</t>
  </si>
  <si>
    <t>permafrost; active layer; snow cover; Antarctica</t>
  </si>
  <si>
    <t>ACTIVE-LAYER; LIVINGSTON ISLAND; BYERS PENINSULA; CLIMATE-CHANGE; PERMAFROST; REGIME; TEMPERATURE; VARIABILITY; EMISSION; SITES</t>
  </si>
  <si>
    <t>The study of the thermal behavior of permafrost and active layer on the South Shetland Islands, in the western side of the Antarctic Peninsula (Antarctica), has been our research topic since 1991, especially after 2006 when we established different active layer thickness and ground thermal monitoring sites of the CALM and GTN-P international networks of the International Permafrost Association. Along this period, the snow cover thickness did not change at those sites, but since 2010, we observed an elongation on the snow cover duration, with similar snow onset, but a delay on the snow offset. Due to the important effects of snow cover on the ground thermal behavior, we started in late 2015 a new research project (PERMASNOW) focused on the accurate monitoring of the snow cover (duration, density, snow water equivalent and distribution), from very different approaches, including new instrumentation, pictures analysis and remote sensing on optical and radar bands. Also, this interdisciplinary and international research team intends to compare the snow cover and ground thermal behavior with other monitoring sites in the Eastern Antarctic Peninsula where the snow cover is minimum and remains approximately constant.</t>
  </si>
  <si>
    <t>[de Pablo, M. A.; Molina, A.] Univ Alcala, Dept Geol Geog &amp; Environm, Madrid, Spain; [Ramos, M.; Hidalgo, M. A.; Jimenez, J. J.] Univ Alcala, Dept Math &amp; Phys, Madrid, Spain; [Vieira, G.; Mora, C.] Univ Lisbon, Ctr Estudos Geog IGOT, P-1699 Lisbon, Portugal; [Prieto, M.] Univ Alcala, Dept Automat, Madrid, Spain; [Fernandez, S.] Univ Oviedo, Dept Geol, Oviedo, Spain; [Recondo, C.; Peon, J. J.] Univ Oviedo, Dept Min Exploitat &amp; Prospecting, Oviedo, Spain; [Calleja, J. F.] Univ Oviedo, Dept Phys, Oviedo, Spain</t>
  </si>
  <si>
    <t>Universidad de Alcala; Universidad de Alcala; Universidade de Lisboa; Universidad de Alcala; University of Oviedo; University of Oviedo; University of Oviedo</t>
  </si>
  <si>
    <t>de Pablo, MA (corresponding author), Univ Alcala, Dept Geol Geog &amp; Medio Ambiente, Edificio Ciencias,Campus Cient Tecnol, Madrid 28871, Spain.</t>
  </si>
  <si>
    <t>miguelangel.depablo@uah.es</t>
  </si>
  <si>
    <t>Mora, Carla/D-2706-2012; Ramos, Miguel/K-2230-2014; Fernandez, Susana/IUQ-3116-2023; Calleja, Javier/K-8230-2014; De Pablo, Miguel Ángel/J-6442-2014; Vieira, Goncalo/G-5958-2010; Prieto, Manuel/K-8822-2014; Recondo, Carmen/B-1215-2012; Molina, Antonio/AAE-1314-2020; Peón, Juanjo/K-1637-2014; Fernandez, Susana/K-7969-2014</t>
  </si>
  <si>
    <t>Mora, Carla/0000-0002-0843-3658; Ramos, Miguel/0000-0003-3648-6818; Calleja, Javier/0000-0003-0536-9934; De Pablo, Miguel Ángel/0000-0002-4496-2741; Vieira, Goncalo/0000-0001-7611-3464; Prieto, Manuel/0000-0003-3050-3445; Recondo, Carmen/0000-0001-9813-6798; Molina, Antonio/0000-0002-5038-2022; Peón, Juanjo/0000-0001-7551-2236; Fernandez, Susana/0000-0001-8267-0371</t>
  </si>
  <si>
    <t>10.18172/cig.2917</t>
  </si>
  <si>
    <t>WOS:000384226300010</t>
  </si>
  <si>
    <t>Mendoza, KV; Albornoz, CC</t>
  </si>
  <si>
    <t>Vsquez Mendoza, Karen; Cabrera Albornoz, Camilo</t>
  </si>
  <si>
    <t>ROBERT FALCON SCOTT AND GEOGRAPHIC SOUTH POLE EXPEDITION, 1910-1913. VIEW FROM FOUR NATIONAL NEWSPAPERS AND TWO MAGAZINES</t>
  </si>
  <si>
    <t>REVISTA ESTUDIOS HEMISFERICOS Y POLARES</t>
  </si>
  <si>
    <t>Antarctica; Expedition; Polar Race; Geographic South Pole</t>
  </si>
  <si>
    <t>The following piece of historic research has the goal of approaching the context surrounding the Antarctic at the beginning of the 20th century, with a focus on captain Robert Falcon Scott's expedition and his intention to reach the geographical South Pole in the framework of the race to the pole. Finally, a press coverage analysis of this British expedition is made by studying newspapers (La Union of Valparaiso, El Mercurio of Santiago, El Comercio and El Magallanes of Punta Arenas) and magazines (Zig-Zag of Santiago and Sucesos of Valparaiso) in order to discover within them the different views in relation to the topic.</t>
  </si>
  <si>
    <t>[Vsquez Mendoza, Karen; Cabrera Albornoz, Camilo] Univ Playa Ancha, Valparaiso, Chile</t>
  </si>
  <si>
    <t>Universidad de Playa Ancha</t>
  </si>
  <si>
    <t>Mendoza, KV; Albornoz, CC (corresponding author), Univ Playa Ancha, Fac Humanidades, Dept Disciplinario Hist, Ave Playa Ancha 850, Valparaiso, Chile.</t>
  </si>
  <si>
    <t>karen.vasquez.26@gmail.com; camilocabrera2011@gmail.com</t>
  </si>
  <si>
    <t>CENTRO ESTUDIOS HEMISFERICOS &amp; POLARES</t>
  </si>
  <si>
    <t>VINA DEL MAR</t>
  </si>
  <si>
    <t>CALLE ROMA, 116, CALETA ABARCA, VINA DEL MAR, 2580060, CHILE</t>
  </si>
  <si>
    <t>0718-9230</t>
  </si>
  <si>
    <t>REV ESTUD HEMISFERIC</t>
  </si>
  <si>
    <t>Rev. Estud. Hemisfericos Polares</t>
  </si>
  <si>
    <t>Area Studies</t>
  </si>
  <si>
    <t>DV5QU</t>
  </si>
  <si>
    <t>WOS:000382983500001</t>
  </si>
  <si>
    <t>Fonseca, FJB; Pereira, LVS; Lisboa, J; Alves, AR</t>
  </si>
  <si>
    <t>Rocha, A; Reis, LP; Cota, MP; Suarez, OS; Goncalves, R</t>
  </si>
  <si>
    <t>Fonseca, Fabio J. B.; Pereira, Lucas V. S.; Lisboa-Filho, Jugurta; Alves, Alisson R.</t>
  </si>
  <si>
    <t>Comparing Web GIS systems for display and processing geographic information in the context of INDE</t>
  </si>
  <si>
    <t>2016 11TH IBERIAN CONFERENCE ON INFORMATION SYSTEMS AND TECHNOLOGIES (CISTI)</t>
  </si>
  <si>
    <t>Iberian Conference on Information Systems and Technologies</t>
  </si>
  <si>
    <t>Portuguese</t>
  </si>
  <si>
    <t>11th Iberian Conference on Information Systems and Technologies (CISTI)</t>
  </si>
  <si>
    <t>JUN 15-18, 2016</t>
  </si>
  <si>
    <t>SPAIN</t>
  </si>
  <si>
    <t>WebGIS; Web Map Service; Spatial Data Infrastructure; INDE</t>
  </si>
  <si>
    <t>Visualization and processing of geographic information is an important part for a Spatial Data Infrastructure (SDI). Choose the software system to accomplish this task is laborious and complex. To assist SDI implementers to define which systems should be used, this article analyzes some of the currently available systems and used by a variety of existing SDI in order to provide information for decision making in choosing the systems to be used in the SDI. The implementation of the SDI for TERRANTAR project evaluated the systems. This project aimed at providing geospatial data on the Antarctic continent, more specifically on the Brazilian government's area of operations. Communication modeling using Web GIS for dissemination and processing geospatial data made these analysis criteria.</t>
  </si>
  <si>
    <t>[Fonseca, Fabio J. B.; Pereira, Lucas V. S.; Lisboa-Filho, Jugurta] Univ Fed Vicosa, Vicosa, MG, Brazil; [Alves, Alisson R.] CIH, Foz Do Iguacu, PR, Brazil</t>
  </si>
  <si>
    <t>Universidade Federal de Vicosa</t>
  </si>
  <si>
    <t>Fonseca, FJB (corresponding author), Univ Fed Vicosa, Vicosa, MG, Brazil.</t>
  </si>
  <si>
    <t>fabio.fonseca@ufv.br; lucasvsilvap@gmail.com; jugurta@ufv.br; alisson@pti.org.br</t>
  </si>
  <si>
    <t>Filho, Jugurta Lisboa/F-5985-2010</t>
  </si>
  <si>
    <t>Filho, Jugurta Lisboa/0000-0002-4050-0451</t>
  </si>
  <si>
    <t>2166-0727</t>
  </si>
  <si>
    <t>978-989-98434-6-2</t>
  </si>
  <si>
    <t>IBER CONF INF SYST</t>
  </si>
  <si>
    <t>Computer Science, Information Systems; Engineering, Electrical &amp; Electronic</t>
  </si>
  <si>
    <t>BF6BA</t>
  </si>
  <si>
    <t>WOS:000382923300192</t>
  </si>
  <si>
    <t>Hospitaleche, CA; Olivero, E</t>
  </si>
  <si>
    <t>Acosta Hospitaleche, Carolina; Olivero, Eduardo</t>
  </si>
  <si>
    <t>Re-evaluation of the fossil penguin Palaeeudyptes gunnari from the Eocene Leticia Formation, Argentina: additional material, systematics and palaeobiology</t>
  </si>
  <si>
    <t>Fossil penguin; Palaeeudyptes gunnari; Eocene; South America; Antarctica</t>
  </si>
  <si>
    <t>TIERRA-DEL-FUEGO; SEYMOUR ISLAND; WEST ANTARCTICA; AUSTRAL BASIN; EVOLUTION; BONES; SPHENISCIFORMES; SKELETON; BIOGEOGRAPHY; DIVERSITY</t>
  </si>
  <si>
    <t>Eocene penguins are known mostly from Antarctic specimens. A previously documented partial skeleton consisting of a pelvis, femur, tibiotarsus and fibula, from the middle Eocene Leticia Formation, Tierra del Fuego Province, Argentina, has been prepared and re-described. Re-analysis favours assignment to Palaeeudyptes gunnari, a species widely recorded in the Eocene of Antarctica. A new isolated coracoid belonging to an indeterminate species reveals new information about diving kinematics and swimming abilities. Palaeobiological attributes and morphology of the fossils indicate that both specimens belonged to large penguins with poor diving capability and wing propulsion systems similar to those of extant taxa. These penguin remains are the only vertebrate fossils thus far recorded from the Leticia Formation, and provide important insights into the relationships of South American and Antarctic penguins during the Paleogene. The presence of Palaeeudyptes in Argentina supports an Eocene connection between the South American and Antarctic penguin faunas.</t>
  </si>
  <si>
    <t>[Acosta Hospitaleche, Carolina] UNLP, Div Paleontol Vertebrados, CONICET, Fac Ciencias Nat &amp; Museo, Museo La Plata Paseo del Bosque S-N, RA-1900 La Plata, Buenos Aires, Argentina; [Olivero, Eduardo] Consejo Nacl Invest Cient &amp; Tecn, CADIC, B Houssay 200, RA-9410 Ushuaia, Tierra Del Fueg, Argentina</t>
  </si>
  <si>
    <t>Consejo Nacional de Investigaciones Cientificas y Tecnicas (CONICET); National University of La Plata; Museo La Plata; Consejo Nacional de Investigaciones Cientificas y Tecnicas (CONICET)</t>
  </si>
  <si>
    <t>Hospitaleche, CA (corresponding author), UNLP, Div Paleontol Vertebrados, CONICET, Fac Ciencias Nat &amp; Museo, Museo La Plata Paseo del Bosque S-N, RA-1900 La Plata, Buenos Aires, Argentina.</t>
  </si>
  <si>
    <t>acostacaro@fcnym.unlp.edu.ar; emolivero@gmail.com</t>
  </si>
  <si>
    <t>Acosta Hospitaleche, Carolina/E-5740-2017</t>
  </si>
  <si>
    <t>Acosta Hospitaleche, Carolina/0000-0002-2614-1448</t>
  </si>
  <si>
    <t>Agencia Nacional de Promocion Cientifica y Tecnologica [PICTO 0114, PICTO 0093, PICT 0284]; Consejo Nacional de Investigaciones Cientificas y Tecnicas [PIP 114-0341, PIP 0017]; Universidad Nacional de La Plata</t>
  </si>
  <si>
    <t>Agencia Nacional de Promocion Cientifica y Tecnologica(ANPCyTSpanish Government); Consejo Nacional de Investigaciones Cientificas y Tecnicas(Consejo Nacional de Investigaciones Cientificas y Tecnicas (CONICET)); Universidad Nacional de La Plata(National University of La Plata)</t>
  </si>
  <si>
    <t>We thank the Agencia Nacional de Promocion Cientifica y Tecnologica (PICTO 0114, PICTO 0093, PICT 0284), Consejo Nacional de Investigaciones Cientificas y Tecnicas (PIP 114-0341, PIP 0017) and Universidad Nacional de La Plata, for partial financial support. The reviewers and editors contributed with helpful suggestions. Dra. Cecilia Morgan improved the English grammar.</t>
  </si>
  <si>
    <t>10.1080/03115518.2016.1144994</t>
  </si>
  <si>
    <t>DW8KL</t>
  </si>
  <si>
    <t>WOS:000383904200006</t>
  </si>
  <si>
    <t>Kim, E; Mukai, T; Iida, K</t>
  </si>
  <si>
    <t>Kim, Eunho; Mukai, Tohru; Iida, Kohji</t>
  </si>
  <si>
    <t>Acoustic identification of krill and copepods using frequency differences of volume backscattering strength around Funka Bay, Hokkaido, Japan</t>
  </si>
  <si>
    <t>NIPPON SUISAN GAKKAISHI</t>
  </si>
  <si>
    <t>Japanese</t>
  </si>
  <si>
    <t>EUPHAUSIID EUPHAUSIA-PACIFICA; POLLOCK THERAGRA-CHALCOGRAMMA; VERTICAL-DISTRIBUTION; ANTARCTIC KRILL; TARGET STRENGTH; ZOOPLANKTON DISTRIBUTIONS; MULTIFREQUENCY METHOD; POPULATION-STRUCTURE; OYASHIO REGION; ISADA KRILL</t>
  </si>
  <si>
    <t>In and around Funka Bay in southwest Hokkaido, Japan, krill and copepods are the dominant species of zooplankton. In this area, they are important prey for walleye pollock Gadus chalcogrammus and other marine animals. In this study, we examined the possibility of identifying krill and copepods based on diSerences in volume backscattering strength at different frequencies. Acoustic surveys were conducted in and around Funka Bay in March 2012 aboard the T/S Ushio-maru using a Simrad EK60 quantitative echo sounder. The acoustic data were collected at 38, 120 and 200 kHz. Biological samples were collected by a ring net with vertical towing. To identify the krill and copepods, diSerences in volume backscattering strength at three frequencies were examined. Krill and copepods showed stronger response at 120 and 200 kHz than at 38 kHz. The results showed that the diSerences in volume backscattering strength between 120 and 200 kHz (Delta SV200-120 kHz) were -1.5 to 1.3 dB for krill and 2.2-3.7 dB for copepods. Based on these diSerences between frequencies, we were able to identify krill and copepods.</t>
  </si>
  <si>
    <t>[Kim, Eunho] Hokkaido Univ, Grad Sch Fisheries Sci, Minato Ku, Hakodate, Hokkaido 0418611, Japan; [Mukai, Tohru; Iida, Kohji] Hokkaido Univ, Fac Fisheries Sci, Minato Ku, Hakodate, Hokkaido 0418611, Japan</t>
  </si>
  <si>
    <t>Hokkaido University; Hokkaido University</t>
  </si>
  <si>
    <t>Kim, E (corresponding author), Hokkaido Univ, Grad Sch Fisheries Sci, Minato Ku, Hakodate, Hokkaido 0418611, Japan.</t>
  </si>
  <si>
    <t>kimeunho4@gmail.com</t>
  </si>
  <si>
    <t>Mukai, Tohru/F-9143-2012</t>
  </si>
  <si>
    <t>JAPANESE SOC FISHERIES SCIENCE</t>
  </si>
  <si>
    <t>TOKYO</t>
  </si>
  <si>
    <t>C/O TOKYO UNIV FISHERIES, KONAN 4, MINATO, TOKYO, 108-8477, JAPAN</t>
  </si>
  <si>
    <t>0021-5392</t>
  </si>
  <si>
    <t>1349-998X</t>
  </si>
  <si>
    <t>NIPPON SUISAN GAKK</t>
  </si>
  <si>
    <t>Nippon Suisan Gakkaishi</t>
  </si>
  <si>
    <t>10.2331/suisan.15-00039</t>
  </si>
  <si>
    <t>DW6VD</t>
  </si>
  <si>
    <t>Bronze, Green Published</t>
  </si>
  <si>
    <t>WOS:000383788600020</t>
  </si>
  <si>
    <t>Munoz, YP; Wellner, JS</t>
  </si>
  <si>
    <t>Munoz, Yuribia P.; Wellner, Julia S.</t>
  </si>
  <si>
    <t>Local controls on sediment accumulation and distribution in a fjord in the West Antarctic Peninsula: implications for palaeoenvironmental interpretations</t>
  </si>
  <si>
    <t>Flandres Bay; Antarctic Peninsula; sediment distribution; grain size</t>
  </si>
  <si>
    <t>ICE-SHEET; CONTINENTAL-SHELF; SEA-ICE; MARINE SEDIMENTATION; CLIMATE-CHANGE; VARIABILITY; REGION; RATES; BAY; LITHOFACIES</t>
  </si>
  <si>
    <t>We analyse surface sediment and its distribution in Flandres Bay, West Antarctic Peninsula, in order to understand modern day sediment dispersal patterns in a fjord with retreating, tidewater glaciers. The surface sediment descriptions of 41 cores are included in this study. The sediment facies described include muddy diatomaceous ooze, diatomaceous mud, pebbly mud, sandy mud and mud, with scattered pebbles present in most samples. In contrast to a traditional conceptual model of glacial sediment distribution in fjords, grain size in Flandres Bay generally coarsens from the inner to outer bay. The smallest grain size sediments were found in the bay head and are interpreted as fine-grained deposits resulting from meltwater plumes and sediment gravity flows occurring close to the glacier front. The middle of the bay is characterized by a high silt percentage, which correlates to diatom-rich sediments. Sediments in the outer bay have a high component of coarse material, which is interpreted as being the result of winnowing from currents moving from the Bellingshausen Sea into the Gerlache Strait. Palaeoenvironmental reconstructions of glacial environments often use grain size as an indicator of proximity to the ice margin. After a detailed analysis of a large number of cores collected in the study area, our findings highlight the variability in sedimentation patterns within a fjord and provide a valuable evidence of the complexity that may occur in the sedimentary record.</t>
  </si>
  <si>
    <t>[Munoz, Yuribia P.; Wellner, Julia S.] Univ Houston, Dept Earth &amp; Atmospher Sci, 4800 Calhoun Rd, Houston, TX 77204 USA</t>
  </si>
  <si>
    <t>University of Houston System; University of Houston</t>
  </si>
  <si>
    <t>Munoz, YP (corresponding author), Univ Houston, Dept Earth &amp; Atmospher Sci, 4800 Calhoun Rd, Houston, TX 77204 USA.</t>
  </si>
  <si>
    <t>ypmunoz@uh.edu</t>
  </si>
  <si>
    <t>Munoz, Yuribia/0000-0002-9713-7729</t>
  </si>
  <si>
    <t>National Science Foundation, Office of Polar Programs [OPP0739596]; National Science Foundation Graduate Research Fellowship</t>
  </si>
  <si>
    <t>National Science Foundation, Office of Polar Programs(National Science Foundation (NSF)); National Science Foundation Graduate Research Fellowship(National Science Foundation (NSF))</t>
  </si>
  <si>
    <t>Research was funded by the National Science Foundation, Office of Polar Programs grant no. OPP0739596. YM is supported by a National Science Foundation Graduate Research Fellowship. We thank the crew and science parties of all the expeditions that collected data used in this study, the Antarctic Research Facility at Florida State University, and the Rice University Sedimentology Laboratory. We thank Claire Allen, Patricia Manley and an anonymous reviewer for their comments, discussions and suggestions that greatly improved this manuscript.</t>
  </si>
  <si>
    <t>10.3402/polar.v35.25284</t>
  </si>
  <si>
    <t>DW4BI</t>
  </si>
  <si>
    <t>WOS:000383586600001</t>
  </si>
  <si>
    <t>Lamus, FV</t>
  </si>
  <si>
    <t>Villamizar Lamus, Fernando</t>
  </si>
  <si>
    <t>Commentaries on the Decision in the Case Whaling in the Antarctic, Australia v. Japan</t>
  </si>
  <si>
    <t>ANUARIO COLOMBIANO DE DERECHO INTERNACIONAL-ACDI</t>
  </si>
  <si>
    <t>Whale hunting in the Antarctic; the International Court of Justice; the role of experts; standard of review; Article VII of The International Convention for the Regulation of Whaling</t>
  </si>
  <si>
    <t>WHALES</t>
  </si>
  <si>
    <t>This article has as its objective the analysis of the decision of the International Court of Justice ( I. C. J.) in the case Whaling in the Antarctic, Australia v. Japan ( New Zealand Intervenor), particularly in respect to how it arose, the development of the controversy and how the case would become a milestone in the role of experts in cases brought before the ICJ because, with the posture taken to avoid non-transparent practices or ones which could affect proper processes. It also analyzes the standard of review set by the ICJ for the determination of what is or is not science. It demonstrates how this standard could allow inconsistencies which could arise in the decision itself, and suggests other, more precise, methods considered by the ICJ which could overcome the problems of this standard of revision..</t>
  </si>
  <si>
    <t>[Villamizar Lamus, Fernando] Univ Rosario, Bogota, Colombia; [Villamizar Lamus, Fernando] Pontificia Univ Catolica Chile, Derecho Empresa, Santiago, Region Metropol, Chile; [Villamizar Lamus, Fernando] Univ Salamanca, Ciencia Polit &amp; Sociol, E-37008 Salamanca, Spain; [Villamizar Lamus, Fernando] Univ Bernardo OHiggins, Observ Reg Paz &amp; Seguridad, Santiago, Region Metropol, Chile; [Villamizar Lamus, Fernando] Univ Los Andes, Fac Derecho, Santiago, Chile</t>
  </si>
  <si>
    <t>Universidad del Rosario; Pontificia Universidad Catolica de Chile; University of Salamanca; Universidad Bernardo O'Higgins; Universidad de los Andes - Chile</t>
  </si>
  <si>
    <t>Lamus, FV (corresponding author), Univ Rosario, Bogota, Colombia.;Lamus, FV (corresponding author), Pontificia Univ Catolica Chile, Derecho Empresa, Santiago, Region Metropol, Chile.;Lamus, FV (corresponding author), Univ Salamanca, Ciencia Polit &amp; Sociol, E-37008 Salamanca, Spain.;Lamus, FV (corresponding author), Univ Bernardo OHiggins, Observ Reg Paz &amp; Seguridad, Santiago, Region Metropol, Chile.;Lamus, FV (corresponding author), Univ Los Andes, Fac Derecho, Santiago, Chile.</t>
  </si>
  <si>
    <t>fvillamizar@miuandes.cl</t>
  </si>
  <si>
    <t>UNIV ROSARIO, EDITORIAL</t>
  </si>
  <si>
    <t>BOGOTA</t>
  </si>
  <si>
    <t>CARRETERA 7, N 13-41, OFICINA 501, BOGOTA, 00000, COLOMBIA</t>
  </si>
  <si>
    <t>2027-1131</t>
  </si>
  <si>
    <t>2145-4493</t>
  </si>
  <si>
    <t>ANU COLOMB DERECHO I</t>
  </si>
  <si>
    <t>Anu. Colomb. Derecho Int.-ACDI</t>
  </si>
  <si>
    <t>10.12804/acdi9.1.2016.03</t>
  </si>
  <si>
    <t>DV2OX</t>
  </si>
  <si>
    <t>WOS:000382761300003</t>
  </si>
  <si>
    <t>Hoffmann, L; Grimsdell, A; Alexander, MJ</t>
  </si>
  <si>
    <t>Hoffmann, Lars; Grimsdell, AlisonW.; Alexander, M. Joan</t>
  </si>
  <si>
    <t>Stratospheric gravity waves at Southern Hemisphere orographic hotspots: 2003-2014 AIRS/Aqua observations</t>
  </si>
  <si>
    <t>ATMOSPHERIC CHEMISTRY AND PHYSICS</t>
  </si>
  <si>
    <t>TROPICAL LOWER STRATOSPHERE; GENERAL-CIRCULATION MODEL; MOUNTAIN-WAVE; MIDDLE-ATMOSPHERE; DOWNSLOPE WINDS; MOMENTUM FLUXES; CLIMATE MODELS; RADAR; DRAG; CLOUDS</t>
  </si>
  <si>
    <t>Stratospheric gravity waves from small-scale orographic sources are currently not well-represented in general circulation models. This may be a reason why many simulations have difficulty reproducing the dynamical behavior of the Southern Hemisphere polar vortex in a realistic manner. Here we discuss a 12-year record (2003-2014) of stratospheric gravity wave activity at Southern Hemisphere orographic hotspots as observed by the Atmospheric InfraRed Sounder (AIRS) aboard the National Aeronautics and Space Administration's (NASA) Aqua satellite. We introduce a simple and effective approach, referred to as the two-box method, to detect gravity wave activity from infrared nadir sounder measurements and to discriminate between gravity waves from orographic and other sources. From austral midfall to mid-spring (April-October) the contributions of orographic sources to the observed gravity wave occurrence frequencies were found to be largest for the Andes (90 %), followed by the Antarctic Peninsula (76 %), Kerguelen Islands (73 %), Tasmania (70 %), New Zealand (67 %), Heard Island (60 %), and other hotspots (24-54 %). Mountain wave activity was found to be closely correlated with peak terrain altitudes, and with zonal winds in the lower troposphere and mid-stratosphere. We propose a simple model to predict the occurrence of mountain wave events in the AIRS observations using zonal wind thresholds at 3 and 750 hPa. The model has significant predictive skill for hotspots where gravity wave activity is primarily due to orographic sources. It typically reproduces seasonal variations of the mountain wave occurrence frequencies at the Antarctic Peninsula and Kerguelen Islands from near zero to over 60% with mean absolute errors of 4-5 percentage points. The prediction model can be used to disentangle upper level wind effects on observed occurrence frequencies from low-level source and other influences. The data and methods presented here can help to identify interesting case studies in the vast amount of AIRS data, which could then be further explored to study the specific characteristics of stratospheric gravity waves from orographic sources and to support model validation.</t>
  </si>
  <si>
    <t>[Hoffmann, Lars] Forschungszentrum Julich, Julich Supercomp Ctr, Julich, Germany; [Grimsdell, AlisonW.; Alexander, M. Joan] NorthWest Res Associates Inc, CoRA Off, Boulder, CO USA</t>
  </si>
  <si>
    <t>Helmholtz Association; Research Center Julich; NorthWest Research Associates</t>
  </si>
  <si>
    <t>Hoffmann, L (corresponding author), Forschungszentrum Julich, Julich Supercomp Ctr, Julich, Germany.</t>
  </si>
  <si>
    <t>l.hoffmann@fz-juelich.de</t>
  </si>
  <si>
    <t>Hoffmann, Lars/ABI-3746-2020; Hoffmann, Lars/A-5173-2013</t>
  </si>
  <si>
    <t>Hoffmann, Lars/0000-0003-3773-4377; Hoffmann, Lars/0000-0003-3773-4377</t>
  </si>
  <si>
    <t>Science of Terra and Aqua program, NASA [NNH11CD34C]; NASA Shared Services Center [NNX14A076G]</t>
  </si>
  <si>
    <t>Science of Terra and Aqua program, NASA; NASA Shared Services Center</t>
  </si>
  <si>
    <t>Support for Alison W. Grimsdell and M. Joan Alexander was provided by the Science of Terra and Aqua program, NASA contract no. NNH11CD34C, and additional support for M. Joan Alexander by the NASA Shared Services Center, grant no. NNX14A076G. We thank Catrin Meyer for comments on an earlier draft of this manuscript.</t>
  </si>
  <si>
    <t>BAHNHOFSALLEE 1E, GOTTINGEN, 37081, GERMANY</t>
  </si>
  <si>
    <t>1680-7316</t>
  </si>
  <si>
    <t>1680-7324</t>
  </si>
  <si>
    <t>ATMOS CHEM PHYS</t>
  </si>
  <si>
    <t>Atmos. Chem. Phys.</t>
  </si>
  <si>
    <t>10.5194/acp-16-9381-2016</t>
  </si>
  <si>
    <t>Environmental Sciences; Meteorology &amp; Atmospheric Sciences</t>
  </si>
  <si>
    <t>Environmental Sciences &amp; Ecology; Meteorology &amp; Atmospheric Sciences</t>
  </si>
  <si>
    <t>DT1AE</t>
  </si>
  <si>
    <t>WOS:000381213300034</t>
  </si>
  <si>
    <t>Whoriskey, F; Hindell, M</t>
  </si>
  <si>
    <t>Whoriskey, Frederick; Hindell, Mark</t>
  </si>
  <si>
    <t>Developments in Tagging Technology and Their Contributions to the Protection of Marine Species at Risk</t>
  </si>
  <si>
    <t>Workshop of the Australian-and-Canadian-Oceans-Research-Network (ACORN)</t>
  </si>
  <si>
    <t>FEB, 2015</t>
  </si>
  <si>
    <t>Univ Tasmania, Inst Marine &amp; Antarctic Studies, Hobart, AUSTRALIA</t>
  </si>
  <si>
    <t>Univ Tasmania, Inst Marine &amp; Antarctic Studies</t>
  </si>
  <si>
    <t>Endangered species; marine animal telemetry; Ocean Tracking Network</t>
  </si>
  <si>
    <t>ATLANTIC SALMON; POPULATIONS; MORTALITY; SURVIVAL; ECOSYSTEMS; MOVEMENTS; HATCHERY; MODELS; FISH; WILD</t>
  </si>
  <si>
    <t>Electronic telemetry is making major contributions to understanding the biology and the recovery of threatened and endangered aquatic species. A variety of electronic tag systems are available, with each type having it own strengths and weaknesses. Global networking and data sharing are becoming common, and are necessary to maximize benefits from investments in telemetry infrastructure. Future technology development will advance new sensors to document specific causes contributing to species declines (e.g., predation tags and camera tags). There is a need to expand the use of telemetry, especially in developing nations, to help guide sustainable use of the oceans.</t>
  </si>
  <si>
    <t>[Whoriskey, Frederick] Dalhousie Univ, Halifax, NS, Canada; [Hindell, Mark] Univ Tasmania, Hobart, Tas, Australia</t>
  </si>
  <si>
    <t>Dalhousie University; University of Tasmania</t>
  </si>
  <si>
    <t>Whoriskey, F (corresponding author), Dalhousie Univ, Ocean Tracking Network, 1355 Oxford St, Halifax, NS B3H 4R2, Canada.</t>
  </si>
  <si>
    <t>fwhoriskey@dal.ca</t>
  </si>
  <si>
    <t>Hindell, Mark A/K-1131-2013</t>
  </si>
  <si>
    <t>Hindell, Mark/0000-0002-7823-7185</t>
  </si>
  <si>
    <t>Canada Foundation for Innovation; Natural Sciences and Engineering Research Council of Canada; Social Sciences and Humanities Research Council of Canada; Nova Scotia Research and Innovation Trust</t>
  </si>
  <si>
    <t>Canada Foundation for Innovation(Canada Foundation for InnovationCGIARSpanish Government); Natural Sciences and Engineering Research Council of Canada(Natural Sciences and Engineering Research Council of Canada (NSERC)CGIAR); Social Sciences and Humanities Research Council of Canada(Social Sciences and Humanities Research Council of Canada (SSHRC)); Nova Scotia Research and Innovation Trust</t>
  </si>
  <si>
    <t>OTN is funded by the Canada Foundation for Innovation and the Natural Sciences and Engineering Research Council of Canada, with additional support from the Social Sciences and Humanities Research Council of Canada and the Nova Scotia Research and Innovation Trust, as well as international partner contributions. This contribution has resulted from an Australia-Canada Ocean Research Network (ACORN) workshop hosted by the Institute for Marine and Antarctic Studies, University of Tasmania.</t>
  </si>
  <si>
    <t>10.1080/00908320.2016.1194090</t>
  </si>
  <si>
    <t>Social Science Citation Index (SSCI); Conference Proceedings Citation Index - Social Science &amp; Humanities (CPCI-SSH)</t>
  </si>
  <si>
    <t>DV2LZ</t>
  </si>
  <si>
    <t>WOS:000382753400002</t>
  </si>
  <si>
    <t>Hutchings, JA; Stephens, T; VanderZwaag, DL</t>
  </si>
  <si>
    <t>Hutchings, Jeffrey A.; Stephens, Tim; VanderZwaag, David L.</t>
  </si>
  <si>
    <t>Marine Species at Risk Protection in Australia and Canada: Paper Promises, Paltry Progressions</t>
  </si>
  <si>
    <t>Australia; Canada; marine species protection</t>
  </si>
  <si>
    <t>CONSERVATION; FISHES; STRATEGIES; MANAGEMENT; GOVERNANCE; SCIENCE; POLICY</t>
  </si>
  <si>
    <t>This article compares the law and policy frameworks for protecting marine species at risk in Australia and Canada. The sea of practical challenges is examined, including achieving listing of threatened commercial species; attaining timely and effective recovery planning; and identifying and protecting critical habitats.</t>
  </si>
  <si>
    <t>[Hutchings, Jeffrey A.] Dalhousie Univ, Dept Biol, Halifax, NS, Canada; [Stephens, Tim] Univ Sydney, Sydney Law Sch, Sydney, NSW, Australia; [VanderZwaag, David L.] Dalhousie Univ, Marine &amp; Environm Law Inst, 6061 Univ Ave,POB 15000, Halifax, NS B3H 4R2, Canada</t>
  </si>
  <si>
    <t>Dalhousie University; University of Sydney; Dalhousie University</t>
  </si>
  <si>
    <t>VanderZwaag, DL (corresponding author), Dalhousie Univ, Marine &amp; Environm Law Inst, 6061 Univ Ave,POB 15000, Halifax, NS B3H 4R2, Canada.</t>
  </si>
  <si>
    <t>david.vanderzwaag@dal.ca</t>
  </si>
  <si>
    <t>Hutchings, Jeffrey/ABA-1098-2020; Stephens, Tim/J-4115-2019</t>
  </si>
  <si>
    <t>Stephens, Tim/0000-0001-9678-2227; Hutchings, Jeffrey/0000-0003-1572-5429</t>
  </si>
  <si>
    <t>Ocean Tracking Network (OTN), based at Dalhousie University; Social Sciences and Humanities Research Council of Canada (SSHRC); SSHRC through the OceanCanada Partnership; NSERC through the Marine Environmental Observation Prediction and Response (MEOPAR) Network</t>
  </si>
  <si>
    <t>Ocean Tracking Network (OTN), based at Dalhousie University; Social Sciences and Humanities Research Council of Canada (SSHRC)(Social Sciences and Humanities Research Council of Canada (SSHRC)CGIAR); SSHRC through the OceanCanada Partnership(Social Sciences and Humanities Research Council of Canada (SSHRC)); NSERC through the Marine Environmental Observation Prediction and Response (MEOPAR) Network</t>
  </si>
  <si>
    <t>This research was supported by the Ocean Tracking Network (OTN), based at Dalhousie University, with funding from the Social Sciences and Humanities Research Council of Canada (SSHRC). The contributions of the Natural Sciences and Engineering Research Council of Canada (NSERC) and the Canada Foundation for Innovation (CFI) to OTN research are also recognized, as is the research assistance of Katrin MacPhee, JD candidate, Schulich School of Law. The research support of SSHRC through the OceanCanada Partnership and NSERC through the Marine Environmental Observation Prediction and Response (MEOPAR) Network is also acknowledged.</t>
  </si>
  <si>
    <t>10.1080/00908320.2016.1194092</t>
  </si>
  <si>
    <t>WOS:000382753400003</t>
  </si>
  <si>
    <t>Jabour, J; Lea, MA; Goldsworthy, SD; Melcher, G; Sykes, K; Hindell, MA</t>
  </si>
  <si>
    <t>Jabour, Julia; Lea, Mary-Anne; Goldsworthy, Simon D.; Melcher, Graeme; Sykes, Katie; Hindell, Mark A.</t>
  </si>
  <si>
    <t>Marine Telemetry and the Conservation and Management of Risk to Seal Species in Canada and Australia</t>
  </si>
  <si>
    <t>Australian sea lion; gray seal; marine telemetry; northern fur seal; southern elephant seal</t>
  </si>
  <si>
    <t>SOUTHERN ELEPHANT SEAL; NORTHERN FUR SEALS; FATTY-ACID; LION; PREDATORS; BEHAVIOR</t>
  </si>
  <si>
    <t>Marine telemetry expands the knowledge of the biology of marine species at risk: their life cycles, activities, interactions, habitats, and threats. Four seal species in Canada and Australia are faced with distinctive and divergent management problems. This article examines their conservation status, legal protection, and the role that telemetry has played, or could play, in providing previously unavailable information to help meet conservation goals. The value of telemetry data to minimize fisheries mortality of one species has been demonstrated in Australia. Despite there being significant telemetry data for the other species, policy and management have not yet responded.</t>
  </si>
  <si>
    <t>[Jabour, Julia; Lea, Mary-Anne; Hindell, Mark A.] Univ Tasmania, Hobart, Tas, Australia; [Goldsworthy, Simon D.] South Australian Res &amp; Dev Inst, West Beach, SA, Australia; [Melcher, Graeme] Dalhousie Univ, Halifax, NS, Canada; [Sykes, Katie] Thompson Rivers Univ, Kamloops, BC, Canada</t>
  </si>
  <si>
    <t>University of Tasmania; South Australian Research &amp; Development Institute (SARDI); Dalhousie University</t>
  </si>
  <si>
    <t>Jabour, J (corresponding author), Univ Tasmania, Inst Marine &amp; Antarctic Studies, Private Bag 129, Hobart, Tas 7001, Australia.</t>
  </si>
  <si>
    <t>Julia.jabour@utas.edu.au</t>
  </si>
  <si>
    <t>Hindell, Mark A/K-1131-2013; Jabour, Julia A/J-7882-2014; Lea, Mary-Anne/E-9054-2013</t>
  </si>
  <si>
    <t>Lea, Mary-Anne/0000-0001-8318-9299; Goldsworthy, Simon/0000-0003-4988-9085; Sykes, Katie/0000-0002-1172-7825; Hindell, Mark/0000-0002-7823-7185</t>
  </si>
  <si>
    <t>Social Sciences and Humanities Research Council of Canada (SSHRC) through the Ocean Tracking Network, based at Dalhousie University</t>
  </si>
  <si>
    <t>Research support from the Social Sciences and Humanities Research Council of Canada (SSHRC) through the Ocean Tracking Network, based at Dalhousie University, is gratefully acknowledged.</t>
  </si>
  <si>
    <t>10.1080/00908320.2016.1194094</t>
  </si>
  <si>
    <t>WOS:000382753400004</t>
  </si>
  <si>
    <t>Barber, R; Sikora, I; Nimak-Wood, M</t>
  </si>
  <si>
    <t>Barber, R.; Sikora, I.; Nimak-Wood, M.</t>
  </si>
  <si>
    <t>Blue whales Balaenoptera musculus in offshore waters of Kenya</t>
  </si>
  <si>
    <t>AFRICAN JOURNAL OF MARINE SCIENCE</t>
  </si>
  <si>
    <t>cetacean; distribution; western Indian Ocean</t>
  </si>
  <si>
    <t>NORTHERN INDIAN-OCEAN; SOUTHERN-HEMISPHERE; PACIFIC; SEASONALITY; MOVEMENTS; LENGTH; CALLS</t>
  </si>
  <si>
    <t>Observations of blue whales were made in Kenyan offshore waters during a seismic survey from September 2014 to January 2015. These represent the first live at-sea sightings of blue whales reported from Kenyan waters. All 30 sightings occurred between September and October in waters ranging from 2 990 to 4 705 m depth. It is unknown to which of the three possible subspecies the animals sighted belong. Based on timing and geographical location, they are likely to have been either Antarctic blue whales Balaenoptera musculus intermedia, Madagascar pygmy blue whales B. m. brevicauda or northern Indian Ocean blue whales B. m. indica.</t>
  </si>
  <si>
    <t>[Barber, R.; Sikora, I.; Nimak-Wood, M.] Gardline Environm Ltd, Great Yarmouth, Norfolk, England</t>
  </si>
  <si>
    <t>Nimak-Wood, M (corresponding author), Gardline Environm Ltd, Great Yarmouth, Norfolk, England.</t>
  </si>
  <si>
    <t>maja.nimak-wood@gardline.com</t>
  </si>
  <si>
    <t>NATL INQUIRY SERVICES CENTRE PTY LTD</t>
  </si>
  <si>
    <t>GRAHAMSTOWN</t>
  </si>
  <si>
    <t>19 WORCESTER STREET, PO BOX 377, GRAHAMSTOWN 6140, SOUTH AFRICA</t>
  </si>
  <si>
    <t>1814-232X</t>
  </si>
  <si>
    <t>1814-2338</t>
  </si>
  <si>
    <t>AFR J MAR SCI</t>
  </si>
  <si>
    <t>Afr. J. Mar. Sci.</t>
  </si>
  <si>
    <t>10.2989/1814232X.2016.1182590</t>
  </si>
  <si>
    <t>DU8FO</t>
  </si>
  <si>
    <t>WOS:000382448900014</t>
  </si>
  <si>
    <t>Angot, H; Magand, O; Helmig, D; Ricaud, P; Quennehen, B; Gallée, H; Del Guasta, M; Sprovieri, F; Pirrone, N; Savarino, J; Dommergue, A</t>
  </si>
  <si>
    <t>Angot, Helene; Magand, Olivier; Helmig, Detlev; Ricaud, Philippe; Quennehen, Boris; Gallee, Hubert; Del Guasta, Massimo; Sprovieri, Francesca; Pirrone, Nicola; Savarino, Joel; Dommergue, Aurelien</t>
  </si>
  <si>
    <t>New insights into the atmospheric mercury cycling in central Antarctica and implications on a continental scale</t>
  </si>
  <si>
    <t>DISPERSION MODEL FLEXPART; GASEOUS ELEMENTAL MERCURY; NITROGEN-OXIDES NO; BOUNDARY-LAYER; DOME-C; SOUTH-POLE; INTERSTITIAL AIR; EAST ANTARCTICA; NY-ALESUND; SPRINGTIME DEPLETION</t>
  </si>
  <si>
    <t>Under the framework of the GMOS project (Global Mercury Observation System) atmospheric mercury monitoring has been implemented at Concordia Station on the high-altitude Antarctic plateau (75 degrees 06'S, 123 degrees 20'E, 3220m above sea level). We report here the first year-round measurements of gaseous elemental mercury (Hg(0)) in the atmosphere and in snowpack interstitial air on the East Antarctic ice sheet. This unique data set shows evidence of an intense oxidation of atmospheric Hg(0) in summer (24-hour daylight) due to the high oxidative capacity of the Antarctic plateau atmosphere in this period of the year. Summertime Hg(0) concentrations exhibited a pronounced daily cycle in ambient air with maximal concentrations around midday. Photochemical reactions and chemical exchange at the air-snow interface were prominent, highlighting the role of the snowpack on the atmospheric mercury cycle. Our observations reveal a 20 to 30% decrease of atmospheric Hg(0) concentrations from May to mid-August (winter, 24 h darkness). This phenomenon has not been reported elsewhere and possibly results from the dry deposition of Hg(0) onto the snowpack. We also reveal the occurrence of multi-day to weeklong atmospheric Hg(0) depletion events in summer, not associated with depletions of ozone, and likely due to a stagnation of air masses above the plateau triggering an accumulation of oxidants within the shallow boundary layer. Our observations suggest that the inland atmospheric reservoir is depleted in Hg(0) in summer. Due to katabatic winds flowing out from the Antarctic plateau down the steep vertical drops along the coast and according to observations at coastal Antarctic stations, the striking reactivity observed on the plateau most likely influences the cycle of atmospheric mercury on a continental scale.</t>
  </si>
  <si>
    <t>[Angot, Helene; Magand, Olivier; Quennehen, Boris; Gallee, Hubert; Savarino, Joel; Dommergue, Aurelien] Univ Grenoble Alpes, LGGE, F-38041 Grenoble, France; [Magand, Olivier; Quennehen, Boris; Gallee, Hubert; Savarino, Joel; Dommergue, Aurelien] CNRS, LGGE, F-38041 Grenoble, France; [Helmig, Detlev] Univ Colorado, Inst Arctic &amp; Alpine Res INSTAAR, Boulder, CO 80309 USA; [Ricaud, Philippe] CNRS, Meteo France, GAME, CNRM, 42 Ave Coriolis, F-31057 Toulouse, France; [Del Guasta, Massimo] CNR, Ist Nazl Ott, Largo E Fermi 6, I-50125 Florence, Italy; [Sprovieri, Francesca] CNR, Inst Atmospher Pollut Res, Div Rende, Arcavacata Di Rende, Italy; [Pirrone, Nicola] CNR, Inst Atmospher Pollut Res, Rome, Italy</t>
  </si>
  <si>
    <t>Communaute Universite Grenoble Alpes; Universite Grenoble Alpes (UGA); Communaute Universite Grenoble Alpes; Universite Grenoble Alpes (UGA); Centre National de la Recherche Scientifique (CNRS); University of Colorado System; University of Colorado Boulder; Centre National de la Recherche Scientifique (CNRS); Meteo France; Consiglio Nazionale delle Ricerche (CNR); Istituto Nazionale di Ottica (INO-CNR); Consiglio Nazionale delle Ricerche (CNR); Istituto Sull'inquinamento Atmosferico (IIA-CNR); Consiglio Nazionale delle Ricerche (CNR); Istituto Sull'inquinamento Atmosferico (IIA-CNR)</t>
  </si>
  <si>
    <t>Dommergue, A (corresponding author), Univ Grenoble Alpes, LGGE, F-38041 Grenoble, France.;Dommergue, A (corresponding author), CNRS, LGGE, F-38041 Grenoble, France.</t>
  </si>
  <si>
    <t>aurelien.dommergue@univ-grenoble-alpes.fr</t>
  </si>
  <si>
    <t>Ricaud, Philippe/AAC-2991-2020; Savarino, Joel/H-9730-2012; dommergue, aurelien/HLP-6539-2023; Pirrone, Nicola/IXD-5019-2023</t>
  </si>
  <si>
    <t>Savarino, Joel/0000-0002-6708-9623; dommergue, aurelien/0000-0002-8185-9604;</t>
  </si>
  <si>
    <t>Labex OSUG@ (Investissements d'avenir) [ANR10 LABX56]; Institut Universitaire de France; French Polar Institute IPEV [1028, 1011]; U.S. National Science Foundation (NSF, PLR) [1142145]; IPEV program [CALVA/1013]; Office of Polar Programs (OPP); Directorate For Geosciences [1142145] Funding Source: National Science Foundation</t>
  </si>
  <si>
    <t>Labex OSUG@ (Investissements d'avenir)(Agence Nationale de la Recherche (ANR)); Institut Universitaire de France; French Polar Institute IPEV; U.S. National Science Foundation (NSF, PLR)(National Science Foundation (NSF)); IPEV program; Office of Polar Programs (OPP); Directorate For Geosciences(National Science Foundation (NSF)NSF - Directorate for Geosciences (GEO))</t>
  </si>
  <si>
    <t>We thank A. Barbero and the rest of the overwintering crew: S. Aubin, C. Lenormant, and R. Jacob. We also gratefully acknowledge M. Barret for the development of a QA/QC software program, L. Bonato for the analysis of total mercury in surface snow samples, D. Liptzin for the calculation of the Obukhov length and friction velocity, M. Legrand for the 2012 ozone data, C. Genthon for the meteorological data, E. Vignon for helpful discussion, and B. Jourdain and X. Fain for their help in the field. This work contributed to the EU-FP7 project Global Mercury Observation System (GMOS - www.gmos.eu) and has been supported by a grant from Labex OSUG@2020 (Investissements d'avenir - ANR10 LABX56), and the Institut Universitaire de France. Boris Quennehen and Philippe Ricaud acknowledge ANR CLIMSLIP and HAMSTRAD Program 910, respectively. Logistical and financial support was provided by the French Polar Institute IPEV (Program 1028, GMOstral and Program 1011, SUNITEDC), and a grant from the U.S. National Science Foundation (NSF, PLR#1142145). Computing resources for FLEXPART simulations were provided by the IPSL CICLAD/CLIMSERV mesocenter. Meteorological data were obtained thanks to LEFE/IMAGO programs CLAPA and GABLS4, IPEV program CALVA/1013, and Observatoire des Sciences de l'Univers de Grenoble (GLACIOCLIM observatory).</t>
  </si>
  <si>
    <t>10.5194/acp-16-8249-2016</t>
  </si>
  <si>
    <t>DS9GQ</t>
  </si>
  <si>
    <t>WOS:000381091400012</t>
  </si>
  <si>
    <t>Angot, H; Dion, I; Vogel, N; Legrand, M; Magand, O; Dommergue, A</t>
  </si>
  <si>
    <t>Angot, Helene; Dion, Iris; Vogel, Nicolas; Legrand, Michel; Magand, Olivier; Dommergue, Aurelien</t>
  </si>
  <si>
    <t>Multi-year record of atmospheric mercury at Dumont d'Urville, East Antarctic coast: continental outflow and oceanic influences</t>
  </si>
  <si>
    <t>GASEOUS ELEMENTAL MERCURY; TERRA-NOVA BAY; BOUNDARY-LAYER; OXIDIZED MERCURY; ADELIE LAND; SPRINGTIME DEPLETION; ATLANTIC-OCEAN; MASS-BALANCE; DATA QUALITY; SEA-SALT</t>
  </si>
  <si>
    <t>Under the framework of the Global Mercury Observation System (GMOS) project, a 3.5-year record of atmospheric gaseous elemental mercury (Hg(0)) has been gathered at Dumont d'Urville (DDU, 66 degrees 40'S, 140 degrees 01'E, 43m above sea level) on the East Antarctic coast. Additionally, surface snow samples were collected in February 2009 during a traverse between Concordia Station located on the East Antarctic plateau and DDU. The record of atmospheric Hg(0) at DDU reveals particularities that are not seen at other coastal sites: a gradual decrease of concentrations over the course of winter, and a daily maximum concentration around midday in summer. Additionally, total mercury concentrations in surface snow samples were particularly elevated near DDU (up to 194.4 ng L-1) as compared to measurements at other coastal Antarctic sites. These differences can be explained by the more frequent arrival of inland air masses at DDU than at other coastal sites. This confirms the influence of processes observed on the Antarctic plateau on the cycle of atmospheric mercury at a continental scale, especially in areas subject to recurrent katabatic winds. DDU is also influenced by oceanic air masses and our data suggest that the ocean plays a dual role on Hg(0) concentrations. The open ocean may represent a source of atmospheric Hg(0) in summer whereas the sea-ice surface may provide reactive halogens in spring that can oxidize Hg(0). This paper also discusses implications for coastal Antarctic ecosystems and for the cycle of atmospheric mercury in high southern latitudes.</t>
  </si>
  <si>
    <t>[Angot, Helene; Dion, Iris; Vogel, Nicolas; Legrand, Michel; Magand, Olivier; Dommergue, Aurelien] Univ Grenoble Alpes, LGGE, F-38041 Grenoble, France; [Legrand, Michel; Magand, Olivier; Dommergue, Aurelien] CNRS, LGGE, F-38041 Grenoble, France</t>
  </si>
  <si>
    <t>Communaute Universite Grenoble Alpes; Universite Grenoble Alpes (UGA); Communaute Universite Grenoble Alpes; Universite Grenoble Alpes (UGA); Centre National de la Recherche Scientifique (CNRS)</t>
  </si>
  <si>
    <t>dommergue, aurelien/HLP-6539-2023; Legrand, Michel/AAU-4678-2020</t>
  </si>
  <si>
    <t>dommergue, aurelien/0000-0002-8185-9604;</t>
  </si>
  <si>
    <t>Labex OSUG@ (Investissements d'avenir) [ANR10 LABX56]; Institut Universitaire de France; French Polar Institute IPEV (GMOstral) [1028]</t>
  </si>
  <si>
    <t>Labex OSUG@ (Investissements d'avenir)(Agence Nationale de la Recherche (ANR)); Institut Universitaire de France; French Polar Institute IPEV (GMOstral)</t>
  </si>
  <si>
    <t>We thank the overwintering crew: S. Aguado, D. Buiron, N. Coillard, G. Dufresnes, J. Guilhermet, B. Jourdain, B. Laulier, S. Oros, and A. Thollot. We also gratefully acknowledge M. Barret for the development of a QA/QC software program, Meteo France for the meteorological data, and Susanne Preunkert who helped to validate contamination-free ozone data. This work contributed to the EU-FP7 project Global Mercury Observation System (GMOS - www.gmos.eu) and has been supported by a grant from Labex OSUG@2020 (Investissements d'avenir - ANR10 LABX56), and the Institut Universitaire de France. Logistical and financial support was provided by the French Polar Institute IPEV (Program 1028, GMOstral).</t>
  </si>
  <si>
    <t>10.5194/acp-16-8265-2016</t>
  </si>
  <si>
    <t>WOS:000381091400013</t>
  </si>
  <si>
    <t>Warnock, JP; Scherer, RP</t>
  </si>
  <si>
    <t>Warnock, Jonathan P.; Scherer, Reed P.</t>
  </si>
  <si>
    <t>Increased diatom dissolution in Prydz Bay, East Antarctica linked to inception of the Prydz Baygyre</t>
  </si>
  <si>
    <t>DIATOM RESEARCH</t>
  </si>
  <si>
    <t>diatom dissolution; Prydz Bay; Fragilariopsis curta; taphonomy; silica cycle; sea ice</t>
  </si>
  <si>
    <t>BIOGENIC SILICA DISSOLUTION; SOUTHERN-OCEAN; SEDIMENTS; SEA; HOLOCENE; PRESERVATION; SEASONALITY; RECORD</t>
  </si>
  <si>
    <t>Diatom assemblages and abundance in marine sediment cores are utilised as proxies of paleoceanographic conditions. However, diatoms are altered by taphonomic processes, which cause diatom accumulation rates to vary while simultaneously altering assemblages by removing some species from the sedimentary record. Furthermore, these taphonomic processes vary with space and time. Additionally, significant insights into the marine carbon and silicon cycles can be gained by assessing variability in diatom dissolution. Sediment core NBP0101-JPC24 from Prydz Bay, East Antarctica, provides a detailed Holocene record of diatom community shifts in an ecologically significant section of the Antarctic coast. The sedimentary and paleontologic record in JPC24 records the inception of the Prydz Bay gyre during deglaciation, as well as an increase in sea ice and in wind-related turbulence over the last 7000 years. A record of diatom preservation for JPC24 has been established by examining dissolution-induced changes in the morphology of Fragilariopsis curta, a sea-ice-related diatom common in JPC24. Diatom dissolution in NBP0101-JPC24 does not significantly correlate with the relative abundance of any diatom species or ecological species group. However, dissolution is low during the deglacial, prior to the inception of the Prydz Bay gyre and resultant polynya, and increases as the gyre increases in size and strength to present conditions. Circulation in the upper water column associated with the modern persistent gyre causes diatoms and other silt-sized particles to remain in suspension. Prior studies have shown that diatoms exposed to caustic marine water continue to dissolve until they are sequestered in sediments. Once sequestered in the sediments, diatoms will stop dissolving when a chemical equilibrium has been achieved between silicic acid in solution and solid opal. Diatom dissolution, therefore, is seen to be controlled by physical oceanographic factors rather than diatom ecology.</t>
  </si>
  <si>
    <t>[Warnock, Jonathan P.] Indiana Univ Penn, Dept Geosci, Indiana, PA 15705 USA; [Scherer, Reed P.] Northern Illinois Univ, Dept Geol &amp; Environm Geosci, De Kalb, IL USA</t>
  </si>
  <si>
    <t>Pennsylvania State System of Higher Education (PASSHE); Indiana University of Pennsylvania; Northern Illinois University</t>
  </si>
  <si>
    <t>Warnock, JP (corresponding author), Indiana Univ Penn, Dept Geosci, Indiana, PA 15705 USA.</t>
  </si>
  <si>
    <t>jwarnock@iup.edu</t>
  </si>
  <si>
    <t>National Science Foundation [ANT-1043690]</t>
  </si>
  <si>
    <t>National Science Foundation(National Science Foundation (NSF))</t>
  </si>
  <si>
    <t>This work was supported by the National Science Foundation under grant [ANT-1043690].</t>
  </si>
  <si>
    <t>0269-249X</t>
  </si>
  <si>
    <t>2159-8347</t>
  </si>
  <si>
    <t>DIATOM RES</t>
  </si>
  <si>
    <t>Diatom Res.</t>
  </si>
  <si>
    <t>10.1080/0269249X.2016.1182075</t>
  </si>
  <si>
    <t>DU5DV</t>
  </si>
  <si>
    <t>WOS:000382233300005</t>
  </si>
  <si>
    <t>Abad, CJP; Codina, AN</t>
  </si>
  <si>
    <t>Pardo Abad, Carlos J.; Nieto Codina, Aurelio</t>
  </si>
  <si>
    <t>Tourism in Antarctica: conceptual precisions, general principles and theoretical perspectives</t>
  </si>
  <si>
    <t>ESTUDIOS GEOGRAFICOS</t>
  </si>
  <si>
    <t>Antarctica; ecotourism; scientific tourism; Antarctic tourism</t>
  </si>
  <si>
    <t>ECOTOURISM; SCIENCE</t>
  </si>
  <si>
    <t>For half a century Antarctic tourism has turned from being an elitist activity to become an economic sector that attracts a growing number of travelers. At present, the current human presence on the Antarctic continent brings about a dichotomy; on the one hand, nature tourists cruises, which may or may not land in Antarctica; on the other hand, scientific missions (another example of tourists), that in many cases maintain a continuous presence throughout the year. In this paper we examine this unique aspect, relating to international legislative regulation, reviewing theoretical approaches contributed by different authors, characterizing the problems arising from tourism and ecological impact of specifying the recent trends of Antarctic tourism from a geographical perspective.</t>
  </si>
  <si>
    <t>[Pardo Abad, Carlos J.; Nieto Codina, Aurelio] UNED, Dept Geog, Madrid, Spain; [Nieto Codina, Aurelio] UNED, Museo Nacl Ciencias Nat, CSIC, Madrid, Spain</t>
  </si>
  <si>
    <t>Universidad Nacional de Educacion a Distancia (UNED); Consejo Superior de Investigaciones Cientificas (CSIC); CSIC - Museo Nacional de Ciencias Naturales (MNCN); Universidad Nacional de Educacion a Distancia (UNED)</t>
  </si>
  <si>
    <t>Abad, CJP (corresponding author), UNED, Dept Geog, Madrid, Spain.</t>
  </si>
  <si>
    <t>cjpardo@geo.uned.es; ancodina@geo.uned.es</t>
  </si>
  <si>
    <t>CONSEJO SUPERIOR INVESTIGACIONES CIENTIFICAS-CSIC</t>
  </si>
  <si>
    <t>MADRID</t>
  </si>
  <si>
    <t>VITRUVIO 8, 28006 MADRID, SPAIN</t>
  </si>
  <si>
    <t>0014-1496</t>
  </si>
  <si>
    <t>1988-8546</t>
  </si>
  <si>
    <t>ESTUD GEOGR</t>
  </si>
  <si>
    <t>Estud. Geogr.</t>
  </si>
  <si>
    <t>JAN-JUN</t>
  </si>
  <si>
    <t>10.3989/estgeogr.201609</t>
  </si>
  <si>
    <t>DV2KJ</t>
  </si>
  <si>
    <t>WOS:000382749000009</t>
  </si>
  <si>
    <t>Pope, A; Willis, IC; Pálsson, F; Arnold, NS; Rees, WG; Björnsson, H; Grey, L</t>
  </si>
  <si>
    <t>Pope, Allen; Willis, Ian C.; Palsson, Finnur; Arnold, Neil S.; Rees, W. Gareth; Bjornsson, Helgi; Grey, Lauren</t>
  </si>
  <si>
    <t>Elevation change, mass balance, dynamics and surging of Langjokull, Iceland from 1997 to 2007</t>
  </si>
  <si>
    <t>Arctic glaciology; glacier mass balance; glacier surges; ice cap; remote sensing</t>
  </si>
  <si>
    <t>SEA-LEVEL RISE; ANTARCTIC ICE SHEETS; VESTARI-HAGAFELLSJOKULL; AIRBORNE LIDAR; VOLUME CHANGES; GLACIER MELT; LAPSE RATES; GREENLAND; SVALBARD; SURFACE</t>
  </si>
  <si>
    <t>Glaciers and ice caps around the world are changing quickly, with surge-type behaviour superimposed upon climatic forcing. Here, we study Iceland's second largest ice cap, Langjokull, which has both surge- and non-surge-type outlets. By differencing elevation change with surface mass balance, we estimate the contribution of ice dynamics to elevation change. We use DEMs, in situ stake measurements, regional reanalyses and a mass-balance model to calculate the vertical ice velocity. Thus, we not only compare the geodetic, modelled and glaciological mass balances, but also map spatial variations in glacier dynamics. Maps of emergence and submergence velocity successfully highlight the 1998 surge and subsequent quiescence of one of Langjokull's outlets by visualizing both source and sink areas. In addition to observing the extent of traditional surge behaviour (i.e. mass transfer from the accumulation area to the ablation area followed by recharge of the source area), we see peripheral areas where the surge impinged upon an adjacent ridge and subsequently retreated. While mass balances are largely in good agreement, discrepancies between modelled and geodetic mass balance may be explained by inaccurate estimates of precipitation, saturated adiabatic lapse rate or degree-day factors. Nevertheless, the study was ultimately able to investigate dynamic surge behaviour in the absence of in situ measurements during the surge.</t>
  </si>
  <si>
    <t>[Pope, Allen; Willis, Ian C.; Arnold, Neil S.; Rees, W. Gareth; Grey, Lauren] Univ Cambridge, Scott Polar Res Inst, Lensfield Rd, Cambridge CB2 1ER, England; [Pope, Allen] Univ Colorado, CIRES, Natl Snow &amp; Ice Data Ctr, 1540 30th St, Boulder, CO 80303 USA; [Pope, Allen] Univ Washington, Appl Phys Lab, Polar Sci Ctr, 1013 NE 40th St Box 355640, Seattle, WA 98105 USA; [Palsson, Finnur; Bjornsson, Helgi] Univ Iceland, Inst Earth Sci, IS-101 Reykjavik, Iceland</t>
  </si>
  <si>
    <t>University of Cambridge; University of Colorado System; University of Colorado Boulder; University of Washington; University of Washington Seattle; University of Iceland</t>
  </si>
  <si>
    <t>Pope, A (corresponding author), Univ Cambridge, Scott Polar Res Inst, Lensfield Rd, Cambridge CB2 1ER, England.;Pope, A (corresponding author), Univ Colorado, CIRES, Natl Snow &amp; Ice Data Ctr, 1540 30th St, Boulder, CO 80303 USA.;Pope, A (corresponding author), Univ Washington, Appl Phys Lab, Polar Sci Ctr, 1013 NE 40th St Box 355640, Seattle, WA 98105 USA.</t>
  </si>
  <si>
    <t>allen.pope@post.harvard.edu</t>
  </si>
  <si>
    <t>Rees, William Gareth/AAM-9701-2020; Arnold, Neil/AAI-2272-2021</t>
  </si>
  <si>
    <t>Rees, William Gareth/0000-0001-6020-1232; Pope, Allen/0000-0001-9699-7500; Willis, Ian/0000-0002-0750-7088</t>
  </si>
  <si>
    <t>UK Natural Environment Research Council Airborne Research and Survey Facility [IPY 07-08]; United States National Science Foundation [DGE-1038596]; St Catharine's College; University of Cambridge B.B. Roberts and Scandinavian Studies Funds; St John's College; Trinity College</t>
  </si>
  <si>
    <t>UK Natural Environment Research Council Airborne Research and Survey Facility; United States National Science Foundation(National Science Foundation (NSF)); St Catharine's College; University of Cambridge B.B. Roberts and Scandinavian Studies Funds; St John's College; Trinity College</t>
  </si>
  <si>
    <t>The in situ mass-balance survey of Langjokull was a joint effort of the Glaciology Group, Institute of Earth Sciences, University of Iceland and the National Power Company (Landsvirkjun). We thank Philippe Crochet and Tomas Johannesson from the Icelandic Meteorological Office for providing the gridded climate data and for useful discussions about the climatology of Langjokull. The 2007 lidar data were collected by the UK Natural Environment Research Council Airborne Research and Survey Facility (Grant IPY 07-08). Additional funding was provided by the United States National Science Foundation (Grant No. DGE-1038596), St Catharine's, St John's and Trinity Colleges and the University of Cambridge B.B. Roberts and Scandinavian Studies Funds. We thank Cameron Rye for initial help coding the mass-balance model. In addition, the authors would like to thank the creators and development teams of the freely available software used in this research, including Image) (http://rsb.info.nih.gov/ij/), MultiSpec (https://engineering.purdue.edu/similar to biehl/MultiSpec/), QGIS (http://www.qgis.org/), Plot (http://plot.micw.eu/), and Zotero (http://zotero.org/).</t>
  </si>
  <si>
    <t>10.1017/jog.2016.55</t>
  </si>
  <si>
    <t>DT4LK</t>
  </si>
  <si>
    <t>gold, Green Accepted, Green Submitted</t>
  </si>
  <si>
    <t>WOS:000381452400006</t>
  </si>
  <si>
    <t>Petenko, I</t>
  </si>
  <si>
    <t>Petenko, Igor</t>
  </si>
  <si>
    <t>Yukimarimo at Dome C, Antarctica</t>
  </si>
  <si>
    <t>Antarctic glaciology; atmosphere/ice/ocean interactions; snow/ice surface processes</t>
  </si>
  <si>
    <t>PLATEAU</t>
  </si>
  <si>
    <t>Balls of frost (yukimarimo) up to 12 cm in diameter and weighing up to 14 g were observed forming in light winds in the temperature range, -70 to -60 degrees C at Dome Charlie, Antarctica, during the 2014 winter. Their density ranged from 15 to 60 kg m(-3). Meteorological conditions during four formation periods are tabulated. Their formation seems to be due to a clumping of crystals caused by electrostatic attraction, followed by the collection of hoarfrost crystals while rolling along the snow surface.</t>
  </si>
  <si>
    <t>[Petenko, Igor] CNR, Inst Atmospher Sci &amp; Climate, Via Fosso Cavaliere 100, I-00133 Rome, Italy; [Petenko, Igor] RAS, AM Obukhov Inst Atmospher Phys, Pyzhevskiy 3, Moscow 119017, Russia</t>
  </si>
  <si>
    <t>Consiglio Nazionale delle Ricerche (CNR); Istituto di Scienze dell'Atmosfera e del Clima (ISAC-CNR); Russian Academy of Sciences; Obukhov Institute of Atmospheric Physics of Russian Academy of Sciences</t>
  </si>
  <si>
    <t>Petenko, I (corresponding author), CNR, Inst Atmospher Sci &amp; Climate, Via Fosso Cavaliere 100, I-00133 Rome, Italy.;Petenko, I (corresponding author), RAS, AM Obukhov Inst Atmospher Phys, Pyzhevskiy 3, Moscow 119017, Russia.</t>
  </si>
  <si>
    <t>i.petenko@isac.cnr.it</t>
  </si>
  <si>
    <t>Italian National Programme of Research in Antarctica (PNRA); PNRA; International Meteorological Organisation</t>
  </si>
  <si>
    <t>The observations were performed within the framework of the projects: 'Concordia multi-process atmospheric studies' (COMPASS) sponsored by the Italian National Programme of Research in Antarctica (PNRA); the Research Meteorological Observatory (RMO) Concordia sponsored by PNRA; the Baseline Surface Radiation Network (BSRN) sponsored by International Meteorological Organisation. I thank the leaders of these projects who supported my participation in this overwintering campaign. Also, I thank two anonymous reviewers for useful suggestions and comments. A special thanks to G. Dargaud for help in searching for corresponding information.</t>
  </si>
  <si>
    <t>10.1017/jog.2016.30</t>
  </si>
  <si>
    <t>WOS:000381452400013</t>
  </si>
  <si>
    <t>Scambos, T; Shuman, C</t>
  </si>
  <si>
    <t>Scambos, T.; Shuman, C.</t>
  </si>
  <si>
    <t>Comment on 'Mass gains of the Antarctic ice sheet exceed losses' by H. J. Zwally and others</t>
  </si>
  <si>
    <t>Letter</t>
  </si>
  <si>
    <t>GLACIAL-ISOSTATIC-ADJUSTMENT; SUBGLACIAL LAKE VOSTOK; EAST ANTARCTICA; GNSS OBSERVATIONS; GRACE; BALANCE; GREENLAND; UNCERTAINTIES; ELEVATION; LAND</t>
  </si>
  <si>
    <t>[Scambos, T.] Univ Colorado, Natl Snow &amp; Ice Data Ctr, Boulder, CO 80309 USA; [Shuman, C.] Univ Maryland Baltimore Cty, Joint Ctr Earth Syst Technol, Baltimore, MD 21250 USA; [Shuman, C.] NASA, Goddard Space Flight Ctr, Greenbelt, MD 20771 USA</t>
  </si>
  <si>
    <t>University of Colorado System; University of Colorado Boulder; University System of Maryland; University of Maryland Baltimore County; National Aeronautics &amp; Space Administration (NASA); NASA Goddard Space Flight Center</t>
  </si>
  <si>
    <t>Scambos, T (corresponding author), Univ Colorado, Natl Snow &amp; Ice Data Ctr, Boulder, CO 80309 USA.</t>
  </si>
  <si>
    <t>teds@nsidc.org</t>
  </si>
  <si>
    <t>Scambos, Ted A/B-1856-2009</t>
  </si>
  <si>
    <t>SCAMBOS, Ted A./0000-0003-4268-6322</t>
  </si>
  <si>
    <t>10.1017/jog.2016.59</t>
  </si>
  <si>
    <t>WOS:000381452400014</t>
  </si>
  <si>
    <t>Richter, A; Horwath, M; Dietrich, R</t>
  </si>
  <si>
    <t>Richter, A.; Horwath, M.; Dietrich, R.</t>
  </si>
  <si>
    <t>Comment on Zwally and others (2015)-Mass gains of the Antarctic ice sheet exceed losses</t>
  </si>
  <si>
    <t>SUBGLACIAL LAKE VOSTOK; EAST ANTARCTICA; GNSS OBSERVATIONS; ACCUMULATION; SNOW</t>
  </si>
  <si>
    <t>[Richter, A.; Horwath, M.; Dietrich, R.] Tech Univ Dresden, Inst Planetare Geodasie, D-01062 Dresden, Germany</t>
  </si>
  <si>
    <t>Technische Universitat Dresden</t>
  </si>
  <si>
    <t>Richter, A (corresponding author), Tech Univ Dresden, Inst Planetare Geodasie, D-01062 Dresden, Germany.</t>
  </si>
  <si>
    <t>andreas.richter@tu-dresden.de</t>
  </si>
  <si>
    <t>Horwath, Martin/ABH-4320-2020; Richter, Andreas/ABD-6833-2020</t>
  </si>
  <si>
    <t>Richter, Andreas/0000-0002-7900-4893; Richter, Andreas/0000-0002-8588-9755</t>
  </si>
  <si>
    <t>10.1017/jog.2016.60</t>
  </si>
  <si>
    <t>WOS:000381452400015</t>
  </si>
  <si>
    <t>Hoenner, X; Whiting, SD; Hamann, M; Limpus, CJ; Hindell, MA; McMahon, CR</t>
  </si>
  <si>
    <t>Hoenner, Xavier; Whiting, Scott D.; Hamann, Mark; Limpus, Colin J.; Hindell, Mark A.; McMahon, Clive R.</t>
  </si>
  <si>
    <t>High-resolution movements of critically endangered hawksbill turtles help elucidate conservation requirements in northern Australia</t>
  </si>
  <si>
    <t>Eretmochelys imbricata; home range; particle-dispersal models; satellite tracking; state-space models</t>
  </si>
  <si>
    <t>GREAT-BARRIER-REEF; ERETMOCHELYS-IMBRICATA; SEA-TURTLES; SATELLITE TRACKING; HABITAT-USE; HOME-RANGE; MIGRATION PATTERNS; MARINE TURTLES; GREEN TURTLES; SAMPLE-SIZE</t>
  </si>
  <si>
    <t>Despite being critically endangered, the at-sea behaviour of hawksbill turtles (Eretmochelys imbricata) remains insufficiently understood to support a global conservation strategy. Habitat location and spatial use are poorly documented, which is particularly true for the globally important Australian hawksbill population. We equipped 10 adult female hawksbill turtles nesting on Groote Eylandt, northern Australia, with Fastloc GPS and Argos satellite transmitters. We quantified fine-scale habitat use and area-restricted search behaviour, and located potential feeding and developmental habitats by simulating hatchling turtle dispersal patterns by using a particle-tracking hydrological model. During the breeding season, females mostly remained near their nesting site. Post-breeding, all turtles migrated to foraging sites on the Australian continental shelf, primarily in the Gulf of Carpentaria in coastal seagrass pastures, but also offshore near coral-reef platforms. The distribution of adult foraging grounds was similar to simulated dispersal patterns of hatchling turtles from distant rookeries, thus highlighting the ecological significance of the Gulf of Carpentaria for hawksbill turtles. Although this hawksbill turtle population is likely to be endemic to Australian waters, national and international conservation initiatives are required to mitigate sources of anthropogenic mortality (e.g. illegal tortoise-shell trade, incidental captures in fishing gear, marine debris, seabed mining exploitation).</t>
  </si>
  <si>
    <t>[Hoenner, Xavier; McMahon, Clive R.] Charles Darwin Univ, Res Inst Environm &amp; Livelihoods, Inst Adv Studies, Darwin, NT 0909, Australia; [Whiting, Scott D.] Dept Land Resource Management, POB 496, Palmerston, NT 0831, Australia; [Hamann, Mark] James Cook Univ, Sch Earth &amp; Environm Sci, Townsville, Qld 4811, Australia; [Limpus, Colin J.] Dept Environm &amp; Resource Management, Brisbane, Qld 4001, Australia; [Hindell, Mark A.; McMahon, Clive R.] Univ Tasmania, Inst Marine &amp; Antarctic Studies, Hobart, Tas 7001, Australia; [McMahon, Clive R.] Sydney Inst Marine Sci, 19 Chowder Bay Rd, Mosman, NSW 2088, Australia; [Hoenner, Xavier] Univ Tasmania, IMOS, Private Bag 110, Hobart, Tas 7001, Australia; [Whiting, Scott D.] Bentley Delivery Ctr, Dept Pk &amp; Wildlife, Locked Bag 104, Bentley, WA 6983, Australia</t>
  </si>
  <si>
    <t>Charles Darwin University; James Cook University; University of Tasmania; Sydney Institute of Marine Science; University of Tasmania</t>
  </si>
  <si>
    <t>Hoenner, X (corresponding author), Charles Darwin Univ, Res Inst Environm &amp; Livelihoods, Inst Adv Studies, Darwin, NT 0909, Australia.;Hoenner, X (corresponding author), Univ Tasmania, IMOS, Private Bag 110, Hobart, Tas 7001, Australia.</t>
  </si>
  <si>
    <t>McMahon, Clive R/D-5713-2013; Hoenner, Xavier/P-2676-2019; Hindell, Mark A/K-1131-2013</t>
  </si>
  <si>
    <t>McMahon, Clive R/0000-0001-5241-8917; Hoenner, Xavier/0000-0001-5811-1166; Hindell, Mark/0000-0002-7823-7185; Whiting, Scott/0000-0003-3339-9559; Hamann, Mark/0000-0003-4588-7955</t>
  </si>
  <si>
    <t>Australian Government under the Caring for Country Initiative; Anindilyakwa Land Council; Northern Territory Government; Charles Darwin University; ANZ Trustees Foundation - Holsworth Wildlife Research Endowment</t>
  </si>
  <si>
    <t>Australian Government under the Caring for Country Initiative(Australian Government); Anindilyakwa Land Council; Northern Territory Government; Charles Darwin University; ANZ Trustees Foundation - Holsworth Wildlife Research Endowment</t>
  </si>
  <si>
    <t>We are very grateful for the practical help provided by the Land and Sea Ranger Unit of the Anindilyakwa Land Council and thank the different communities of the Groote Eylandt archipelago for having granted us access to their traditional land and sacred sites. Our deepest thanks go to G. Enever, K. Lambert, R. Lalara, S. Lalara, E. Hobbs, M. Sauter and N. Maunders for their assistance in the field. We are especially grateful to our research funders: the Australian Government under the Caring for Country Initiative, the Anindilyakwa Land Council, the Northern Territory Government, Charles Darwin University, and the ANZ Trustees Foundation - Holsworth Wildlife Research Endowment.</t>
  </si>
  <si>
    <t>10.1071/MF15013</t>
  </si>
  <si>
    <t>DT4VS</t>
  </si>
  <si>
    <t>WOS:000381479900017</t>
  </si>
  <si>
    <t>Macleod, CK; Eriksen, RS; Chase, Z; Apitz, SE</t>
  </si>
  <si>
    <t>Solan, M; Whiteley, NM</t>
  </si>
  <si>
    <t>Macleod, Catriona K.; Eriksen, Ruth S.; Chase, Zanna; Apitz, Sabine E.</t>
  </si>
  <si>
    <t>Chemical pollutants in the marine environment: causes, effects, and challenges</t>
  </si>
  <si>
    <t>STRESSORS IN THE MARINE ENVIRONMENT: PHYSIOLOGICAL AND ECOLOGICAL RESPONSES, SOCIETAL IMPLICATIONS</t>
  </si>
  <si>
    <t>POLYCYCLIC AROMATIC-HYDROCARBONS; CAUSE FOOT DETACHMENT; VALDEZ OIL-SPILL; VITELLOGENIN INDUCTION; ANTIINFLAMMATORY DRUGS; ENDOCRINE DISRUPTORS; AQUATIC ENVIRONMENT; PLASTIC DEBRIS; COASTAL WATERS; PAPER-MILL</t>
  </si>
  <si>
    <t>[Macleod, Catriona K.; Eriksen, Ruth S.; Chase, Zanna] Univ Tasmania, Inst Marine &amp; Antarctic Studies, Private Bag 49, Hobart, Tas 7001, Australia; [Apitz, Sabine E.] SEA Environm Decis Ltd, 1 South Cottages, Little Hadham SG11 2AT, Herts, England</t>
  </si>
  <si>
    <t>University of Tasmania</t>
  </si>
  <si>
    <t>Macleod, CK (corresponding author), Univ Tasmania, Inst Marine &amp; Antarctic Studies, Private Bag 49, Hobart, Tas 7001, Australia.</t>
  </si>
  <si>
    <t>Apitz, Sabine E/V-7364-2019; MacLeod, Catriona K/J-7176-2014; Chase, Zanna/E-9232-2013; Eriksen, Ruth/J-7760-2014</t>
  </si>
  <si>
    <t>Chase, Zanna/0000-0001-5060-779X; Eriksen, Ruth/0000-0002-5184-2465</t>
  </si>
  <si>
    <t>198 MADISON AVENUE, NEW YORK, NY 10016 USA</t>
  </si>
  <si>
    <t>978-0-19-871882-6</t>
  </si>
  <si>
    <t>10.1093/acprof:oso/9780198718826.001.0001</t>
  </si>
  <si>
    <t>BF5MF</t>
  </si>
  <si>
    <t>WOS:000382276100014</t>
  </si>
  <si>
    <t>Moreau, S; Vidussi, F; Ferreyra, G; Mostajir, B</t>
  </si>
  <si>
    <t>Moreau, Sebastien; Vidussi, Francesca; Ferreyra, Gustavo; Mostajir, Behzad</t>
  </si>
  <si>
    <t>Ecological impacts of ultraviolet-B radiation on marine ecosystems</t>
  </si>
  <si>
    <t>DIATOM THALASSIOSIRA-PSEUDONANA; UV-ABSORBING COMPOUNDS; GLOBAL CLIMATE-CHANGE; INDUCED DNA-DAMAGE; ARCTIC OZONE LOSS; SEA-ICE; ANTARCTIC PENINSULA; ORGANIC-MATTER; AMBIENT UV; NATURAL PHYTOPLANKTON</t>
  </si>
  <si>
    <t>[Moreau, Sebastien] Catholic Univ Louvain, Georges Lemaitre Ctr Earth &amp; Climate Res, Earth &amp; Life Inst, Louvain La Neuve, Belgium; [Vidussi, Francesca; Mostajir, Behzad] Univ Montpellier, Ctr Marine Biodivers Exploitat &amp; Conservat MARBEC, IFREMER, IRD,CNRS,UMR 9190, Pl E Bataillon Univ Montpellier Case 93, Montpellier 05, France; [Ferreyra, Gustavo] Univ Quebec, Inst Sci Mer Rimouski ISMER, 310 Allee Ursulines, Rimouski, PQ G5L 3A1, Canada</t>
  </si>
  <si>
    <t>Universite Catholique Louvain; Institut de Recherche pour le Developpement (IRD); Centre National de la Recherche Scientifique (CNRS); Ifremer; Universite de Montpellier; University of Quebec</t>
  </si>
  <si>
    <t>Moreau, S (corresponding author), Catholic Univ Louvain, Georges Lemaitre Ctr Earth &amp; Climate Res, Earth &amp; Life Inst, Louvain La Neuve, Belgium.</t>
  </si>
  <si>
    <t>Vidussi, Francesca/KGM-2228-2024</t>
  </si>
  <si>
    <t>Vidussi, Francesca/0000-0003-2007-9003; Moreau, Sebastien/0000-0001-9446-812X</t>
  </si>
  <si>
    <t>WOS:000382276100016</t>
  </si>
  <si>
    <t>Campagne, P; Crosta, X; Schmidt, S; Houssais, MN; Ther, O; Massé, G</t>
  </si>
  <si>
    <t>Campagne, Philippine; Crosta, Xavier; Schmidt, Sabine; Houssais, Marie Noelle; Ther, Olivier; Masse, Guillaume</t>
  </si>
  <si>
    <t>Sedimentary response to sea ice and atmospheric variability over the instrumental period off Adelie Land, East Antarctica</t>
  </si>
  <si>
    <t>BIOGEOSCIENCES</t>
  </si>
  <si>
    <t>MERTZ GLACIER POLYNYA; SOUTHERN-OCEAN SEDIMENTS; MAJOR DIATOM TAXA; DUMONT DURVILLE; INTERANNUAL VARIABILITY; WATER PRODUCTION; KATABATIC WINDS; TERRE ADELIE; SHELF; OCEANOGRAPHY</t>
  </si>
  <si>
    <t>Diatoms account for a large proportion of primary productivity in Antarctic coastal and continental shelf zones. Diatoms, which have been used for a long time to infer past sea surface conditions in the Southern Ocean, have recently been associated with diatom-specific biomarkers (highly branched isoprenoids, HBI). Our study is one of the few sedimentary research projects on diatom ecology and associated biomarkers in the Antarctic seasonal sea ice zone. To date, the Adelie Land region has received little attention, despite evidence for the presence of high accumulation of laminated sediment, allowing for finer climate reconstructions and sedimentary process studies. Here we provide a sequence of seasonally to annually laminated diatomaceous sediment from a 72.5 cm interface core retrieved on the continental shelf off Adelie Land, covering the 1970-2010 CE period. Investigations through statistical analyses of diatom communities, diatom-specific biomarkers and major element abundances document the relationships between these proxies at an unprecedented resolution. Additionally, comparison of sedimentary records to meteorological data monitored by automatic weather station and satellite derived sea ice concentrations help to refine the relationships between our proxies and environmental conditions over the last decades. Our results suggest a coupled interaction of the atmospheric and sea surface variability on sea ice seasonality, which acts as the proximal forcing of siliceous productivity at that scale.</t>
  </si>
  <si>
    <t>[Campagne, Philippine; Crosta, Xavier; Schmidt, Sabine; Ther, Olivier] Univ Bordeaux, EPOC, UMR CNRS 5805, Allee Geoffroy St Hilaire, F-33615 Pessac, France; [Campagne, Philippine; Houssais, Marie Noelle; Masse, Guillaume] Univ Paris 06, LOCEAN, UMR CNRS UPCM IRD MNHN 7159, 4 Pl Jussieu, F-75252 Paris, France; [Campagne, Philippine; Masse, Guillaume] Univ Laval, Dept Biol, TAKUVIK, UMI UL CNRS 3376, Quebec City, PQ G1V 0A6, Canada; [Campagne, Philippine] Univ Laval, Quebec Ocean, 1045 Ave Med, Quebec City, PQ G1V 0A6, Canada</t>
  </si>
  <si>
    <t>Centre National de la Recherche Scientifique (CNRS); CNRS - National Institute for Earth Sciences &amp; Astronomy (INSU); Universite de Bordeaux; Museum National d'Histoire Naturelle (MNHN); Sorbonne Universite; Laval University; Laval University</t>
  </si>
  <si>
    <t>Campagne, P (corresponding author), Univ Bordeaux, EPOC, UMR CNRS 5805, Allee Geoffroy St Hilaire, F-33615 Pessac, France.;Campagne, P (corresponding author), Univ Paris 06, LOCEAN, UMR CNRS UPCM IRD MNHN 7159, 4 Pl Jussieu, F-75252 Paris, France.;Campagne, P (corresponding author), Univ Laval, Dept Biol, TAKUVIK, UMI UL CNRS 3376, Quebec City, PQ G1V 0A6, Canada.;Campagne, P (corresponding author), Univ Laval, Quebec Ocean, 1045 Ave Med, Quebec City, PQ G1V 0A6, Canada.</t>
  </si>
  <si>
    <t>p.campagne@epoc.u-bordeaux1.fr</t>
  </si>
  <si>
    <t>Schmidt, Sabine/G-1193-2013; campagne, philippine/G-3444-2017</t>
  </si>
  <si>
    <t>Schmidt, Sabine/0000-0002-5985-9747; campagne, philippine/0000-0002-4784-2008</t>
  </si>
  <si>
    <t>ERC [203441]; ANR CLIMICE project; FP7 Past4Future project [243908]; CNRS (Centre National de la Recherche Scientifique); FRQNT (Fonds de recherche du Quebec - Nature et technologies); French Polar Institute [452, 1010]; European Research Council (ERC) [203441] Funding Source: European Research Council (ERC)</t>
  </si>
  <si>
    <t>ERC(European Research Council (ERC)); ANR CLIMICE project(Agence Nationale de la Recherche (ANR)); FP7 Past4Future project; CNRS (Centre National de la Recherche Scientifique)(Centre National de la Recherche Scientifique (CNRS)); FRQNT (Fonds de recherche du Quebec - Nature et technologies); French Polar Institute; European Research Council (ERC)(European Research Council (ERC)Spanish Government)</t>
  </si>
  <si>
    <t>This research was funded by the ERC StG ICEPROXY project (203441), the ANR CLIMICE project and FP7 Past4Future project (243908). The CNRS (Centre National de la Recherche Scientifique) and the FRQNT (Fonds de recherche du Quebec - Nature et technologies) provided the student fellowship. The French Polar Institute provided logistical support for sediment and data collection (IPEV projects 452 and 1010). This is ESF PolarClimate HOLOCLIP contribution no. 24 and Past4Future contribution no. 83. The authors thank Johan Etourneau and Emmanuelle Sultan for sample collection. The authors thank Debra Christiansen-Stowe and Julie Sansoulet for administrative assistance.</t>
  </si>
  <si>
    <t>1726-4170</t>
  </si>
  <si>
    <t>1726-4189</t>
  </si>
  <si>
    <t>Biogeosciences</t>
  </si>
  <si>
    <t>10.5194/bg-13-4205-2016</t>
  </si>
  <si>
    <t>DT0ZU</t>
  </si>
  <si>
    <t>WOS:000381212300009</t>
  </si>
  <si>
    <t>Rusinova-Videva, S; Dimitrova, S; Georgieva, K; Katsarova, M; Pavlova, K</t>
  </si>
  <si>
    <t>Rusinova-Videva, Snezhana; Dimitrova, Stela; Georgieva, Katerina; Katsarova, Mariana; Pavlova, Kostantsa</t>
  </si>
  <si>
    <t>EFFECT OF Zn2+, Cu2+ AND Fe2+ IONS FOR ACCUMULATION OF ERGOSTEROL, β-CAROTENE AND COENZYME Q10 BY ANTARCTIC YEAST STRAIN SPOROBOLOMYCES SALMONICOLOR AL1</t>
  </si>
  <si>
    <t>COMPTES RENDUS DE L ACADEMIE BULGARE DES SCIENCES</t>
  </si>
  <si>
    <t>Antarctic yeasts; ergosterol; beta-carotene; coenzyme Q(10); ions</t>
  </si>
  <si>
    <t>SACCHAROMYCES-CEREVISIAE; ZINC; SUPEROXIDE</t>
  </si>
  <si>
    <t>The subject of our research was the study of the effects of Zn2+, Cu2+ and Fe2+ ions and the cultivation conditions on the bioaccumulation of ergosterol, beta-carotene, and coenzyme Q(10) in Sporobolomyces salmonicolor AL(1) biomass and tracing their behaviour at different storage conditions. The yeast strain Sp. salmonicolor AL(1) was isolated from soil lichen from the region of the Bulgarian base on Livingston Island, Antarctica. The strain was cultivated under different conditions - surface cultivation at 5 degrees C and 22 degrees C on fermentation medium+agar for 10 days, and submerged at 22 degrees C for 96 h in presence of Zn2+, Cu2+ and Fe2+ ions in different concentrations. The compounds ergosterol, beta-carotene and coenzyme Q(10) were quantified using HPLC method. By increasing the Zn2+ concentration from 19 to 112 ppm the quantities of ergosterol, beta-carotene and coenzyme Q(10) were increased in the range of 1671 to 3230 mu g/g for ergosterol, from 65.9 to 128.75 mu g/g for beta-carotene and from 72.7 to 115.25 mu g/g (between 19 and 75 ppm, at submerge cultivation) for coenzyme Q(10), whereas higher concentrations of Zn2+ suppressed them. The biosynthesis of metabolites in the presence of Fe2+ ion in the medium under submerged cultivation was suppressed. It was stimulated by Cu2+ at concentration 0.2 ppm but further increasing of its concentration inhibits their bioaccumulation. The stability of metabolites at different storage (temperature, dark or light, time) conditions was studied. The data showed that the beta-carotene decomposes at the storage conditions set, where as ergosterol remains stable up to 216 h of storage at 5 degrees C in the dark. Coenzyme Q(10) was stable at 5 degrees C in the dark up to 144 h.</t>
  </si>
  <si>
    <t>[Rusinova-Videva, Snezhana; Georgieva, Katerina; Pavlova, Kostantsa] Bulgarian Acad Sci, Dept Appl Microbiol, Stephan Angeloff Inst Microbiol, 139 Ruski Blvd, Plovdiv 4000, Bulgaria; [Dimitrova, Stela; Katsarova, Mariana] Med Univ Plovdiv, Fac Pharm, Dept Chem &amp; Biochem, 15A V Aprilov Blvd, Plovdiv 4002, Bulgaria</t>
  </si>
  <si>
    <t>Bulgarian Academy of Sciences; Stephan Angeloff Institute of Microbiology, Bulgarian Academy of Sciences; Medical University Plovdiv</t>
  </si>
  <si>
    <t>Rusinova-Videva, S (corresponding author), Bulgarian Acad Sci, Dept Appl Microbiol, Stephan Angeloff Inst Microbiol, 139 Ruski Blvd, Plovdiv 4000, Bulgaria.</t>
  </si>
  <si>
    <t>jrusinova@abv.bg</t>
  </si>
  <si>
    <t>Dimitrova, Stela/0000-0001-5831-2574</t>
  </si>
  <si>
    <t>National Fund Scientific Investigation [DTK 02/46]</t>
  </si>
  <si>
    <t>National Fund Scientific Investigation</t>
  </si>
  <si>
    <t>The study was supported by Grant DTK 02/46 from the National Fund Scientific Investigation.</t>
  </si>
  <si>
    <t>PUBL HOUSE BULGARIAN ACAD SCI</t>
  </si>
  <si>
    <t>ACADEMICIAN G BONCEV ST, 1113 SOFIA, BULGARIA</t>
  </si>
  <si>
    <t>1310-1331</t>
  </si>
  <si>
    <t>CR ACAD BULG SCI</t>
  </si>
  <si>
    <t>C. R. Acad. Bulg. Sci.</t>
  </si>
  <si>
    <t>Multidisciplinary Sciences</t>
  </si>
  <si>
    <t>Science &amp; Technology - Other Topics</t>
  </si>
  <si>
    <t>DU7RC</t>
  </si>
  <si>
    <t>WOS:000382411300006</t>
  </si>
  <si>
    <t>Ma, C; Li, F; Zhang, SK; Lei, JT; Zhang, QC; Li, WH</t>
  </si>
  <si>
    <t>Sun, J; Liu, J; Fan, S; Wang, F</t>
  </si>
  <si>
    <t>Ma, Chao; Li, Fei; Zhang, Sheng-kai; Lei, Jin-tao; Zhang, Qingchuan; Li, Wenhao</t>
  </si>
  <si>
    <t>The Effect of Colored Noise on the Coordinate Time Series Analysis of Continuous GPS Stations in Antarctic Peninsula</t>
  </si>
  <si>
    <t>CHINA SATELLITE NAVIGATION CONFERENCE (CSNC) 2016 PROCEEDINGS, VOL III</t>
  </si>
  <si>
    <t>Lecture Notes in Electrical Engineering</t>
  </si>
  <si>
    <t>7th China Satellite Navigation Conference (CSNC)</t>
  </si>
  <si>
    <t>MAY 18-20, 2016</t>
  </si>
  <si>
    <t>Changsha, PEOPLES R CHINA</t>
  </si>
  <si>
    <t>Antarctic Peninsula; GPS; Time series; Colored noise</t>
  </si>
  <si>
    <t>Recent researches show not only white noise but also colored noise widely existed in various continuous GPS station coordinate time series, and the colored noise also has an important influence on GPS time series analysis. To determine the optimal noise model of GPS time series in the Antarctic Peninsula, and analyze the influence of colored noise and spatial filtering on the parameters estimation and uncertainty of GPS coordinate time series, the GAMIT/GLOBK 10.5 software is used to solve the measured data of eight GPS stations from 2010 to 2014, and the CATS software is used to estimate the parameters of the coordinate time series in different noise models. The results show that, (1) the combination of white noise, flicker noise, and random walk noise is the best noise model in the Antarctic Peninsula; (2) The main component of the noise model is flicker noise, and the random walk noise only exists in the east direction of a few stations; (3) In Antarctic Peninsula area, regional spatial filtering can greatly reduce the uncertainties in the linear and periodic parameter estimation of GPS time series, by effectively reducing the white noise, flicker noise, and random walk noise.</t>
  </si>
  <si>
    <t>[Ma, Chao; Li, Fei; Zhang, Sheng-kai; Lei, Jin-tao; Zhang, Qingchuan; Li, Wenhao] Wuhan Univ, Chinese Antarctic Ctr Surveying &amp; Mapping, Wuhan 430079, Peoples R China</t>
  </si>
  <si>
    <t>Wuhan University</t>
  </si>
  <si>
    <t>Zhang, SK (corresponding author), Wuhan Univ, Chinese Antarctic Ctr Surveying &amp; Mapping, Wuhan 430079, Peoples R China.</t>
  </si>
  <si>
    <t>zskai@whu.edu.cn</t>
  </si>
  <si>
    <t>LEI, Jintao/HHZ-6471-2022</t>
  </si>
  <si>
    <t>SPRINGER</t>
  </si>
  <si>
    <t>233 SPRING STREET, NEW YORK, NY 10013, UNITED STATES</t>
  </si>
  <si>
    <t>1876-1100</t>
  </si>
  <si>
    <t>1876-1119</t>
  </si>
  <si>
    <t>978-981-10-0940-2; 978-981-10-0939-6</t>
  </si>
  <si>
    <t>LECT NOTES ELECTR EN</t>
  </si>
  <si>
    <t>10.1007/978-981-10-0940-2_39</t>
  </si>
  <si>
    <t>Engineering, Aerospace; Engineering, Electrical &amp; Electronic; Telecommunications</t>
  </si>
  <si>
    <t>Engineering; Telecommunications</t>
  </si>
  <si>
    <t>BF5EG</t>
  </si>
  <si>
    <t>WOS:000381921700039</t>
  </si>
  <si>
    <t>Sacks, BJ</t>
  </si>
  <si>
    <t>Liebenberg, E; Demhardt, IJ; Vervust, S</t>
  </si>
  <si>
    <t>Sacks, Benjamin J.</t>
  </si>
  <si>
    <t>Whose Islands? The Cartographic Politics of the Falklands, 1763-1982</t>
  </si>
  <si>
    <t>HISTORY OF MILITARY CARTOGRAPHY</t>
  </si>
  <si>
    <t>Lecture Notes in Geoinformation and Cartography</t>
  </si>
  <si>
    <t>5th International Symposium of the ICA Commission on the History of Cartography</t>
  </si>
  <si>
    <t>DEC 02-05, 2014</t>
  </si>
  <si>
    <t>Ghent Univ, Ghent, BELGIUM</t>
  </si>
  <si>
    <t>Ghent Univ</t>
  </si>
  <si>
    <t>COLONIZATION; ARGENTINA; SOCIETY</t>
  </si>
  <si>
    <t>For nearly 250 years a desolate, rocky archipelago between Tierra del Fuego and the Antarctic Peninsula has captivated, inspired, and angered the empires of the Atlantic world. The Falkland Islands have witnessed the clash of cultures and politics, the competing destinies of Britain, France, Spain, Argentina, and even the United States. Although recent tensions between London and Buenos Aires have renewed interest in the Falklands, scholars and commentators alike continue to omit the vital historical and contemporary role cartography plays in this longstanding dispute. This article demonstrates that at significant moments in the Falklands' past, maps and their makers acted both as potent visual manifestations of national propaganda and imperial interest, as well as important tools of negotiation. Ultimately, Falklands cartography proves to be an invaluable asset of historical knowledge as well as a problematic source of friction and confusion.</t>
  </si>
  <si>
    <t>[Sacks, Benjamin J.] Princeton Univ, Princeton, NJ 08544 USA</t>
  </si>
  <si>
    <t>Princeton University</t>
  </si>
  <si>
    <t>Sacks, BJ (corresponding author), Princeton Univ, Princeton, NJ 08544 USA.</t>
  </si>
  <si>
    <t>bsacks@princeton.edu</t>
  </si>
  <si>
    <t>1863-2246</t>
  </si>
  <si>
    <t>1863-2351</t>
  </si>
  <si>
    <t>978-3-319-25244-5; 978-3-319-25242-1</t>
  </si>
  <si>
    <t>LECT NOTES GEOINF CA</t>
  </si>
  <si>
    <t>10.1007/978-3-319-25244-5_18</t>
  </si>
  <si>
    <t>Geography; History</t>
  </si>
  <si>
    <t>Conference Proceedings Citation Index - Social Science &amp; Humanities (CPCI-SSH)</t>
  </si>
  <si>
    <t>BF5EL</t>
  </si>
  <si>
    <t>WOS:000381930600018</t>
  </si>
  <si>
    <t>Zhang, T; Zhu, ML; Sun, GY; Li, N; Gu, QQ; Li, DH; Che, Q; Zhu, TJ</t>
  </si>
  <si>
    <t>Zhang, Ting; Zhu, Mei-Lin; Sun, Guang-Yu; Li, Na; Gu, Qian-Qun; Li, De-Hai; Che, Qian; Zhu, Tian-Jiao</t>
  </si>
  <si>
    <t>Exopisiod B and farylhydrazone C, two new alkaloids from the Antarctic-derived fungus Penicillium sp. HDN14-431</t>
  </si>
  <si>
    <t>JOURNAL OF ASIAN NATURAL PRODUCTS RESEARCH</t>
  </si>
  <si>
    <t>Exopisiod; farylhydrazone; Antarctic-derived fungus; absolute configuration; ECD calculations</t>
  </si>
  <si>
    <t>NATURAL-PRODUCTS; METABOLITES</t>
  </si>
  <si>
    <t>Two new compounds, exopisiod B (1) and farylhydrazone C (2), together with two known compounds (3-4), were isolated from the Antarctic-derived fungus Penicillium sp. HDN14-431. Their structures including absolute configurations were elucidated by spectroscopic methods and TDDFT ECD calculations. The cytotoxicity and antimicrobial activities of all compounds were tested.</t>
  </si>
  <si>
    <t>[Zhang, Ting; Zhu, Mei-Lin; Sun, Guang-Yu; Li, Na; Gu, Qian-Qun; Li, De-Hai; Che, Qian; Zhu, Tian-Jiao] Ocean Univ China, Sch Med &amp; Pharm, Key Lab Marine Drugs, Chinese Minist Educ, Qingdao 266003, Peoples R China</t>
  </si>
  <si>
    <t>Ocean University of China</t>
  </si>
  <si>
    <t>Che, Q; Zhu, TJ (corresponding author), Ocean Univ China, Sch Med &amp; Pharm, Key Lab Marine Drugs, Chinese Minist Educ, Qingdao 266003, Peoples R China.</t>
  </si>
  <si>
    <t>cheqian064@ouc.edu.cn; zhutj@ouc.edu.cn</t>
  </si>
  <si>
    <t>Li, Dehai/G-7656-2012</t>
  </si>
  <si>
    <t>Li, Dehai/0000-0002-7191-2002</t>
  </si>
  <si>
    <t>National Natural Science Foundation of China [41376147, 21372208]; Chinese Polar Environment Comprehensive Investigation &amp; Assessment Programmes [CHINARE2015-01-06-06]; Shandong Provincial Natural Science Fund for Distinguished Young Scholars [JQ201422]; Program for New Century Excellent Talents in University [NCET-12-0499]; NSFC-Shandong Joint Fund for Marine Science Research Centers [U1406402]; Fundamental Research Funds for the Central Universities</t>
  </si>
  <si>
    <t>National Natural Science Foundation of China(National Natural Science Foundation of China (NSFC)); Chinese Polar Environment Comprehensive Investigation &amp; Assessment Programmes; Shandong Provincial Natural Science Fund for Distinguished Young Scholars; Program for New Century Excellent Talents in University(Program for New Century Excellent Talents in University (NCET)); NSFC-Shandong Joint Fund for Marine Science Research Centers; Fundamental Research Funds for the Central Universities(Fundamental Research Funds for the Central Universities)</t>
  </si>
  <si>
    <t>This work was financially supported by the National Natural Science Foundation of China [Nos. 41376147 and 21372208]; Chinese Polar Environment Comprehensive Investigation &amp; Assessment Programmes [CHINARE2015-01-06-06], The Shandong Provincial Natural Science Fund for Distinguished Young Scholars [JQ201422], the Program for New Century Excellent Talents in University [NCET-12-0499], and NSFC-Shandong Joint Fund for Marine Science Research Centers [U1406402]. This work also supported by the Fundamental Research Funds for the Central Universities.</t>
  </si>
  <si>
    <t>1028-6020</t>
  </si>
  <si>
    <t>1477-2213</t>
  </si>
  <si>
    <t>J ASIAN NAT PROD RES</t>
  </si>
  <si>
    <t>J. Asian Nat. Prod. Res.</t>
  </si>
  <si>
    <t>10.1080/10286020.2016.1174699</t>
  </si>
  <si>
    <t>Plant Sciences; Chemistry, Applied; Chemistry, Medicinal; Pharmacology &amp; Pharmacy</t>
  </si>
  <si>
    <t>Science Citation Index Expanded (SCI-EXPANDED); Index Chemicus (IC)</t>
  </si>
  <si>
    <t>Plant Sciences; Chemistry; Pharmacology &amp; Pharmacy</t>
  </si>
  <si>
    <t>DT5AW</t>
  </si>
  <si>
    <t>WOS:000381494000007</t>
  </si>
  <si>
    <t>Bauer, W; Siemes, H; Spaeth, G; Jacobs, J</t>
  </si>
  <si>
    <t>Bauer, Wilfried; Siemes, Heinrich; Spaeth, Gerhard; Jacobs, Joachim</t>
  </si>
  <si>
    <t>Transpression and tectonic exhumation in the Heimefrontfjella, western orogenic front of the East African/Antarctic Orogen, revealed by quartz textures of high strain domains</t>
  </si>
  <si>
    <t>Dronning Maud Land; quartz microfabrics; X-ray texture goniometry; shear zones; mylonites</t>
  </si>
  <si>
    <t>DRONNING MAUD LAND; PLASTIC-DEFORMATION; FABRIC DEVELOPMENT; PREFERRED ORIENTATIONS; GRENVILLE-AGE; FAULT ZONE; ANTARCTICA; MICROSTRUCTURES; BASEMENT; MODEL</t>
  </si>
  <si>
    <t>The metamorphic basement of the Heimefrontfjella in western Dronning Maud Land (Antarctica) forms the western margin of the major ca. 500 million year old East African/East Antarctic Orogen that resulted from the collision of East Antarctica and greater India with the African cratons. The boundary between the tectonothermally overprinted part of the orogen and its north-western foreland is marked by the subvertical Heimefront Shear Zone. North-west of the Heimefront Shear Zone, numerous low-angle dipping ductile thrust zones cut through the Mesoproterozoic basement. Petrographic studies, optical quartz c-axis analyses and x-ray texture goniometry of quartz-rich mylonites were used to reveal the conditions that prevailed during the deformation. Mineral assemblages in thrust mylonites show that they were formed under greenschist-facies conditions. Quartz microstructures are characteristic of the subgrain rotation regime and oblique quartz lattice preferred orientations are typical of simple shear-dominated deformation. In contrast, in the Heimefront Shear Zone, quartz textures indicate mainly flattening strain with a minor dextral rotational component. These quartz microstructures and lattice preferred orientations show signs of post-tectonic annealing following the tectonic exhumation. The spatial relation between the sub-vertical Heimefront Shear Zone and the low-angle thrusts can be explained as being the result of strain partitioning during transpressive deformation. The pure-shear component with a weak dextral strike-slip was accommodated by the Heimefront Shear Zone, whereas the north-north-west directed thrusts accommodate the simple shear component with a tectonic transport towards the foreland of the orogen.</t>
  </si>
  <si>
    <t>[Bauer, Wilfried; Siemes, Heinrich; Spaeth, Gerhard] Rhein Westfal TH Aachen, Energy &amp; Mineral Resources Grp, Wullnerstr 2, DE-52056 Aachen, Germany; [Bauer, Wilfried] German Univ Technol Oman, Dept Appl Geosci, POB 1816, Athaibah 130, Oman; [Jacobs, Joachim] Univ Bergen, Dept Earth Sci, Allegaten 41, NO-5007 Bergen, Norway; [Jacobs, Joachim] Norwegian Polar Res Inst, Fram Ctr, POB Langnes, NO-9296 Tromso, Norway</t>
  </si>
  <si>
    <t>RWTH Aachen University; University of Bergen; Norwegian Polar Institute</t>
  </si>
  <si>
    <t>Bauer, W (corresponding author), German Univ Technol Oman, Dept Appl Geosci, POB 1816, Athaibah 130, Oman.</t>
  </si>
  <si>
    <t>bauer@geol.rwth-aachen.de</t>
  </si>
  <si>
    <t>Bauer, Wilfried/AAB-2269-2019</t>
  </si>
  <si>
    <t>Bauer, Wilfried/0000-0003-0359-8952</t>
  </si>
  <si>
    <t>German Science Foundation [Sp 235/8]</t>
  </si>
  <si>
    <t>German Science Foundation(German Research Foundation (DFG))</t>
  </si>
  <si>
    <t>Funding for this study provided by the German Science Foundation within the project Gesteinsbestand und strukturelle Entwicklung der Heimefrontfjella/Antarktika (Sp 235/8) is gratefully acknowledged. The fieldwork was logistically supported by the Alfred Wegener Institute. This manuscript has greatly benefited from the reviews by L.F.G. Morales, H. Stunitz, S. Oriolo and R.J. Thomas. We also would like to thank H. Goldman for the editorial handling. This is a contribution to the IGCP 648 Supercontinent Cycles and Global Geodynamics project.</t>
  </si>
  <si>
    <t>10.3402/polar.v35.25420</t>
  </si>
  <si>
    <t>DS8NR</t>
  </si>
  <si>
    <t>WOS:000381040600001</t>
  </si>
  <si>
    <t>Diaz, JI; Fusaro, B; Longarzo, L; Coria, NR; Vidal, V; D'Amico, V; Barbosa, A</t>
  </si>
  <si>
    <t>Ines Diaz, Julia; Fusaro, Bruno; Longarzo, Lucrecia; Ruben Coria, Nestor; Vidal, Virginia; D'Amico, Veronica; Barbosa, Andres</t>
  </si>
  <si>
    <t>Gastrointestinal helminths of Adelie penguins (Pygoscelis adeliae) from Antarctica</t>
  </si>
  <si>
    <t>Parorchites zederi; Stegophorus macronectes; Tetrameres sp.; parasites; ecosystem health</t>
  </si>
  <si>
    <t>ECOLOGICAL SEGREGATION; GEORGE-ISLAND; CLIMATE; PARASITES; DISEASES; GENTOO</t>
  </si>
  <si>
    <t>Knowledge about parasitic organisms in Antarctica is scarce and fragmentary. The study reported here adds to the knowledge of gastrointestinal parasites of the Adelie penguin (Pygoscelis adeliae) (Sphenisciformes), from 25 de Mayo/King George Island (South Shetlands), Bahia Esperanza (Hope Bay) and Avian Island (Antarctica). Thirty-five freshly dead specimens (20 chicks and 15 adults) were collected from December 2007 to December 2014 and examined for internal macroparasites. Three adult parasite species were found: one Cestoda, Parorchites zederi, and two Nematoda, Stegophorus macronectes and Tetrameres sp. Immature Tetrabothrius sp. were found in hosts from Avian Island. Helminth communities are known to be related to host feeding behaviours. Low parasite richness observed in Adelie penguins could be related to the stenophagic and pelagic diet of this host species, which feeds almost exclusively on krill.</t>
  </si>
  <si>
    <t>[Ines Diaz, Julia; Fusaro, Bruno; Longarzo, Lucrecia] Univ Nacl La Plata, Consejo Nacl Invest Cient &amp; Tecn, Fac Ciencias Nat &amp; Museo, Ctr Estudios Parasitol &amp; Vectores, Buenos Aires, DF, Argentina; [Fusaro, Bruno; Ruben Coria, Nestor] Inst Antartico Argentino, Direcc Nacl Antartico, Proyecto Aves, Buenos Aires, DF, Argentina; [Vidal, Virginia; Barbosa, Andres] CSIC, Museo Nacl Ciencias Nat, Dept Ecol Evolut, Madrid, Spain; [D'Amico, Veronica] Consejo Nacl Invest Cient &amp; Tecn, Ctr Nacl Patagon, Puerto Madryn, Chubut, Argentina</t>
  </si>
  <si>
    <t>Consejo Nacional de Investigaciones Cientificas y Tecnicas (CONICET); National University of La Plata; Instituto Antartico Argentino; Consejo Superior de Investigaciones Cientificas (CSIC); CSIC - Museo Nacional de Ciencias Naturales (MNCN); Consejo Nacional de Investigaciones Cientificas y Tecnicas (CONICET); Centro Nacional Patagonico (CENPAT)</t>
  </si>
  <si>
    <t>Diaz, JI (corresponding author), Ctr Estudios Parasitol &amp; Vectores, 120 S-N,Entre 61 &amp; 62, RA-1900 La Plata, Buenos Aires, Argentina.</t>
  </si>
  <si>
    <t>jidiaz@cepave.edu.ar</t>
  </si>
  <si>
    <t>Barbosa, Andrés/C-3208-2008</t>
  </si>
  <si>
    <t>Barbosa, Andrés/0000-0001-8434-3649</t>
  </si>
  <si>
    <t>Direccion Nacional del Antartico (DNA); Spanish Ministry of Economy and Competitiveness; European Regional Development Fund [CGL2007-60369, CTM2011-24427]; Spanish Council of Scientific Research [JAEPre08-01053]; Universidad Nacional de la Plata [N628, N758]; Consejo Nacional de Investigaciones Cientificas y Tecnicas, Argentina [PIP698]</t>
  </si>
  <si>
    <t>Direccion Nacional del Antartico (DNA); Spanish Ministry of Economy and Competitiveness(Spanish Government); European Regional Development Fund(European Union (EU)); Spanish Council of Scientific Research; Universidad Nacional de la Plata(National University of La Plata); Consejo Nacional de Investigaciones Cientificas y Tecnicas, Argentina(Consejo Nacional de Investigaciones Cientificas y Tecnicas (CONICET))</t>
  </si>
  <si>
    <t>We very much appreciate the hospitality and logistic support of the Argentine Antarctic Base Carlini, the Argentinean transports and the Spanish Polar Ship Las Palmas which provided us transport to Avian Island. We also appreciate the logistic support provided by the Instituto Antartico Argentino and the Maritime Technology Unit. We especially thank John Mike Kinsella for revising the English and critically reading the manuscript. Financial support was given by the Direccion Nacional del Antartico (DNA), the Spanish Ministry of Economy and Competitiveness, and European Regional Development Fund (projects CGL2007-60369 and CTM2011-24427). Permission to work in the Antarctic study area and to handle penguins was given by DNA and the Spanish Polar Committee. VV was supported by a PhD grant from the Spanish Council of Scientific Research (JAEPre08-01053). JID was partially supported by the Universidad Nacional de la Plata (N628 and N758) and Consejo Nacional de Investigaciones Cientificas y Tecnicas, Argentina (PIP698). This is a contribution to the PINGUCLIM project.</t>
  </si>
  <si>
    <t>OPEN ACADEMIA AB</t>
  </si>
  <si>
    <t>SPANGA</t>
  </si>
  <si>
    <t>STORMBYVAGEN 6, SPANGA, SE-163 55, SWEDEN</t>
  </si>
  <si>
    <t>POLAR RES-SWEDEN</t>
  </si>
  <si>
    <t>10.3402/polar.v35.28516</t>
  </si>
  <si>
    <t>DS8OF</t>
  </si>
  <si>
    <t>WOS:000381042000001</t>
  </si>
  <si>
    <t>Mansilla, A; Méndez, F; Murcia, S; Rodríguez, JP; Marambio, J; Rosenfeld, S; Yokoya, N; Bischof, K</t>
  </si>
  <si>
    <t>Mansilla, Andres; Mendez, Fabio; Murcia, Silvia; Pablo Rodriguez, Juan; Marambio, Johanna; Rosenfeld, Sebastian; Yokoya, Nair; Bischof, Kai</t>
  </si>
  <si>
    <t>Adjustment of pigment composition in Desmarestia (Desmarestiaceae) species along a sub-Antarctic to Antarctic latitudinal gradient</t>
  </si>
  <si>
    <t>Macroalgae; Phaeophyceae; photosynthesis; physiology; environmental heterogeneity; Chile</t>
  </si>
  <si>
    <t>KING GEORGE ISLAND; PHOTOSYNTHETIC PERFORMANCE; ECOLOGICAL SIGNIFICANCE; CHROMATIC ADAPTATION; POTTER COVE; MACROALGAE; LIGHT; BROWN; GROWTH; PHAEOPHYCEAE</t>
  </si>
  <si>
    <t>Photosynthesis at high latitudes demands efficient strategies of light utilization to maintain algal fitness and performance. The fitness, and physiological adaptation, of a plant or algae species depends in part on the abundance and efficiency of the pigments it can produce to utilize the light resource from its environment. We quantified pigment composition and concentration in six species of the brown macroalgal genus Desmarestia, collected from sub-Antarctic sites (Strait of Magellan, Beagle Channel-Cape Horn Province) and sites on the Antarctic Peninsula and adjacent islands. Sub-Antarctic Desmarestia species exhibited lower concentrations of chlorophyll a, chlorophyll c and fucoxanthin than endemic Antarctic species. Antarctic samples of D. menziesii and D. antarctica collected along a decreasing latitudinal gradient showed spatial and interspecific differences in light-harvesting pigment composition. Our results suggest distinct physiological adjustments in Desmarestia species in response to heterogeneous abiotic environmental conditions. The marine sub-Antarctic and Antarctic ecosystems are characterized by harsh environments (e.g., extreme irradiance, photoperiod, temperature, salinity) to which the physiology of macroalgal species must adapt.</t>
  </si>
  <si>
    <t>[Mansilla, Andres; Mendez, Fabio; Murcia, Silvia; Pablo Rodriguez, Juan; Marambio, Johanna; Rosenfeld, Sebastian] Univ Magallanes, Lab Antarctic &amp; Sub Antarctic Marine Ecosyst, 01855 Bulnes Ave, Punta Arenas 6200000, Chile; [Mansilla, Andres; Mendez, Fabio; Pablo Rodriguez, Juan; Marambio, Johanna; Rosenfeld, Sebastian] Inst Ecol &amp; Biodivers, Las Palmeras St 3425, Santiago 8320000, Chile; [Mendez, Fabio; Pablo Rodriguez, Juan; Marambio, Johanna; Rosenfeld, Sebastian] Univ Magallanes, Conservat &amp; Management Nat Resources Sub Antarcti, 01855 Bulnes Ave, Punta Arenas 6200000, Chile; [Yokoya, Nair] Sao Paulo State Dept Environm, Inst Bot, 3687 Miguel Estefano Ave, BR-04301012 Sao Paulo, SP, Brazil; [Bischof, Kai] Univ Bremen, Marine Bot Dept, NW2 Leobener St, DE-28359 Bremen, Germany</t>
  </si>
  <si>
    <t>Universidad de Magallanes; Universidad de Magallanes; Instituto de Botanica - Sao Paulo; University of Bremen</t>
  </si>
  <si>
    <t>Murcia, S (corresponding author), Univ Magallanes, Lab Antarctic &amp; Sub Antarctic Marine Ecosyst, 01855 Bulnes Ave, Punta Arenas 6200000, Chile.</t>
  </si>
  <si>
    <t>silvia.murcia@umag.cl</t>
  </si>
  <si>
    <t>Provoste, Juan Pablo Rodríguez/W-2988-2019; Yokoya, Nair S/F-1571-2015; Fapesp, Biota/F-8655-2017</t>
  </si>
  <si>
    <t>Fapesp, Biota/0000-0002-9887-8449; Bischof, Kai/0000-0002-4497-1920; Rosenfeld, Sebastian/0000-0002-4363-8018; Mansilla, Andres/0000-0003-3505-7018</t>
  </si>
  <si>
    <t>Chile's National Council for Research in Science and Technology (CONICYT) Program FONDECYT [1140940]; Millennium Scientific Initiative, Chile [P05-002 ICM]; Basal Financing Program of the Chile [PFB-23]; Institute of Ecology and Biodiversity (ICM) [P05-002, PFB-23-2008, ICM P05-002]</t>
  </si>
  <si>
    <t>Chile's National Council for Research in Science and Technology (CONICYT) Program FONDECYT; Millennium Scientific Initiative, Chile; Basal Financing Program of the Chile; Institute of Ecology and Biodiversity (ICM)</t>
  </si>
  <si>
    <t>This research was funded by Chile's National Council for Research in Science and Technology (CONICYT) Program FONDECYT, project 1140940, the Millennium Scientific Initiative (grant P05-002 ICM, Chile) and the Basal Financing Program of the (grant PFB-23, Chile). We thank the resources and support offered by the Chilean Navy Ships AP-46 Almirante Oscar Viel, and AP-41 Aquiles during field expeditions. We are thankful for the graduate scholarships by the Institute of Ecology and Biodiversity granted to FM (ICM, P05-002) and JPR (ICM, P05-002) and to JM (PFB-23-2008) and SR (ICM P05-002).</t>
  </si>
  <si>
    <t>10.3402/polar.v35.29383</t>
  </si>
  <si>
    <t>DS8OQ</t>
  </si>
  <si>
    <t>WOS:000381043100001</t>
  </si>
  <si>
    <t>Papierok, B; Dedryver, CA; Hullé, M</t>
  </si>
  <si>
    <t>Papierok, Bernard; Dedryver, Charles-Antoine; Hulle, Maurice</t>
  </si>
  <si>
    <t>First records of aphid-pathogenic Entomophthorales in the sub-Antarctic archipelagos of Crozet and Kerguelen</t>
  </si>
  <si>
    <t>Natural enemies; introduced species; biological invasion; colonization; Zygomycetes; parasitism</t>
  </si>
  <si>
    <t>SOUTHERN-OCEAN ISLANDS; ATTACKING APHIDS; HUMAN IMPACTS; INVASION; HOST; CONSERVATION; DIVERSITY; PARASITES; WEST</t>
  </si>
  <si>
    <t>Since the 20th century, the sub-Antarctic islands have suffered an increasing number of biological invasions. Despite the large number of publications on this topic, there is a lack of knowledge on parasitism rates of invasive species and on the role of parasites and pathogens to regulate their populations. Six aphid species have been introduced in the archipelagos of Crozet (Ile de la Possession, 46 degrees 25' S-51 degrees 51' E) and Kerguelen (49 degrees 21' S-70 degrees 13' E). Five of these species were found infected by entomopathogenic fungi of the order Entomophthorales. All these fungal species are cosmopolitan. Conidiobolus obscurus and Entomophthora planchoniana were the most frequently observed on Ile de la Possession and in Archipel des Kerguelen, respectively. This is the first report of pathogenic fungi of aphids on the sub-Antarctic islands. We discuss these results in the light of our current knowledge of these insect pathogens. Their introduction by aphids surviving on plants during transportation is the most likely hypothesis to explain their presence on these remote islands.</t>
  </si>
  <si>
    <t>[Papierok, Bernard] Inst Pasteur, 25 &amp; 28,Rue Docteur Roux, FR-75015 Paris, France; [Dedryver, Charles-Antoine; Hulle, Maurice] French Natl Inst Agr Res, Inst Genet Environm &amp; Plant Protect, FR-35653 Le Rheu, France</t>
  </si>
  <si>
    <t>Le Reseau International des Instituts Pasteur (RIIP); Universite Paris Cite; Institut Pasteur Paris; INRAE</t>
  </si>
  <si>
    <t>Hullé, M (corresponding author), French Natl Inst Agr Res, Inst Genet Environm &amp; Plant Protect, FR-35653 Le Rheu, France.</t>
  </si>
  <si>
    <t>maurice.hulle@rennes.inra.fr</t>
  </si>
  <si>
    <t>Hulle, Maurice/0000-0002-9520-3454</t>
  </si>
  <si>
    <t>French Polar Institute [136]; French National Center for Scientific Research (Zone Atelier de Recherche sur l'Environnement antarctique et subantarctique)</t>
  </si>
  <si>
    <t>French Polar Institute; French National Center for Scientific Research (Zone Atelier de Recherche sur l'Environnement antarctique et subantarctique)</t>
  </si>
  <si>
    <t>This research was supported by the French Polar Institute (programme 136 Subanteco) and the French National Center for Scientific Research (Zone Atelier de Recherche sur l'Environnement antarctique et subantarctique). The French National Institute for Agricultural Research and the Pasteur Institute are acknowledged. We also thank scientific volunteers who helped during fieldwork.</t>
  </si>
  <si>
    <t>10.3402/polar.v35.28765</t>
  </si>
  <si>
    <t>DS8OI</t>
  </si>
  <si>
    <t>WOS:000381042300001</t>
  </si>
  <si>
    <t>Leal, PP; Hurd, CL; Sander, SG; Armstrong, E; Roleda, MY</t>
  </si>
  <si>
    <t>Leal, Pablo P.; Hurd, Catriona L.; Sander, Sylvia G.; Armstrong, Evelyn; Roleda, Michael Y.</t>
  </si>
  <si>
    <t>Copper ecotoxicology of marine algae: a methodological appraisal</t>
  </si>
  <si>
    <t>CHEMISTRY AND ECOLOGY</t>
  </si>
  <si>
    <t>Copper; dissolved concentration; ecotoxicity testing; macroalgae; microalgae; nominal concentration; trace metal clean</t>
  </si>
  <si>
    <t>MACROCYSTIS-PYRIFERA; TRACE-METALS; FRESH-WATER; TOXICITY; CONTAMINATION; KELP; BIOSORPTION; INHIBITION; COLLECTION; CONTAINERS</t>
  </si>
  <si>
    <t>The production of accurate and reliable data on copper ecotoxicology of marine algae depends on the use of trace metal clean techniques during experimentation. We reviewed the methodologies used in the literature on copper ecotoxicology of marine macro-and microalgae, specifically the use of trace metal clean procedures such as the labware used (glassware vs. plasticware), methods of cleaning the labware (acid soaking and ultrapure water rinsing), stock solution preparation (copper source and acidification), and measurement and reporting of dissolved copper concentrations. In terms of taxonomic classification, the most studied algal groups were the Phyla Ochrophyta, Bacillariophyta, Rhodophyta, and Chlorophyta. In terms of methodology, similar to 50% of the articles did not specify the labware, similar to 25% used glassware, and similar to 25% plasticware; similar to 30% of the studies specified cleaning protocols for labware to remove trace metal impurities; the copper form used to prepare the stock solutions was specified in similar to 80% of studies but acidification to stabilise the dissolved copper was performed in only similar to 20%; and the dissolved copper concentration was measured in only similar to 40% of studies. We discuss the importance of following trace metal clean techniques for the comparison and interpretation of data obtained on copper ecotoxicology in algae.</t>
  </si>
  <si>
    <t>[Leal, Pablo P.; Hurd, Catriona L.; Roleda, Michael Y.] Univ Otago, Dept Bot, Dunedin, New Zealand; [Leal, Pablo P.; Hurd, Catriona L.] Univ Tasmania, Inst Marine &amp; Antarctic Studies, Hobart, Tas 7001, Australia; [Sander, Sylvia G.; Armstrong, Evelyn] Univ Otago, Dept Chem, NIWA Univ Otago Res Ctr Oceanog, Dunedin, New Zealand; [Roleda, Michael Y.] Norwegian Inst Bioecon Res, Bodo, Norway</t>
  </si>
  <si>
    <t>University of Otago; University of Tasmania; University of Otago; Norwegian Institute of Bioeconomy Research</t>
  </si>
  <si>
    <t>Leal, PP (corresponding author), Univ Otago, Dept Bot, Dunedin, New Zealand.</t>
  </si>
  <si>
    <t>pablo.sandoval@otago.ac.nz</t>
  </si>
  <si>
    <t>Sander, Sylvia/AAC-3559-2022; Roleda, Michael Y./H-9645-2019; Leal, Pablo P./N-3927-2019; Hurd, Catriona/J-2411-2013</t>
  </si>
  <si>
    <t>Sander, Sylvia/0000-0001-9581-9737; Roleda, Michael Y./0000-0003-0568-9081; Leal, Pablo P./0000-0002-7616-1850; Hurd, Catriona/0000-0001-9965-4917</t>
  </si>
  <si>
    <t>Chilean scholarship programme [BECAS CHILE-CONICYT]; Royal Society of New Zealand Mardsen [UOO0914]; Ministry of Business Innovation and Employment; New Zealand National Institute of Water and Atmospheric Research [C01X1005]</t>
  </si>
  <si>
    <t>Chilean scholarship programme [BECAS CHILE-CONICYT]; Royal Society of New Zealand Mardsen(Royal Society of New Zealand); Ministry of Business Innovation and Employment(New Zealand Ministry of Business, Innovation and Employment (MBIE)); New Zealand National Institute of Water and Atmospheric Research</t>
  </si>
  <si>
    <t>The first author received funding from the Chilean scholarship programme [BECAS CHILE-CONICYT]. This study was also supported by the Royal Society of New Zealand Mardsen [UOO0914]. The third co-author was supported by the Ministry of Business Innovation and Employment and the New Zealand National Institute of Water and Atmospheric Research [C01X1005].</t>
  </si>
  <si>
    <t>0275-7540</t>
  </si>
  <si>
    <t>1029-0370</t>
  </si>
  <si>
    <t>CHEM ECOL</t>
  </si>
  <si>
    <t>Chem. Ecol.</t>
  </si>
  <si>
    <t>10.1080/02757540.2016.1177520</t>
  </si>
  <si>
    <t>Biochemistry &amp; Molecular Biology; Ecology; Environmental Sciences</t>
  </si>
  <si>
    <t>Biochemistry &amp; Molecular Biology; Environmental Sciences &amp; Ecology</t>
  </si>
  <si>
    <t>DS8LD</t>
  </si>
  <si>
    <t>WOS:000381034000007</t>
  </si>
  <si>
    <t>Thomisch, K; Boebel, O; Clark, CW; Hagen, W; Spiesecke, S; Zitterbart, DP; Van Opzeeland, I</t>
  </si>
  <si>
    <t>Thomisch, Karolin; Boebel, Olaf; Clark, Christopher W.; Hagen, Wilhelm; Spiesecke, Stefanie; Zitterbart, Daniel P.; Van Opzeeland, Ilse</t>
  </si>
  <si>
    <t>Spatio-temporal patterns in acoustic presence and distribution of Antarctic blue whales Balaenoptera musculus intermedia in the Weddell Sea</t>
  </si>
  <si>
    <t>ENDANGERED SPECIES RESEARCH</t>
  </si>
  <si>
    <t>Passive acoustic monitoring; Antarctic blue whale; Balaenoptera musculus intermedia; Baleen whale migration; Southern Ocean</t>
  </si>
  <si>
    <t>SOUTHERN-OCEAN; MEGAPTERA-NOVAEANGLIAE; EUPHAUSIA-SUPERBA; HUMPBACK WHALES; MOVEMENTS; PACIFIC; ICE; PROPAGATION; CALIFORNIA; FREQUENCY</t>
  </si>
  <si>
    <t>Distribution and movement patterns of Antarctic blue whales Balaenoptera musculus intermedia at large temporal and spatial scales are still poorly understood. The objective of this study was to explore spatio-temporal distribution patterns of Antarctic blue whales in the Atlantic sector of the Southern Ocean, using passive acoustic monitoring data. Multi-year data were collected between 2008 and 2013 by 11 recorders deployed in the Weddell Sea and along the Greenwich meridian. Antarctic blue whale Z-calls were detected via spectrogram cross-correlation. A Blue Whale Index was developed to quantify the proportion of time during which acoustic energy from Antarctic blue whales dominated over background noise. Our results show that Antarctic blue whales were acoustically present year-round, with most call detections between January and April. During austral summer, the number of detected calls peaked synchronously throughout the study area in most years, and hence, no directed meridional movement pattern was detectable. During austral winter, vocalizations were recorded at latitudes as high as 69 degrees S, with sea ice cover exceeding 90%, suggesting that some Antarctic blue whales overwinter in Antarctic waters. Polynyas likely serve as an important habitat for baleen whales during austral winter, providing food and reliable access to open water for breathing. Overall, our results support increasing evidence of a complex and non-obligatory migratory behavior of Antarctic blue whales, potentially involving temporally and spatially dynamic migration routes and destinations, as well as variable timing of migration to and from the feeding grounds.</t>
  </si>
  <si>
    <t>[Thomisch, Karolin; Boebel, Olaf; Spiesecke, Stefanie; Zitterbart, Daniel P.; Van Opzeeland, Ilse] Helmholtz Zentrum Polar &amp; Meeresforsch, Alfred Wegener Inst, Ocean Acoust Lab, D-27570 Bremerhaven, Germany; [Clark, Christopher W.] Cornell Univ, Bioacoust Res Program, 159 Sapsucker Woods Rd, Ithaca, NY 14850 USA; [Hagen, Wilhelm] Univ Bremen, BreMarE Bremen Marine Ecol, Marine Zool, POB 330440, Bremen, Germany; [Zitterbart, Daniel P.] Woods Hole Oceanog Inst, Appl Ocean Phys &amp; Engn Dept, Woods Hole, MA 02543 USA; [Zitterbart, Daniel P.] Univ Erlangen Nurnberg, Dept Phys, Biophys Lab, POB 3520, X-91054 Erlangen, Germany</t>
  </si>
  <si>
    <t>Helmholtz Association; Alfred Wegener Institute, Helmholtz Centre for Polar &amp; Marine Research; Cornell University; University of Bremen; Woods Hole Oceanographic Institution; University of Erlangen Nuremberg</t>
  </si>
  <si>
    <t>Thomisch, K (corresponding author), Helmholtz Zentrum Polar &amp; Meeresforsch, Alfred Wegener Inst, Ocean Acoust Lab, D-27570 Bremerhaven, Germany.</t>
  </si>
  <si>
    <t>karolin.thomisch@awi.de</t>
  </si>
  <si>
    <t>Zitterbart, Daniel P/N-7489-2013</t>
  </si>
  <si>
    <t>Thomisch, Karolin/0000-0002-7144-8369; Spiesecke, Stefanie/0000-0002-1105-7710; Hagen, Wilhelm/0000-0002-7462-9931; Zitterbart, Daniel/0000-0001-9429-4350</t>
  </si>
  <si>
    <t>INTER-RESEARCH</t>
  </si>
  <si>
    <t>OLDENDORF LUHE</t>
  </si>
  <si>
    <t>NORDBUNTE 23, D-21385 OLDENDORF LUHE, GERMANY</t>
  </si>
  <si>
    <t>1863-5407</t>
  </si>
  <si>
    <t>1613-4796</t>
  </si>
  <si>
    <t>ENDANGER SPECIES RES</t>
  </si>
  <si>
    <t>Endanger. Species Res.</t>
  </si>
  <si>
    <t>10.3354/esr00739</t>
  </si>
  <si>
    <t>Biodiversity Conservation</t>
  </si>
  <si>
    <t>Biodiversity &amp; Conservation</t>
  </si>
  <si>
    <t>DT7SQ</t>
  </si>
  <si>
    <t>WOS:000381687800001</t>
  </si>
  <si>
    <t>Stöven, T; Tanhua, T; Hoppema, M; von Appen, WJ</t>
  </si>
  <si>
    <t>Stoeven, Tim; Tanhua, Toste; Hoppema, Mario; von Appen, Wilken-Jon</t>
  </si>
  <si>
    <t>Transient tracer distributions in the Fram Strait in 2012 and inferred anthropogenic carbon content and transport</t>
  </si>
  <si>
    <t>OCEAN SCIENCE</t>
  </si>
  <si>
    <t>EAST GREENLAND CURRENT; SULFUR-HEXAFLUORIDE; DIOXIDE ANALYSIS; NORTH-ATLANTIC; ARCTIC-OCEAN; SEA; WATER; CO2; RECIRCULATION; VENTILATION</t>
  </si>
  <si>
    <t>The storage of anthropogenic carbon in the ocean's interior is an important process which modulates the increasing carbon dioxide concentrations in the atmosphere. The polar regions are expected to be net sinks for anthropogenic carbon. Transport estimates of dissolved inorganic carbon and the anthropogenic offset can thus provide information about the magnitude of the corresponding storage processes. Here we present a transient tracer, dissolved inorganic carbon (DIC) and total alkalinity (TA) data set along 78 degrees 50' N sampled in the Fram Strait in 2012. A theory on tracer relationships is introduced, which allows for an application of the inverse-Gaussian-transit-time distribution (IG-TTD) at high latitudes and the estimation of anthropogenic carbon concentrations. Mean current velocity measurements along the same section from 2002-2010 were used to estimate the net flux of DIC and anthropogenic carbon by the boundary currents above 840 m through the Fram Strait. The new theory explains the differences between the theoretical (IG-TTD-based) tracer age relationship and the specific tracer age relationship of the field data, by saturation effects during water mass formation and/or the deliberate release experiment of SF6 in the Greenland Sea in 1996, rather than by different mixing or ventilation processes. Based on this assumption, a maximum SF6 excess of 0.5-0.8 fmol kg(-1) was determined in the Fram Strait at intermediate depths (500-1600 m). The anthropogenic carbon concentrations are 50-55 mu mol kg(-1) in the Atlantic Water/Recirculating Atlantic Water, 40-45 mu mol kg(-1) in the Polar Surface Water/warm Polar Surface Water and between 10 and 35 mu mol kg(-1) in the deeper water layers, with lowest concentrations in the bottom layer. The net fluxes through the Fram Strait indicate a net outflow of similar to 0.4 DIC and similar to 0.01 PgC yr(-1) anthropogenic carbon from the Arctic Ocean into the North Atlantic, albeit with high uncertainties.</t>
  </si>
  <si>
    <t>[Stoeven, Tim; Tanhua, Toste] Helmholtz Ctr Ocean Res Kiel, GEOMAR, Kiel, Germany; [Hoppema, Mario; von Appen, Wilken-Jon] Helmholtz Ctr Polar &amp; Marine Res, Alfred Wegener Inst, Bremerhaven, Germany</t>
  </si>
  <si>
    <t>Helmholtz Association; GEOMAR Helmholtz Center for Ocean Research Kiel; Helmholtz Association; Alfred Wegener Institute, Helmholtz Centre for Polar &amp; Marine Research</t>
  </si>
  <si>
    <t>Stöven, T (corresponding author), Helmholtz Ctr Ocean Res Kiel, GEOMAR, Kiel, Germany.</t>
  </si>
  <si>
    <t>tstoeven@geomar.de</t>
  </si>
  <si>
    <t>Tanhua, Toste/HLX-5402-2023; Hoppema, Mario/I-6286-2013</t>
  </si>
  <si>
    <t>Hoppema, Mario/0000-0002-2326-619X; von Appen, Wilken-Jon/0000-0002-7200-0099; Tanhua, Toste/0000-0002-0313-2557</t>
  </si>
  <si>
    <t>Deutsche Forschungsgemeinschaft (DFG) [TA 317/5, HO 4680/1]; EU FP7 project CARBOCHANGE Changes in carbon uptake and emissions by oceans in a changing climate (European Community's 7th Framework Programme) [264879]</t>
  </si>
  <si>
    <t>Deutsche Forschungsgemeinschaft (DFG)(German Research Foundation (DFG)); EU FP7 project CARBOCHANGE Changes in carbon uptake and emissions by oceans in a changing climate (European Community's 7th Framework Programme)</t>
  </si>
  <si>
    <t>This work was supported by the Deutsche Forschungsgemeinschaft (DFG) in the framework of the priority program Antarctic Research with comparative investigations in Arctic ice areas by the following grant to T. Tanhua and M. Hoppema: Carbon and transient tracers dynamics: A bi-polar view on Southern Ocean eddies and the changing Arctic Ocean (TA 317/5, HO 4680/1). Partial support to T. Tanhua and M. Hoppema was received from EU FP7 project CARBOCHANGE Changes in carbon uptake and emissions by oceans in a changing climate (European Community's 7th Framework Programme, grant agreement no. 264879). We are grateful to the Alfred-Wegener-Institut for participation in Polarstern cruise ARK-XXVII/1. We are happy to acknowledge the great support by the captain and crew of Polarstern, the chief scientist and the expedition team. Special thanks goes to Boie Bogner for his technical support during the ARK-XXVII/1 cruise.</t>
  </si>
  <si>
    <t>1812-0784</t>
  </si>
  <si>
    <t>OCEAN SCI</t>
  </si>
  <si>
    <t>Ocean Sci.</t>
  </si>
  <si>
    <t>10.5194/os-12-319-2016</t>
  </si>
  <si>
    <t>Meteorology &amp; Atmospheric Sciences; Oceanography</t>
  </si>
  <si>
    <t>DT7SE</t>
  </si>
  <si>
    <t>Green Accepted, gold, Green Submitted</t>
  </si>
  <si>
    <t>WOS:000381686400006</t>
  </si>
  <si>
    <t>Gjelten, HM; Nordli, O; Isaksen, K; Forland, EJ; Sviashchennikov, PN; Wyszynski, P; Prokhorova, UV; Przybylak, R; Ivanov, BV; Urazgildeeva, AV</t>
  </si>
  <si>
    <t>Gjelten, Herdis M.; Nordli, Oyvind; Isaksen, Ketil; Forland, Eirik J.; Sviashchennikov, Pavel N.; Wyszynski, Przemyslaw; Prokhorova, Uliana V.; Przybylak, Rajmund; Ivanov, Boris V.; Urazgildeeva, Alexandra V.</t>
  </si>
  <si>
    <t>Air temperature variations and gradients along the coast and fjords of western Spitsbergen</t>
  </si>
  <si>
    <t>Svalbard; Arctic; trends; development; warming; temperature changes</t>
  </si>
  <si>
    <t>ATLANTIC WATER; SVALBARD; ICE; KONGSFJORDEN; ISFJORDEN</t>
  </si>
  <si>
    <t>Daily temperature measurements from six meteorological stations along the coast and fjords of western Spitsbergen have been digitized and quality controlled in a Norwegian, Russian and Polish collaboration. Complete daily data series have been reconstructed back to 1948 for all of the stations. One of the station's monthly temperature series has previously been extended back to 1898 and is included in this study. The long-term series show large temperature variability on western Spitsbergen with colder periods in the 1910s and 1960s and warmer periods in the 1930s, 1950s and in the 21st century. The most recent years are the warmest ones in the instrumental records. There is a positive and statistically significant trend in the annual times series for all of the stations; however, the strongest warming is seen in winter and spring. For the period 1979-2015, the linear trends range from 1.0 to 1.3 degrees C/decade for the annual series and from 2.0 to 2.3 degrees C/decade in winter. Threshold statistics demonstrate a decrease in the number of cold days per year and an increase in the number of warm days. A decreasing inter-annual variability is observed. In winter, spring and autumn, the stations in the northernmost areas of west Spitsbergen and in the innermost parts of Isfjorden are the coldest ones. In summer, however, the southernmost station is the coldest one.</t>
  </si>
  <si>
    <t>[Gjelten, Herdis M.; Forland, Eirik J.] Norwegian Meteorol Inst, Observat &amp; Climate Dept, POB 43 Blindern, NO-0313 Oslo, Norway; [Nordli, Oyvind; Isaksen, Ketil] Norwegian Meteorol Inst, Dept Res &amp; Dev, POB 43 Blindern, NO-0313 Oslo, Norway; [Sviashchennikov, Pavel N.] St Petersburg State Univ, Climatol &amp; Environm Monitoring Dept, Univ Skaya Nab 7-9, RU-199034 St Petersburg, Russia; [Sviashchennikov, Pavel N.; Prokhorova, Uliana V.; Ivanov, Boris V.; Urazgildeeva, Alexandra V.] Arctic &amp; Antarctic Res Inst, Bering Str 38, RU-199397 St Petersburg, Russia; [Wyszynski, Przemyslaw; Przybylak, Rajmund] Nicolaus Copernicus Univ, Dept Meteorol &amp; Climatol, Lwowska 1, PL-87100 Torun, Poland; [Ivanov, Boris V.] St Petersburg State Univ, Inst Earth Sci, Oceanol Dept, Univ Skaya Nab 7-9, RU-199034 St Petersburg, Russia</t>
  </si>
  <si>
    <t>Norwegian Meteorological Institute; Norwegian Meteorological Institute; Saint Petersburg State University; Nicolaus Copernicus University; Saint Petersburg State University</t>
  </si>
  <si>
    <t>Gjelten, HM (corresponding author), Norwegian Meteorol Inst, Observat &amp; Climate Dept, POB 43 Blindern, NO-0313 Oslo, Norway.</t>
  </si>
  <si>
    <t>herdismg@met.no</t>
  </si>
  <si>
    <t>Sviashchennikov, Pavel/M-1736-2015; Wyszyński, Przemysław/V-3097-2019; Isaksen, Ketil/C-6493-2011; Przybylak, Rajmund/AAP-5388-2020; Prokhorova, Uliana/AAH-5276-2020</t>
  </si>
  <si>
    <t>Wyszyński, Przemysław/0000-0003-3470-7349; Isaksen, Ketil/0000-0003-2356-5330; Przybylak, Rajmund/0000-0003-4101-6116; Prokhorova, Uliana/0000-0002-7600-4089</t>
  </si>
  <si>
    <t>Research Council of Norway (ISFJORDEN project: POLARPROG project) [227027]; Polish-Norwegian Research Fund; Norway Grants (AWAKE project) [PNRF-22-A I-1/07]; Norway Grants (AWAKE-2 project) [Pol-Nor/198675/17/2013]; Polish National Science Centre [DEC-2012/07/B/ST10/04002]</t>
  </si>
  <si>
    <t>Research Council of Norway (ISFJORDEN project: POLARPROG project)(Research Council of Norway); Polish-Norwegian Research Fund; Norway Grants (AWAKE project); Norway Grants (AWAKE-2 project); Polish National Science Centre</t>
  </si>
  <si>
    <t>The authors thank Nicholas E. Huges (Norwegian Meteorological Institute) for kindly providing sea-ice maps. The authors also thank two anonymous reviewers for helpful and constructive comments. The Research Council of Norway (ISFJORDEN project: POLARPROG project grant no. 227027) and the Polish-Norwegian Research Fund and Norway Grants (AWAKE [PNRF-22-A I-1/07] and AWAKE-2 [Pol-Nor/198675/17/2013] projects) are acknowledged for financially supporting the work behind this study. The research work of PW was supported by a grant funded by the Polish National Science Centre by decision no. DEC-2012/07/B/ST10/04002.</t>
  </si>
  <si>
    <t>10.3402/polar.v35.29878</t>
  </si>
  <si>
    <t>DS8OT</t>
  </si>
  <si>
    <t>WOS:000381043400001</t>
  </si>
  <si>
    <t>Gordeev, II; Sokolov, SG</t>
  </si>
  <si>
    <t>Gordeev, Ilya I.; Sokolov, Sergey G.</t>
  </si>
  <si>
    <t>Parasites of the Antarctic toothfish (Dissostichus mawsoni Norman, 1937) (Perciformes, Nototheniidae) in the Pacific sector of the Antarctic</t>
  </si>
  <si>
    <t>Toothfish; parasites; Antarctic fisheries; CCAMLR; infection; Southern Ocean</t>
  </si>
  <si>
    <t>PATAGONIAN TOOTHFISH; ELEGINOIDES SMITT; FALKLAND ISLANDS; FISHES; PLATYHELMINTHES; IDENTIFICATION; LARVAE; GENUS</t>
  </si>
  <si>
    <t>The Antarctic toothfish (Dissostichus mawsoni Norman, 1937) is one of the main target species of commercial fisheries in the Antarctic. It is an endemic and is found along the shelf of Antarctica, as well as on the slopes of seamounts, underwater elevations and islands in the sub-Antarctic. It feeds on a variety of fish and cephalopods and can be an intermediate/paratenic host of some helminthes, whose final hosts are whales, seals, large rays and sharks. This article presents new data on toothfish infection in the Pacific sector of the Antarctic. Specimens were examined during commercial longline fishing in the Ross Sea and the Amundsen Sea in January-February 2013. Fourteen species of parasites were found using standard parasitological methods and genetic analysis.</t>
  </si>
  <si>
    <t>[Gordeev, Ilya I.] Russian Fed Res Inst Fisheries &amp; Oceanog, Lab Ecol &amp; Bioresources Arctic &amp; Antarctic, 17 V Krasnoselskaya St, Moscow 107140, Russia; [Sokolov, Sergey G.] Russian Acad Sci, AN Severtsov Inst Ecol &amp; Evolut, Ctr Parasitol, Lab Fauna &amp; Ecol Parasites, 33 Leninsky Pr, Moscow 119071, Russia</t>
  </si>
  <si>
    <t>Research lnstitute of Fisheries &amp; Oceanography; Russian Academy of Sciences; Saratov Scientific Center of the Russian Academy of Sciences; Severtsov Institute of Ecology &amp; Evolution</t>
  </si>
  <si>
    <t>Gordeev, II (corresponding author), Russian Fed Res Inst Fisheries &amp; Oceanog, Lab Ecol &amp; Bioresources Arctic &amp; Antarctic, 17 V Krasnoselskaya St, Moscow 107140, Russia.</t>
  </si>
  <si>
    <t>gordeev_ilya@bk.ru</t>
  </si>
  <si>
    <t>Gordeev, Ilya/F-2972-2017; Sokolov, Sergey/AAC-3505-2022</t>
  </si>
  <si>
    <t>Gordeev, Ilya/0000-0002-6650-9120; Sokolov, Sergey/0000-0002-4822-966X</t>
  </si>
  <si>
    <t>Russian Foundation for Basic Research [14-04-31950]</t>
  </si>
  <si>
    <t>Russian Foundation for Basic Research(Russian Foundation for Basic Research (RFBR)Spanish Government)</t>
  </si>
  <si>
    <t>The authors wish to thank Drs Andrey F. Petrov and Konstantin V. Shust for helping in the material collection, Dr Nikolay S. Mugue for assistance in the DNA analysis and Dr Andrey Yu. Utevsky for identification of leeches. The work was supported by Russian Foundation for Basic Research grant no. 14-04-31950.</t>
  </si>
  <si>
    <t>10.3402/polar.v35.29364</t>
  </si>
  <si>
    <t>DS8OL</t>
  </si>
  <si>
    <t>WOS:000381042600001</t>
  </si>
  <si>
    <t>Schejter, L; Bremec, CS; Cairns, SD</t>
  </si>
  <si>
    <t>Schejter, Laura; Bremec, Claudia S.; Cairns, Stephen D.</t>
  </si>
  <si>
    <t>Scleractinian corals recorded in the Argentinean Antarctic expeditions between 2012 and 2014, with comments on Flabellum (Flabellum) areum Cairns, 1982</t>
  </si>
  <si>
    <t>cold-water corals; Antarctica; range extension; bathymetric range extension; Scleractinia</t>
  </si>
  <si>
    <t>COLD-WATER CORALS</t>
  </si>
  <si>
    <t>In this contribution, we provide a list of the scleractinian corals recorded during the Argentinean Antarctic expeditions on board the oceanographic vessel Puerto Deseado (Argentina) in the austral summers in 2012, 2013 and 2014. The identified taxa consist of six solitary species (Flabellum impensum, F. flexuosum, F. areum, Caryophyllia antarctica, Paraconotrochus antarcticus and Javania antarctica), recorded from 19 sampling sites located off the Antarctic Peninsula and South Shetland and South Orkney islands. We also update the information of F. areum, previously known only from south-west Atlantic waters, extending its distribution range to Antarctic waters and its upper bathymetric range to 218 m.</t>
  </si>
  <si>
    <t>[Schejter, Laura] Inst Nacl Invest &amp; Desarrollo Pesquero, Paseo Victoria Ocampo 1, RA-7600 Mar Del Plata, Buenos Aires, Argentina; [Schejter, Laura; Bremec, Claudia S.] Consejo Nacl Invest Cient &amp; Tecn, Inst Invest Marinas &amp; Costeras, RA-7600 Mar Del Plata, Buenos Aires, Argentina; [Cairns, Stephen D.] Smithsonian Inst, Natl Museum Nat Hist, Dept Invertebrate Zool, Washington, DC 20560 USA</t>
  </si>
  <si>
    <t>National Fisheries Research &amp; Development Institute (INIDEP); Consejo Nacional de Investigaciones Cientificas y Tecnicas (CONICET); Smithsonian Institution; Smithsonian National Museum of Natural History</t>
  </si>
  <si>
    <t>Schejter, L (corresponding author), Inst Nacl Invest &amp; Desarrollo Pesquero, Paseo Victoria Ocampo 1, RA-7600 Mar Del Plata, Buenos Aires, Argentina.</t>
  </si>
  <si>
    <t>schejter@inidep.edu.ar</t>
  </si>
  <si>
    <t>Schejter, Laura/AAR-1106-2020</t>
  </si>
  <si>
    <t>National Scientific and Technical Research Council (Consejo Nacional de Investigaciones Cientificas y Tecnicas); Argentinean National Antarctic Direction; National Institute for Fisheries Research and Development (Instituto Nacional de Investigacion y Desarrollo Pesquero); PICT [2013-0629]</t>
  </si>
  <si>
    <t>National Scientific and Technical Research Council (Consejo Nacional de Investigaciones Cientificas y Tecnicas); Argentinean National Antarctic Direction; National Institute for Fisheries Research and Development (Instituto Nacional de Investigacion y Desarrollo Pesquero); PICT(ANPCyT)</t>
  </si>
  <si>
    <t>We wish to thank to the crew and participants of the Antarctic expeditions that collaborated during sampling procedures. This study was partially supported by the National Scientific and Technical Research Council (Consejo Nacional de Investigaciones Cientificas y Tecnicas), the Argentinean National Antarctic Direction, the National Institute for Fisheries Research and Development (Instituto Nacional de Investigacion y Desarrollo Pesquero) and PICT 2013-0629 (to SL). This is INIDEP contribution no. 1948.</t>
  </si>
  <si>
    <t>10.3402/polar.v35.29762</t>
  </si>
  <si>
    <t>DS8OR</t>
  </si>
  <si>
    <t>WOS:000381043200001</t>
  </si>
  <si>
    <t>Techow, NMSM; O'Ryan, C; Robertson, CJR; Ryan, PG</t>
  </si>
  <si>
    <t>Techow, N. M. S. Mareile; O'Ryan, Colleen; Robertson, Christopher J. R.; Ryan, Peter G.</t>
  </si>
  <si>
    <t>The origins of white-chinned petrels killed by long-line fisheries off South Africa and New Zealand</t>
  </si>
  <si>
    <t>Fishery bycatch; Procellaria aequinoctialis; genetic structure; genetic diversity; demographic impact</t>
  </si>
  <si>
    <t>PROCELLARIA-AEQUINOCTIALIS; MITOCHONDRIAL-DNA; POPULATION-SIZE; ALBATROSSES; PHYLOGEOGRAPHY; SEABIRDS; TAXONOMY; ISLANDS; GEORGIA; SHY</t>
  </si>
  <si>
    <t>The white-chinned petrel (Procellaria aequinoctialis) is the seabird species most frequently killed by fisheries in the Southern Ocean and is listed by the International Union for the Conservation of Nature and Natural Resources as globally vulnerable. It breeds around the sub-Antarctic, but genetic data identified two subspecies: P. a. aequinoctialis from islands in the Atlantic and Indian Oceans and P. a. steadi from the New Zealand sub-Antarctic islands. We identify the region of origin of birds killed by two long-line fisheries based on differences in the mitochondrial gene cytochrome b. All 113 birds killed off South Africa had the haplotype of P. a. aequinoctialis, whereas all the 60 birds from New Zealand had P. a. steadi haplotypes. The two subspecies of white-chinned petrels thus appear to disperse to different regions irrespective of their age, which accords with the tracking data of adult birds. Our finding has significant implications for managing the bycatch of this species by regional fisheries.</t>
  </si>
  <si>
    <t>[Techow, N. M. S. Mareile; Ryan, Peter G.] Univ Cape Town, Natl Res Fdn Ctr Excellence, Dept Sci &amp; Technol, Percy Fitzpatrick Inst African Ornithol, ZA-7701 Rondebosch, South Africa; [Techow, N. M. S. Mareile; O'Ryan, Colleen] Univ Cape Town, Dept Mol &amp; Cell Biol, ZA-7701 Rondebosch, South Africa; [Robertson, Christopher J. R.] Wild Press, POB 12-397, Wellington, New Zealand</t>
  </si>
  <si>
    <t>National Research Foundation - South Africa; University of Cape Town; University of Cape Town</t>
  </si>
  <si>
    <t>Ryan, PG (corresponding author), Univ Cape Town, Natl Res Fdn Ctr Excellence, Dept Sci &amp; Technol, Percy Fitzpatrick Inst African Ornithol, ZA-7701 Rondebosch, South Africa.</t>
  </si>
  <si>
    <t>pryan31@gmail.com</t>
  </si>
  <si>
    <t>O'Ryan, Colleen/0000-0003-3719-4657</t>
  </si>
  <si>
    <t>South African National Antarctic Programme; South African National Research Foundation; University of Cape Town</t>
  </si>
  <si>
    <t>South African National Antarctic Programme; South African National Research Foundation(National Research Foundation - South Africa); University of Cape Town</t>
  </si>
  <si>
    <t>Permission to collect samples from breeding islands was granted by the relevant authorities; we thank Pete McClelland, Deon Nel, Richard Phillips, Erica Sommer and Henri Weimerskirch for assistance with collecting samples. Fishery observers kindly collected birds killed by fishing vessels. Funding and logistical support was obtained from the South African National Antarctic Programme, the South African National Research Foundation and the University of Cape Town.</t>
  </si>
  <si>
    <t>10.3402/polar.v35.21150</t>
  </si>
  <si>
    <t>DS8NJ</t>
  </si>
  <si>
    <t>WOS:000381039800001</t>
  </si>
  <si>
    <t>Alvarez, MJ; Pérez, DE</t>
  </si>
  <si>
    <t>Jorge Alvarez, Maximiliano; Eduardo Perez, Damian</t>
  </si>
  <si>
    <t>GERONTIC INTRASPECIFIC VARIATION IN THE ANTARCTIC BIVALVE RETROTAPES ANTARCTICUS</t>
  </si>
  <si>
    <t>AMEGHINIANA</t>
  </si>
  <si>
    <t>Geometric morphometric; Elliptic Fourier Analysis; Late ontogeny; Eocene; Marambio Island</t>
  </si>
  <si>
    <t>EURHOMALEA-EXALBIDA; ARCTICA-ISLANDICA; GENUS RETROTAPES; SHAPE VARIATION; MYTILUS-EDULIS; SEYMOUR ISLAND; DEL-RIO; EOCENE; VENERIDAE; CLIMATE</t>
  </si>
  <si>
    <t>The bivalve Retrotapes antarcticus, from the Eocene of Antarctica, includes two different morphotypes of which one presents flat valves while the other one exhibits globoid valves. Previous authors have identified the same two morphotypes in the extant species Retrotapes exalbidus. This paper assesses the flat versus globoid morphotypes via comparing the two species by analyzing Elliptic Fourier Contours of 17 valves of R. antarcticus and 40 valves of R. exalbidus. A principal component analysis was performed and the age of both morphotypes was estimated by way of counting growth lines. Several authors have argued that genetic differences between the two forms of R. exalbidus are not sufficient to separate them into two distinct species and suspected that the globoid morphotype may correspond to gerontic specimens. Our results demonstrate that the morphological transformation detected in R. antarcticus is similar to that observed in R. exalbidus. The analysis of growth lines confirms that the globoid morphotype corresponds to gerontic specimens in both species. This constitutes an example of gerontic intraspecific variation. Additionally, this contribution allows us to further understand the life-history of the fossil bivalve R. antarcticus for it presents a growth pattern akin to that of the living species.</t>
  </si>
  <si>
    <t>[Jorge Alvarez, Maximiliano; Eduardo Perez, Damian] Museo Argentino Ciencias Nat Bernardino Rivadavia, Ave Angel Gallardo 470,C1405DJR, Buenos Aires, DF, Argentina</t>
  </si>
  <si>
    <t>Museo Argentino de Ciencias Naturales Bernardino Rivadavia (MACN)</t>
  </si>
  <si>
    <t>Alvarez, MJ (corresponding author), Museo Argentino Ciencias Nat Bernardino Rivadavia, Ave Angel Gallardo 470,C1405DJR, Buenos Aires, DF, Argentina.</t>
  </si>
  <si>
    <t>maxialvarez82@gmail.com; dperez@macn.gov.ar</t>
  </si>
  <si>
    <t>Perez, Damian/0000-0001-6771-4938</t>
  </si>
  <si>
    <t>Consejo Nacional de Investigaciones Cientificas y Tecnicas (CONICET)</t>
  </si>
  <si>
    <t>Consejo Nacional de Investigaciones Cientificas y Tecnicas (CONICET)(Consejo Nacional de Investigaciones Cientificas y Tecnicas (CONICET))</t>
  </si>
  <si>
    <t>We are very grateful to the curators Claudia del Rio (MACN-Pi) and Alejandro Tablado (MACN-In) for allowing us access to the collections. We thank S. Nielsen, K. Collins and an anonymous reviewer for their helpful comments and suggestions. We wish to thank M. Belen von Baczko and Mariano Ramirez for their assistance with the English language. The Consejo Nacional de Investigaciones Cientificas y Tecnicas (CONICET) is acknowledged for the post-graduate grants given to the authors.</t>
  </si>
  <si>
    <t>ASOCIACION PALEONTOLOGICA ARGENTINA</t>
  </si>
  <si>
    <t>BUENOS AIRES</t>
  </si>
  <si>
    <t>MAIPU 645, 1ER PISO, 1006 BUENOS AIRES, ARGENTINA</t>
  </si>
  <si>
    <t>0002-7014</t>
  </si>
  <si>
    <t>1851-8044</t>
  </si>
  <si>
    <t>Ameghiniana</t>
  </si>
  <si>
    <t>10.5710/AMGH.05.12.2015.2947</t>
  </si>
  <si>
    <t>DS4NP</t>
  </si>
  <si>
    <t>WOS:000380758100006</t>
  </si>
  <si>
    <t>Rodríguez, C; Fernández, B; Olivero, J; Salmerón, F; Torres-Prioris, A; Sans-Coma, V; Durán, AC</t>
  </si>
  <si>
    <t>Rodriguez, Cristina; Fernandez, Borja; Olivero, Jesus; Salmeron, Francisca; Torres-Prioris, Agustina; Sans-Coma, Valentin; Duran, Ana C.</t>
  </si>
  <si>
    <t>The relative length of the cardiac bulbus arteriosus reflects phylogenetic relationships among elasmobranchs</t>
  </si>
  <si>
    <t>ZOOLOGISCHER ANZEIGER</t>
  </si>
  <si>
    <t>Bulbus arteriosus; Conus arteriosus; Heart; Elasmobranchs; Phylogeny</t>
  </si>
  <si>
    <t>ANTARCTIC TELEOSTS; CORONARY-ARTERIES; HEART; POLE; CHONDRICHTHYES; SHARKS</t>
  </si>
  <si>
    <t>Previous work on the anatomy of embryonic and adult hearts of the shark Galeus atlanticus showed that the cardiac outflow tract consists not of a single component but of two, the myocardial conus arteriosus and the nonmyocardial bulbus arteriosus. However, it was still uncertain whether a bulbus occurs regularly in elasmobranchs. The present study was designed to gain new insight into this issue. Moreover, we investigated the interspecific variation in the relative length of the bulbus in order to decide whether such variation is related to the lifestyle or to the phylogenetic position of sharks and rays. The material examined consisted of hearts of 42 species belonging to seven families of squalomorphs, six families of galeomorphs and six families of batoids. Our findings confirmed that the bulbus arteriosus is indeed a cardiac outflow tract component commonly present in all elasmobranchs examined. In addition, we propose that the relative length of the bulbus arteriosus is rather related to the phylogenetic position of the species than to its lifestyle. Overall, the bulbus arteriosus is notably longer in galeomorphs than in squalomorphs and batoids, with the exception of the two representatives of Torpedo, which possess a bulbus arteriosus longer than other batoids. Likewise, the anatomical origin of the outflow tract from the ventricle is closely related to the relative length of the bulbus. We suggest that both anatomical traits are associated with the phylogenetic position of the sharks and rays investigated. (C) 2016 Elsevier GmbH. All rights reserved.</t>
  </si>
  <si>
    <t>[Rodriguez, Cristina; Fernandez, Borja; Olivero, Jesus; Torres-Prioris, Agustina; Sans-Coma, Valentin; Duran, Ana C.] Univ Malaga, Fac Sci, Dept Anim Biol, E-29071 Malaga, Spain; [Salmeron, Francisca] Oceanog Ctr Malaga, Spanish Inst Oceanog, Malaga, Spain</t>
  </si>
  <si>
    <t>Universidad de Malaga; Spanish Institute of Oceanography</t>
  </si>
  <si>
    <t>Durán, AC (corresponding author), Univ Malaga, Fac Sci, Dept Anim Biol, E-29071 Malaga, Spain.</t>
  </si>
  <si>
    <t>acduran@uma.es</t>
  </si>
  <si>
    <t>/AAG-9282-2020; Corujo, Francisco Borja Fernández/AAG-8258-2020; Olivero, Jesus/K-8727-2014</t>
  </si>
  <si>
    <t>Corujo, Francisco Borja Fernández/0000-0001-9179-910X; Olivero, Jesus/0000-0003-1714-0360</t>
  </si>
  <si>
    <t>Subdireccion General de Proyectos de Investigacion (Ministerio de Economia y Competitividad, Madrid, Espana) [CGL2010-16417, CGL2014-52356-P]; FEDER; Ministerio de Economia y Competitividad, Espana [BES-2011-46901]</t>
  </si>
  <si>
    <t>Subdireccion General de Proyectos de Investigacion (Ministerio de Economia y Competitividad, Madrid, Espana); FEDER(European Union (EU)Spanish Government); Ministerio de Economia y Competitividad, Espana(Spanish Government)</t>
  </si>
  <si>
    <t>This work was supported by Grants CGL2010-16417 and CGL2014-52356-P from the Subdireccion General de Proyectos de Investigacion (Ministerio de Economia y Competitividad, Madrid, Espana) and FEDER funds. Agustina Torres-Prioris was the recipient of the fellowship BES-2011-46901 (Ministerio de Economia y Competitividad, Espana). We thank Dr. Luis Gil de Sola, Dr. Eva Garcia, and Dr. Ana Ramos, from the Spanish Institute of Oceanography, heads of the MEDITS, BISSAU, and MAURIT campaigns, respectively, for their contribution in obtaining the material. We are very grateful to two anonymous reviewers for their helpful comments.</t>
  </si>
  <si>
    <t>ELSEVIER GMBH, URBAN &amp; FISCHER VERLAG</t>
  </si>
  <si>
    <t>JENA</t>
  </si>
  <si>
    <t>OFFICE JENA, P O BOX 100537, 07705 JENA, GERMANY</t>
  </si>
  <si>
    <t>0044-5231</t>
  </si>
  <si>
    <t>ZOOL ANZ</t>
  </si>
  <si>
    <t>Zool. Anz.</t>
  </si>
  <si>
    <t>10.1016/j.jcz.2016.05.001</t>
  </si>
  <si>
    <t>DS1XT</t>
  </si>
  <si>
    <t>WOS:000380419200010</t>
  </si>
  <si>
    <t>Karanovic, I; Tanaka, H; Tsukagoshi, A</t>
  </si>
  <si>
    <t>Karanovic, Ivana; Tanaka, Hayato; Tsukagoshi, Akira</t>
  </si>
  <si>
    <t>Congruence between male upper lip morphology and molecular phylogeny in Parapolycope (Ostracoda), with two new species from Korea</t>
  </si>
  <si>
    <t>INVERTEBRATE SYSTEMATICS</t>
  </si>
  <si>
    <t>biodiversity; Crustacea; East Asia; meiofauna; 18S rRNA</t>
  </si>
  <si>
    <t>APPENDICULAR ORIGIN; CRUSTACEA OSTRACODA; GENUS; ONTOGENY; LABRUM; MANDIBLES; DIVERSITY; SELECTION; MAFFT</t>
  </si>
  <si>
    <t>The ostracod genera Parapolycope Klie, 1939 and Kliecope Tanaka, Tsukagoshi &amp; Karanovic, 2014 have a sexually dimorphic upper lip, and males use their lip during courtship. Here we study the male upper lip of 14 species in order to find homologous structures. For this purpose, the lip is divided into six homologous parts, determined by their relative position on the lip and the lip's position in relation to other body parts. We found that the distal part ('c') is the most variable across taxa, probably due to high sexual selection. Six characters of the male upper lip are used in our cladistic analysis, along with another 12, in order to study phylogenetic relationships between Parapolycope species from East Asia. In addition, 18S rRNA is used to reconstruct molecular phylogeny and test the congruence between morphological and molecular data. The recovered topology on all obtained trees is almost identical, emphasising the importance of the male upper lip morphology in interpreting phylogenetic relationships in this peculiar ostracod group. Parapolycope viriosa, sp. nov. and P. widoensis, sp. nov. from marine interstitial habitats in South Korea are described here. To aid further identification of the 12 East Asian Parapolycope species we provide a taxonomic key.</t>
  </si>
  <si>
    <t>[Karanovic, Ivana] Hanyang Univ, Coll Nat Sci, Dept Life Sci, Seoul 133791, South Korea; [Karanovic, Ivana] Univ Tasmania, Inst Marine &amp; Antarctic Studies, Private Bag 49, Hobart, Tas 7001, Australia; [Tanaka, Hayato] Hiroshima Univ, Takehara Marine Sci Stn, Setouchi Field Sci Ctr, Grad Sch Biosphere Sci, Hiroshima 730, Japan; [Tsukagoshi, Akira] Shizuoka Univ, Dept Geosci, Fac Sci, Shizuoka 4228529, Japan</t>
  </si>
  <si>
    <t>Hanyang University; University of Tasmania; Hiroshima University; Shizuoka University</t>
  </si>
  <si>
    <t>Karanovic, I (corresponding author), Hanyang Univ, Coll Nat Sci, Dept Life Sci, Seoul 133791, South Korea.;Karanovic, I (corresponding author), Univ Tasmania, Inst Marine &amp; Antarctic Studies, Private Bag 49, Hobart, Tas 7001, Australia.</t>
  </si>
  <si>
    <t>ivana@hanyang.ac.kr</t>
  </si>
  <si>
    <t>Tanaka, Hayato/0000-0003-1237-8855</t>
  </si>
  <si>
    <t>National Institute of Biological Resources (NIBR) - Ministry of Environment of the Republic of Korea (NIBR) [2013-02-001]; Promotion of Science for Young Scientists [263700]; [23370042]; [26304011]; Grants-in-Aid for Scientific Research [14J03700] Funding Source: KAKEN</t>
  </si>
  <si>
    <t>National Institute of Biological Resources (NIBR) - Ministry of Environment of the Republic of Korea (NIBR)(Ministry of Environment (ME), Republic of Korea); Promotion of Science for Young Scientists; ; ; Grants-in-Aid for Scientific Research(Ministry of Education, Culture, Sports, Science and Technology, Japan (MEXT)Japan Society for the Promotion of ScienceGrants-in-Aid for Scientific Research (KAKENHI))</t>
  </si>
  <si>
    <t>This publication is supported by a grant from the National Institute of Biological Resources (NIBR), funded by the Ministry of Environment of the Republic of Korea (NIBR No. 2013-02-001). This study was also partly founded by the Japan Society for the Promotion of Science, the Grant-in-Aid for Scientific Research (Nos 23370042 and 26304011) and the Promotion of Science for Young Scientists (No. 263700).</t>
  </si>
  <si>
    <t>1445-5226</t>
  </si>
  <si>
    <t>1447-2600</t>
  </si>
  <si>
    <t>INVERTEBR SYST</t>
  </si>
  <si>
    <t>Invertebr. Syst.</t>
  </si>
  <si>
    <t>10.1071/IS15056</t>
  </si>
  <si>
    <t>Evolutionary Biology; Zoology</t>
  </si>
  <si>
    <t>DR8FQ</t>
  </si>
  <si>
    <t>WOS:000380134200004</t>
  </si>
  <si>
    <t>Iizuka, Y; Ohno, H; Uemura, R; Suzuki, T; Oyabu, I; Hoshina, Y; Fukui, K; Hirabayashi, M; Motoyama, H</t>
  </si>
  <si>
    <t>Iizuka, Yoshinori; Ohno, Hiroshi; Uemura, Ryu; Suzuki, Toshitaka; Oyabu, Ikumi; Hoshina, Yu; Fukui, Kotaro; Hirabayashi, Motohiro; Motoyama, Hideaki</t>
  </si>
  <si>
    <t>Spatial distributions of soluble salts in surface snow of East Antarctica</t>
  </si>
  <si>
    <t>TELLUS SERIES B-CHEMICAL AND PHYSICAL METEOROLOGY</t>
  </si>
  <si>
    <t>sea salt; modification; sodium sulphate; sodium nitrate; single-particle analysis</t>
  </si>
  <si>
    <t>INDIVIDUAL PARTICLE ANALYSIS; DOME-FUJI; ICE CORE; SOUTH-POLE; ATMOSPHERIC AEROSOLS; SYOWA STATION; CLIMATE; INLAND; CONSTITUENTS; CHEMISTRY</t>
  </si>
  <si>
    <t>To better understand how sea salt reacts in surface snow of Antarctica, we collected and identified non-volatile particles in surface snow along a traverse in East Antarctica. Samples were obtained during summer 2012/2013 from coastal to inland regions within 69 degrees S to 80 degrees S and 39 degrees E to 45 degrees E, a total distance exceeding 800 km. The spatial resolution of samples is about one sample per latitude between 1500 and 3800m altitude. Here, we obtain the atomic ratios of Na, S and Cl, and calculate the masses of sodium sulphate and sodium chloride. The results show that, even in the coast snow sample (69 degrees S), sea salt is highly modified by acid (HNO3 or H2SO4). The fraction of sea salt that reacts with acid increases in the region from 70 degrees S to 74 degrees S below 3000m a.s.l., where some NaCl remains. At the higher altitudes (above 3300m a.s.l.) in the inland region (74 degrees S to 80 degrees S), the reaction uses almost all of the available NaCl.</t>
  </si>
  <si>
    <t>[Iizuka, Yoshinori; Oyabu, Ikumi] Hokkaido Univ, Inst Low Temp Sci, Sapporo, Hokkaido 0600819, Japan; [Ohno, Hiroshi] Kitami Inst Technol, Dept Civil &amp; Environm Engn, 165 Koen Cho, Kitami, Hokkaido 0908507, Japan; [Uemura, Ryu] Univ Ryukyus, Fac Sci, Dept Chem Biol &amp; Marine Sci, Nishihara, Okinawa 9030213, Japan; [Suzuki, Toshitaka] Yamagata Univ, Dept Earth &amp; Environm Sci, Fac Sci, Yamagata 9908560, Japan; [Hoshina, Yu] Nagoya Univ, Grad Sch Environm Studies, Nagoya, Aichi 4648601, Japan; [Fukui, Kotaro] Tateyama Caldera Sabo Museum, Toyama 9301405, Japan; [Hirabayashi, Motohiro; Motoyama, Hideaki] Natl Inst Polar Res, Tokyo 1908518, Japan; [Motoyama, Hideaki] SOKENDAI Grad Univ Adv Studies, Tokyo 1908518, Japan</t>
  </si>
  <si>
    <t>Hokkaido University; Kitami Institute of Technology; University of the Ryukyus; Yamagata University; Nagoya University; Research Organization of Information &amp; Systems (ROIS); National Institute of Polar Research (NIPR) - Japan; Graduate University for Advanced Studies - Japan</t>
  </si>
  <si>
    <t>Iizuka, Y (corresponding author), Hokkaido Univ, Inst Low Temp Sci, Sapporo, Hokkaido 0600819, Japan.</t>
  </si>
  <si>
    <t>iizuka@lowtem.hokudai.ac.jp</t>
  </si>
  <si>
    <t>Uemura, Ryu/C-9793-2012; Ohno, Hiroshi/L-7899-2014; Oyabu, Ikumi/AGE-1164-2022; Uemura, Ryu/AGR-0677-2022; FUKUI, Kotaro/H-5600-2018; Iizuka, Yoshinori/D-9112-2012</t>
  </si>
  <si>
    <t>Uemura, Ryu/0000-0002-4236-0085; Oyabu, Ikumi/0000-0001-8017-1085; Uemura, Ryu/0000-0002-4236-0085; FUKUI, Kotaro/0000-0003-2106-0232; Iizuka, Yoshinori/0000-0001-7241-6062</t>
  </si>
  <si>
    <t>Ministry of Education, Culture, Sports, Science and Technology (MEXT) [16K12573, 26257201, 26610147]; Japan's Society for the Promotion of Science (JSPS); Institute of Low Temperature Science, Hokkaido University; National Institute of Polar Research under MEXT; Grants-in-Aid for Scientific Research [15H01731, 16K12573, 26257201, 26610147] Funding Source: KAKEN</t>
  </si>
  <si>
    <t>Ministry of Education, Culture, Sports, Science and Technology (MEXT)(Ministry of Education, Culture, Sports, Science and Technology, Japan (MEXT)); Japan's Society for the Promotion of Science (JSPS); Institute of Low Temperature Science, Hokkaido University; National Institute of Polar Research under MEXT; Grants-in-Aid for Scientific Research(Ministry of Education, Culture, Sports, Science and Technology, Japan (MEXT)Japan Society for the Promotion of ScienceGrants-in-Aid for Scientific Research (KAKENHI))</t>
  </si>
  <si>
    <t>We thank the logistic and sampling inland traverse team of JARE54, 54th Japanese Antarctic Research Expedition. The paper was significantly improved as a result of comments by two anonymous referees and handling by Scientific Editor Dr. K. Hameri, to whom we are greatly indebted. This study is a part of the Science Program of JARE. This study was supported by grant numbers 16K12573, 26257201 and 26610147 provided by the Ministry of Education, Culture, Sports, Science and Technology (MEXT) and Japan's Society for the Promotion of Science (JSPS), and also by a Grant for Joint Research Program of the Institute of Low Temperature Science, Hokkaido University. It was supported by National Institute of Polar Research under MEXT.</t>
  </si>
  <si>
    <t>1600-0889</t>
  </si>
  <si>
    <t>TELLUS B</t>
  </si>
  <si>
    <t>Tellus Ser. B-Chem. Phys. Meteorol.</t>
  </si>
  <si>
    <t>10.3402/tellusb.v68.29285</t>
  </si>
  <si>
    <t>DR5AU</t>
  </si>
  <si>
    <t>WOS:000379916200001</t>
  </si>
  <si>
    <t>Contador, T; Kennedy, J</t>
  </si>
  <si>
    <t>Contador, Tamara; Kennedy, James</t>
  </si>
  <si>
    <t>The life histories of Meridialaris chiloeensis (Demoulin, 1955) (Ephemeroptera: Leptophlebiidae) and Gigantodax rufescens (Edwards, 1931) (Diptera: Simuliidae) on a Magellanic sub-Antarctic island (55°S)</t>
  </si>
  <si>
    <t>AQUATIC INSECTS</t>
  </si>
  <si>
    <t>Ephemerotera; Diptera; aquatic insect; phenology; climate change; voltinism; sub-Antarctic</t>
  </si>
  <si>
    <t>OMORA-ETHNOBOTANICAL-PARK; CLIMATE-CHANGE; BIOCULTURAL CONSERVATION; FLUVIAL SYSTEM; LARVAL INSTARS; HONEY CREEK; EMERGENCE; PATTERNS; STREAM; MACROINVERTEBRATES</t>
  </si>
  <si>
    <t>The life histories of Meridialaris chiloeensis (Demoulin, 1955) (Leptophlebiidae: Ephemeroptera) and Gigantodax rufescens (Edwards, 1931) (Simuliidae: Diptera) were studied in a Magellanic sub-Antarctic river in Navarino Island (55 degrees S). Both species are distributed along the whole length of the watershed. Phenology was studied in the field for a period of 12 months between August 2009 and September 2010, at a site near the river's mouth (sea level). Cumulative degree-days were calculated along the gradient at five representative altitudinal locations, starting at the river's headwaters. Samples were obtained during January of 2010 at all the remaining altitudinal locations to assess possible changes in voltinism during the austral summer season through the watershed. Results show that M. chiloeensis and G. rufescens have a bivoltine and multivoltine life cycle, respectively, at sea level. Based on degree-days obtained and field observations at the remaining stations, possible voltinism patterns are discussed for both species along the altitudinal gradient. These species are proposed as suitable long-term indicators for climate change studies in the sub-Antarctic ecoregion of Magallanes, as monitoring their responses will be important in the interpretation of changes in ecosystem function, community structure, and distributions of aquatic taxa in this region of the world.</t>
  </si>
  <si>
    <t>[Contador, Tamara; Kennedy, James] Univ Magallanes, Wankara Freshwater Ecol Lab, Puerto Williams, Chile; [Contador, Tamara; Kennedy, James] Inst Ecol &amp; Biodivers, Subantarctic Biocultural Conservat Program, Punta Arenas, Chile; [Contador, Tamara; Kennedy, James] Univ North Texas, Dept Biol Sci, Denton, TX USA; [Contador, Tamara] Univ Magallanes, GAIA Antartica, Punta Arenas, Chile</t>
  </si>
  <si>
    <t>Universidad de Magallanes; University of North Texas System; University of North Texas Denton; Universidad de Magallanes</t>
  </si>
  <si>
    <t>Contador, T (corresponding author), Univ Magallanes, Wankara Freshwater Ecol Lab, Puerto Williams, Chile.;Contador, T (corresponding author), Inst Ecol &amp; Biodivers, Subantarctic Biocultural Conservat Program, Punta Arenas, Chile.;Contador, T (corresponding author), Univ North Texas, Dept Biol Sci, Denton, TX USA.;Contador, T (corresponding author), Univ Magallanes, GAIA Antartica, Punta Arenas, Chile.</t>
  </si>
  <si>
    <t>tamara.contador@umag.cl</t>
  </si>
  <si>
    <t>Contador, Tamara/AAC-2161-2021</t>
  </si>
  <si>
    <t>Contador, Tamara/0000-0002-0250-9877</t>
  </si>
  <si>
    <t>University of North Texas Beth Baird Scholarship; Institute of Ecology and Biodiversity (Chile) [ICM P05-002, PFB-23]; Omora Ethnobotanical Park-University of Magallanes; Sub-Antarctic Biocultural Conservation Program; NSF International Research Experience for Students [OISE 0854350]; Universidad de Magallanes; Ecological Society of America SEEDS Program; FONDECYT [11130451]</t>
  </si>
  <si>
    <t>University of North Texas Beth Baird Scholarship; Institute of Ecology and Biodiversity (Chile); Omora Ethnobotanical Park-University of Magallanes; Sub-Antarctic Biocultural Conservation Program; NSF International Research Experience for Students; Universidad de Magallanes; Ecological Society of America SEEDS Program; FONDECYT(Comision Nacional de Investigacion Cientifica y Tecnologica (CONICYT)CONICYT FONDECYT)</t>
  </si>
  <si>
    <t>Support to conduct this work was provided by the University of North Texas Beth Baird Scholarship, the Institute of Ecology and Biodiversity (Chile) [grant numbers ICM P05-002 and PFB-23]; the Omora Ethnobotanical Park-University of Magallanes; the Sub-Antarctic Biocultural Conservation Program (www.chile.unt.edu). Activities by Charles Braman and Michael Simononok, in support of this study, were supported by an NSF International Research Experience for Students [grant number OISE 0854350] awarded to the University of North Texas Sub-Antarctic Biocultural Conservation Program, in association with the Universidad de Magallanes, and the Ecological Society of America SEEDS Program. Support to finish this work was also provided to Tamara Contador by FONDECYT [grant number 11130451].</t>
  </si>
  <si>
    <t>0165-0424</t>
  </si>
  <si>
    <t>1744-4152</t>
  </si>
  <si>
    <t>AQUAT INSECT</t>
  </si>
  <si>
    <t>Aquat. Insects</t>
  </si>
  <si>
    <t>10.1080/01650424.2015.1134799</t>
  </si>
  <si>
    <t>Entomology</t>
  </si>
  <si>
    <t>DR2KP</t>
  </si>
  <si>
    <t>WOS:000379733700005</t>
  </si>
  <si>
    <t>Seguinot, J; Rogozhina, I; Stroeven, AP; Margold, M; Kleman, J</t>
  </si>
  <si>
    <t>Seguinot, Julien; Rogozhina, Irina; Stroeven, Arjen P.; Margold, Martin; Kleman, Johan</t>
  </si>
  <si>
    <t>Numerical simulations of the Cordilleran ice sheet through the last glacial cycle</t>
  </si>
  <si>
    <t>CRYOSPHERE</t>
  </si>
  <si>
    <t>NORTHERN BRITISH-COLUMBIA; MODEL PISM-PIK; SUBGLACIAL HYDROLOGY; CALIFORNIA CURRENT; REID GLACIATION; YUKON-TERRITORY; COAST MOUNTAINS; CLIMATE-CHANGE; SOUTHERN ALPS; RIVER AREA</t>
  </si>
  <si>
    <t>After more than a century of geological research, the Cordilleran ice sheet of North America remains among the least understood in terms of its former extent, volume, and dynamics. Because of the mountainous topography on which the ice sheet formed, geological studies have often had only local or regional relevance and shown such a complexity that ice-sheet-wide spatial reconstructions of advance and retreat patterns are lacking. Here we use a numerical ice sheet model calibrated against field-based evidence to attempt a quantitative reconstruction of the Cordilleran ice sheet history through the last glacial cycle. A series of simulations is driven by time-dependent temperature offsets from six proxy records located around the globe. Although this approach reveals large variations in model response to evolving climate forcing, all simulations produce two major glaciations during marine oxygen isotope stages 4 (62.2-56.9 ka) and 2 (23.2-16.9 ka). The timing of glaciation is better reproduced using temperature reconstructions from Greenland and Antarctic ice cores than from regional oceanic sediment cores. During most of the last glacial cycle, the modelled ice cover is discontinuous and restricted to high mountain areas. However, widespread precipitation over the Skeena Mountains favours the persistence of a central ice dome throughout the glacial cycle. It acts as a nucleation centre before the Last Glacial Maximum and hosts the last remains of Cordilleran ice until the middle Holocene (6.7 ka).</t>
  </si>
  <si>
    <t>[Seguinot, Julien] Swiss Fed Inst Technol, Lab Hydraul Hydrol &amp; Glaciol, Zurich, Switzerland; [Seguinot, Julien; Stroeven, Arjen P.; Margold, Martin; Kleman, Johan] Stockholm Univ, Dept Phys Geog, Stockholm, Sweden; [Seguinot, Julien; Stroeven, Arjen P.; Margold, Martin; Kleman, Johan] Stockholm Univ, Bolin Ctr Climate Res, Stockholm, Sweden; [Seguinot, Julien; Rogozhina, Irina] GFZ German Res Ctr Geosci, Helmholtz Ctr Potsdam, Potsdam, Germany; [Rogozhina, Irina] Univ Bremen, Ctr Marine Environm Sci, Bremen, Germany</t>
  </si>
  <si>
    <t>Swiss Federal Institutes of Technology Domain; ETH Zurich; Stockholm University; Helmholtz Association; Helmholtz-Center Potsdam GFZ German Research Center for Geosciences; University of Bremen</t>
  </si>
  <si>
    <t>Seguinot, J (corresponding author), Swiss Fed Inst Technol, Lab Hydraul Hydrol &amp; Glaciol, Zurich, Switzerland.;Seguinot, J (corresponding author), Stockholm Univ, Dept Phys Geog, Stockholm, Sweden.;Seguinot, J (corresponding author), Stockholm Univ, Bolin Ctr Climate Res, Stockholm, Sweden.;Seguinot, J (corresponding author), GFZ German Res Ctr Geosci, Helmholtz Ctr Potsdam, Potsdam, Germany.</t>
  </si>
  <si>
    <t>seguinot@vaw.baug.ethz.ch</t>
  </si>
  <si>
    <t>Rogozhina, Irina/L-4805-2017; Rogozhina, Irina/JFK-1968-2023; Stroeven, Arjen/I-7330-2013; Margold, Martin/V-4634-2018</t>
  </si>
  <si>
    <t>Rogozhina, Irina/0009-0008-5067-080X; Stroeven, Arjen/0000-0001-8812-2253; Seguinot, Julien/0000-0002-5315-0761; Margold, Martin/0000-0001-5834-850X</t>
  </si>
  <si>
    <t>Swedish Research Council (VR) [2008-3449]; German Academic Exchange Service (DAAD) [50015537]; Knut and Alice Wallenberg Foundation</t>
  </si>
  <si>
    <t>Swedish Research Council (VR)(Swedish Research Council); German Academic Exchange Service (DAAD)(Deutscher Akademischer Austausch Dienst (DAAD)); Knut and Alice Wallenberg Foundation(Knut &amp; Alice Wallenberg Foundation)</t>
  </si>
  <si>
    <t>Foremost, we would like to thank Shawn Marshall for providing a detailed, constructive analysis of this study during J. Seguinot's PhD defence (September 2014). His comments were used to improve the model set-up. We are very thankful to Constantine Khroulev, Ed Bueler, and Andy Aschwanden for providing constant help and development with PISM. We thank Shawn Marshall, Alexander Jarosch, and Andrew Stumpf for their constructive and complementary reviews. This work was supported by the Swedish Research Council (VR) grant no. 2008-3449 to A. P. Stroeven and by the German Academic Exchange Service (DAAD) grant no. 50015537 and a Knut and Alice Wallenberg Foundation grant to J. Seguinot. Computer resources were provided by the Swedish National Infrastructure for Computing (SNIC) allocation no. 2013/1-159 and 2014/1-159 to A. P. Stroeven at the National Supercomputing Center (NSC) and by the Swiss National Supercomputing Centre (CSCS) allocation no. s573 to J. Seguinot.</t>
  </si>
  <si>
    <t>1994-0416</t>
  </si>
  <si>
    <t>1994-0424</t>
  </si>
  <si>
    <t>Cryosphere</t>
  </si>
  <si>
    <t>10.5194/tc-10-639-2016</t>
  </si>
  <si>
    <t>DQ7TW</t>
  </si>
  <si>
    <t>Green Submitted, Green Published, Green Accepted, gold</t>
  </si>
  <si>
    <t>WOS:000379411800012</t>
  </si>
  <si>
    <t>Mahalinganathan, K; Thamban, M</t>
  </si>
  <si>
    <t>Mahalinganathan, Kanthanathan; Thamban, Meloth</t>
  </si>
  <si>
    <t>Potential genesis and implications of calcium nitrate in Antarctic snow</t>
  </si>
  <si>
    <t>MINERAL DUST AEROSOL; DRONNING MAUD LAND; DEEP ICE-CORE; DOME-C; EAST ANTARCTICA; HETEROGENEOUS CHEMISTRY; ISOTOPIC CONSTRAINTS; COASTAL ANTARCTICA; SOUTH-AMERICA; POLAR ICE</t>
  </si>
  <si>
    <t>Among the large variety of particulates in the atmosphere, calcic mineral dust particles have highly reactive surfaces that undergo heterogeneous reactions with atmospheric acids contiguously. The association between nssCa(2+), an important proxy indicator of mineral dust, and NO3-, a dominant anion in the Antarctic snowpack, was analysed. A total of 41 snow cores (similar to aEuro-1aEuro-m each) that represent snow deposited during 2008-2009 were studied along coastal-inland transects from two different regions in East Antarctica - the Princess Elizabeth Land (PEL) and central Dronning Maud Land (cDML). Correlation statistics showed a strong association (at 99aEuro-% significance level) between NO3- and nssCa(2+) at the near-coastal sections of both PEL (raEuro- = aEuro-0.74) and cDML (raEuro- = aEuro-0.82) transects. Similarly, a strong association between these ions was also observed in snow deposits at the inland sections of PEL (raEuro- = aEuro-0.73) and cDML (raEuro- = aEuro-0.84). Such systematic associations between nssCa(2+) and NO3- are attributed to the interaction between calcic mineral dust and nitric acid in the atmosphere, leading to the formation of calcium nitrate (Ca(NO3)(2)) aerosol. Principal component analysis revealed common transport and depositional processes for nssCa(2+) and NO3- both in PEL and cDML. Forward- and back-trajectory analyses using HYSPLIT model v. 4 revealed that southern South America (SSA) was an important dust-emitting source to the study region, aided by the westerlies. Particle size distribution showed that over 90aEuro-% of the dust was in the rangeaEuro- &lt; aEuro-4aEuro-A mu m, indicating that these dust particles reached the Antarctic region via long-range transport from the SSA region. We propose that the association between nssCa(2+) and NO3- occurs during the long-range transport due to the formation of Ca(NO3)(2) rather than to local neutralisation processes. However, the influence of local dust sources from the nunataks in cDML and the contribution of high sea salt in coastal PEL evidently mask such association in the mountainous and coastal regions respectively. Ionic balance calculations showed that 70-75aEuro-% of NO3- in the coastal sections was associated with nssCa(2+) (to form Ca(NO3)(2)). However, in the inland sections, 50-55aEuro-% of NO3- was present as HNO3. The study indicates that the input of dust-bound NO3- contributes a significant fraction of the total NO3- deposited in coastal Antarctic snow.</t>
  </si>
  <si>
    <t>[Mahalinganathan, Kanthanathan; Thamban, Meloth] Natl Ctr Antarctic &amp; Ocean Res, Vasco Da Gama, Goa, India</t>
  </si>
  <si>
    <t>Ministry of Earth Sciences (MoES) - India; National Centre for Polar and Ocean Research (NCPOR)</t>
  </si>
  <si>
    <t>Mahalinganathan, K (corresponding author), Natl Ctr Antarctic &amp; Ocean Res, Vasco Da Gama, Goa, India.</t>
  </si>
  <si>
    <t>maha@ncaor.gov.in</t>
  </si>
  <si>
    <t>Thamban, Meloth/0000-0003-3379-8189; Kanthanathan, Mahalinganathan/0000-0003-3407-3972</t>
  </si>
  <si>
    <t>National Centre for Antarctic and Ocean Research; Ministry of Earth Sciences</t>
  </si>
  <si>
    <t>We thank the director of the National Centre for Antarctic and Ocean Research for his encouragement and the Ministry of Earth Sciences for financial support. We are grateful for the support from the members and logistic crew of the 28th Indian Scientific Expedition to Antarctica. Archana Dayal is acknowledged for dust analysis. C. M. Laluraj, B. L. Redkar, and Ashish Painginkar are thanked for laboratory support. We thank the Norwegian Polar Institute for the Quantarctica QGIS package. The authors also thank the editor and two anonymous reviewers for their constructive comments, which helped us to improve the manuscript. Kanthanathan Mahalinganathan would like to thank Revathi Jayaram and D. Suguna for language editing. This is NCAOR contribution number 32/2015.</t>
  </si>
  <si>
    <t>10.5194/tc-10-825-2016</t>
  </si>
  <si>
    <t>WOS:000379411800025</t>
  </si>
  <si>
    <t>Touzeau, A; Landais, A; Stenni, B; Uemura, R; Fukui, K; Fujita, S; Guilbaud, S; Ekaykin, A; Casado, M; Barkan, E; Luz, B; Magand, O; Teste, G; Le Meur, E; Baroni, M; Savarino, J; Bourgeois, I; Risi, C</t>
  </si>
  <si>
    <t>Touzeau, Alexandra; Landais, Amaelle; Stenni, Barbara; Uemura, Ryu; Fukui, Kotaro; Fujita, Shuji; Guilbaud, Sarah; Ekaykin, Alexey; Casado, Mathieu; Barkan, Eugeni; Luz, Boaz; Magand, Olivier; Teste, Gregory; Le Meur, Emmanuel; Baroni, Melanie; Savarino, Joel; Bourgeois, Ilann; Risi, Camille</t>
  </si>
  <si>
    <t>Acquisition of isotopic composition for surface snow in East Antarctica and the links to climatic parameters</t>
  </si>
  <si>
    <t>GLACIAL-INTERGLACIAL CHANGES; GENERAL-CIRCULATION MODEL; DEUTERIUM EXCESS SIGNAL; WATER-STABLE ISOTOPES; DRONNING MAUD LAND; ICE-CORE RECORD; ACCUMULATION RATE; VOSTOK STATION; DOME-C; TEMPORAL VARIABILITY</t>
  </si>
  <si>
    <t>The isotopic compositions of oxygen and hydrogen in ice cores are invaluable tools for the reconstruction of past climate variations. Used alone, they give insights into the variations of the local temperature, whereas taken together they can provide information on the climatic conditions at the point of origin of the moisture. However, recent analyses of snow from shallow pits indicate that the climatic signal can become erased in very low accumulation regions, due to local processes of snow reworking. The signal-to-noise ratio decreases and the climatic signal can then only be retrieved using stacks of several snow pits. Obviously, the signal is not completely lost at this stage, otherwise it would be impossible to extract valuable climate information from ice cores as has been done, for instance, for the last glaciation. To better understand how the climatic signal is passed from the precipitation to the snow, we present here results from varied snow samples from East Antarctica. First, we look at the relationship between isotopes and temperature from a geographical point of view, using results from three traverses across Antarctica, to see how the relationship is built up through the distillation process. We also take advantage of these measures to see how second-order parameters (d-excess and O-17-excess) are related to delta O-18 and how they are controlled. d-excess increases in the interior of the continent (i.e., when delta O-18 decreases), due to the distillation process, whereas O-17-excess decreases in remote areas, due to kinetic fractionation at low temperature. In both cases, these changes are associated with the loss of original information regarding the source. Then, we look at the same relationships in precipitation samples collected over 1 year at Dome C and Vostok, as well as in surface snow at Dome C. We note that the slope of the delta O-18 vs. temperature (T) relationship decreases in these samples compared to those from the traverses, and thus caution is advocated when using spatial slopes for past climate reconstruction. The second-order parameters behave in the same way in the precipitation as in the surface snow from traverses, indicating that similar processes are active and that their interpretation in terms of source climatic parameters is strongly complicated by local temperature effects in East Antarctica. Finally we check if the same relationships between delta O-18 and second-order parameters are also found in the snow from four snow pits. While the d-excess remains opposed to delta O-18 in most snow pits, the O-17-excess is no longer positively correlated to delta O-18 and even shows anti-correlation to delta O-18 at Vostok. This may be due to a stratospheric influence at this site and/or to post-deposition processes.</t>
  </si>
  <si>
    <t>[Touzeau, Alexandra; Landais, Amaelle; Casado, Mathieu] Univ Paris Saclay, UVSQ, CNRS, LSCE,UMR,CEA,8212 IPSL, Gif Sur Yvette, France; [Stenni, Barbara] Ca Foscari Univ Venice, DAIS, Venice, Italy; [Uemura, Ryu] Univ Ryukyus, Fac Sci, Okinawa, Japan; [Fukui, Kotaro] Tateyama Caldera Sabo Museum, Toyama, Japan; [Fujita, Shuji] Res Org Informat &amp; Syst, Natl Inst Polar Res, Tokyo, Japan; [Fujita, Shuji] Grad Univ Adv Studies SOKENDAI, Dept Polar Sci, Tokyo, Japan; [Guilbaud, Sarah] Univ Littoral Cote dOpale, LPCA, Dunkerque, France; [Ekaykin, Alexey] Arctic &amp; Antarctic Res Inst, St Petersburg, Russia; [Ekaykin, Alexey] St Petersburg State Univ, St Petersburg, Russia; [Barkan, Eugeni; Luz, Boaz] Hebrew Univ Jerusalem, Inst Earth Sci, Jerusalem, Israel; [Magand, Olivier; Teste, Gregory; Le Meur, Emmanuel; Savarino, Joel] Univ Grenoble Alpes, Lab Glaciol &amp; Geophys Environm LGGE, CNRS, F-38041 Grenoble, France; [Baroni, Melanie] Univ Grenoble 1, LECA, CNRS, UMR5553, Grenoble, France; [Bourgeois, Ilann] Aix Marseille Univ, CNRS, IRD, CEREGE,UM34, F-13545 Aix En Provence, France; [Risi, Camille] Meteorol Dynam Lab, Paris, France</t>
  </si>
  <si>
    <t>Universite Paris Saclay; CEA; Centre National de la Recherche Scientifique (CNRS); Universite Paris Cite; Universita Ca Foscari Venezia; University of the Ryukyus; Research Organization of Information &amp; Systems (ROIS); National Institute of Polar Research (NIPR) - Japan; Graduate University for Advanced Studies - Japan; Universite du Littoral-Cote-d'Opale; Arctic &amp; Antarctic Research Institute; Saint Petersburg State University; Hebrew University of Jerusalem; Communaute Universite Grenoble Alpes; Universite Grenoble Alpes (UGA); Centre National de la Recherche Scientifique (CNRS); Communaute Universite Grenoble Alpes; Universite Grenoble Alpes (UGA); Centre National de la Recherche Scientifique (CNRS); Universite Savoie Mont Blanc; CNRS - Institute of Ecology &amp; Environment (INEE); Institut de Recherche pour le Developpement (IRD); Aix-Marseille Universite; Centre National de la Recherche Scientifique (CNRS); Sorbonne Universite</t>
  </si>
  <si>
    <t>Touzeau, A (corresponding author), Univ Paris Saclay, UVSQ, CNRS, LSCE,UMR,CEA,8212 IPSL, Gif Sur Yvette, France.</t>
  </si>
  <si>
    <t>alexandra.touzeau@lsce.ipsl.fr</t>
  </si>
  <si>
    <t>Savarino, Joel/H-9730-2012; Bourgeois, Ilann/AAQ-3379-2020; Uemura, Ryu/C-9793-2012; Uemura, Ryu/AGR-0677-2022; FUKUI, Kotaro/H-5600-2018; Fujita, Shuji/A-7884-2016; Ekaykin, Alexey/K-9894-2015; Lipenkov, Vladimir/Q-8262-2016</t>
  </si>
  <si>
    <t>Savarino, Joel/0000-0002-6708-9623; Bourgeois, Ilann/0000-0002-2875-1258; Uemura, Ryu/0000-0002-4236-0085; Uemura, Ryu/0000-0002-4236-0085; FUKUI, Kotaro/0000-0003-2106-0232; Casado, Mathieu/0000-0002-8185-415X; LANDAIS, Amaelle/0000-0002-5620-5465; Fujita, Shuji/0000-0003-0127-0777; Stenni, Barbara/0000-0003-4950-3664; Ekaykin, Alexey/0000-0001-9819-2802; Lipenkov, Vladimir/0000-0003-4221-5440; Touzeau, Alexandra/0000-0002-2678-411X</t>
  </si>
  <si>
    <t>European Research Council under European Union/ERC [306045]; ANR VANISH [ANR-07-VULN-013]; IPEV programme SUNITEDC [1011]; PNRA-MIUR; Russian Antarctic Expeditions; JSPS; JSPS KAKENHI [26550013]; Grants-in-Aid for Scientific Research [26550013, 15K12194] Funding Source: KAKEN</t>
  </si>
  <si>
    <t>European Research Council under European Union/ERC(European Research Council (ERC)); ANR VANISH(Agence Nationale de la Recherche (ANR)); IPEV programme SUNITEDC; PNRA-MIUR; Russian Antarctic Expeditions; JSPS(Ministry of Education, Culture, Sports, Science and Technology, Japan (MEXT)Japan Society for the Promotion of Science);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</si>
  <si>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research leading to these results has received funding from the European Research Council under the European Union's Seventh Framework Programme (FP7/2007-2013)/ERC grant agreement no. 306045. We are indebted to Michel Fily and Laurent Arnaud who organized the VANISH expedition and provided samples for this study. We would like to thank the ANR VANISH (ANR-07-VULN-013) for their support, as well as the IPEV programme SUNITEDC (1011). We also acknowledge the contribution of the PRIDE project funded by PNRA-MIUR and of the Russian Antarctic Expeditions. The snow samples from the transects including Syowa-Dome F were sampled by the Japanese Antarctic Research Expedition and the National Institute of Polar Research (NIPR), Tokyo, in the framework of the joint Japanese-Swedish IPY traverse. This research was partly supported by JSPS Postdoctoral Fellowships for Research Abroad and by JSPS KAKENHI grant number 26550013.</t>
  </si>
  <si>
    <t>10.5194/tc-10-837-2016</t>
  </si>
  <si>
    <t>WOS:000379411800026</t>
  </si>
  <si>
    <t>Trantow, T; Herzfeld, UC</t>
  </si>
  <si>
    <t>Trantow, T.; Herzfeld, U. C.</t>
  </si>
  <si>
    <t>Spatiotemporal mapping of a large mountain glacier from CryoSat-2 altimeter data: surface elevation and elevation change of Bering Glacier during surge (2011-2014)</t>
  </si>
  <si>
    <t>INTERNATIONAL JOURNAL OF REMOTE SENSING</t>
  </si>
  <si>
    <t>SEA-LEVEL RISE; ICE; ALASKA; GREENLAND; SPACE</t>
  </si>
  <si>
    <t>CryoSat-2 radar altimeter data have been applied to map surface elevations of the Greenland and Antarctic ice sheets, and of Arctic icecaps. In this article we investigate the feasibility of using CryoSat-2 data for spatiotemporal analysis of surface elevation of a large mountain glacier. Bering Glacier, Alaska (which is 8-20 km wide and approximately 80 km long) is selected as a study area because it surges and hence shows short-term elevation changes. The approach includes a correction method, geostatistical analysis, and several methods for error assessment. A time series of digital elevation models (DEMs) is derived for six-month increments from Summer 2011 to Winter 2013/2014. DEMs have, on average, numerical Kriging errors of 1.65 + 3.19 m and Kriging estimation standard deviations of 11.32 + 1.01 m. A crossover analysis with airborne laser altimeter data from the fall months of 2011, 2012, and 2013 produced differences of 5.03 + 13.67 m compared to respective CryoSat-2 data sets. Difference maps are derived from the DEMs and are used to infer dynamical changes associated with the recent surge. In conclusion, CryoSat-2 data can be employed for spatiotemporal mapping of the evolution of surface elevation in Bering Glacier and other mountain glaciers of similar width, while providing key insight into large-scale elevation change over relatively short time periods.</t>
  </si>
  <si>
    <t>[Trantow, T.; Herzfeld, U. C.] Univ Colorado, Dept Elect Comp &amp; Energy Engn, Boulder, CO 80309 USA; [Herzfeld, U. C.] Univ Colorado, Cooperat Inst Res Environm Sci, Boulder, CO 80309 USA</t>
  </si>
  <si>
    <t>University of Colorado System; University of Colorado Boulder; University of Colorado System; University of Colorado Boulder</t>
  </si>
  <si>
    <t>Trantow, T (corresponding author), Univ Colorado, Dept Elect Comp &amp; Energy Engn, Boulder, CO 80309 USA.</t>
  </si>
  <si>
    <t>trantow@colorado.edu</t>
  </si>
  <si>
    <t>Herzfeld, Ute/AAE-5115-2019</t>
  </si>
  <si>
    <t>Herzfeld, Ute/0000-0002-5694-4698; Trantow, Thomas/0000-0003-2271-6854</t>
  </si>
  <si>
    <t>U.S. National Science Foundation Arctic Natural Sciences Awards [NSF-ANS 1548462, NSF-ANS 1549750]; NSF Geography and Spatial Sciences Award [NSF-GSS 1553133]; NASA Cryospheric Sciences Award [NNX15AC73G]; Division Of Behavioral and Cognitive Sci; Direct For Social, Behav &amp; Economic Scie [1504533] Funding Source: National Science Foundation</t>
  </si>
  <si>
    <t>U.S. National Science Foundation Arctic Natural Sciences Awards; NSF Geography and Spatial Sciences Award; NASA Cryospheric Sciences Award; Division Of Behavioral and Cognitive Sci; Direct For Social, Behav &amp; Economic Scie(National Science Foundation (NSF)NSF - Directorate for Social, Behavioral &amp; Economic Sciences (SBE))</t>
  </si>
  <si>
    <t>This work was supported by U.S. National Science Foundation Arctic Natural Sciences Awards RAPID Bering Glacier Surge 2011: Observation, Analysis and Parametrization [NSF-ANS 1548462], Bering Glacier Research Experience for Undergraduates [NSF-ANS 1549750], NSF Geography and Spatial Sciences Award A Surge in a Complex Glacier System: Results from Observations, Data Analysis and Numerical Experiments of the Bering-Bagley Glacier System [NSF-GSS 1553133], and NASA Cryospheric Sciences Award Study of Glacial Acceleration Types Through Innovative Approaches to CryoSat-2, ICESat Operation IceBridge and Other Altimeter Data Analysis [NNX15AC73G].</t>
  </si>
  <si>
    <t>0143-1161</t>
  </si>
  <si>
    <t>1366-5901</t>
  </si>
  <si>
    <t>INT J REMOTE SENS</t>
  </si>
  <si>
    <t>Int. J. Remote Sens.</t>
  </si>
  <si>
    <t>10.1080/01431161.2016.1187318</t>
  </si>
  <si>
    <t>Remote Sensing; Imaging Science &amp; Photographic Technology</t>
  </si>
  <si>
    <t>DR5MN</t>
  </si>
  <si>
    <t>WOS:000379947200005</t>
  </si>
  <si>
    <t>De Luca, V; Del Prete, S; Vullo, D; Carginale, V; Di Fonzo, P; Osman, SM; AlOthman, Z; Supuran, CT; Capasso, C</t>
  </si>
  <si>
    <t>De Luca, Viviana; Del Prete, Sonia; Vullo, Daniela; Carginale, Vincenzo; Di Fonzo, Pietro; Osman, Sameh M.; AlOthman, Zeid; Supuran, Claudiu T.; Capasso, Clemente</t>
  </si>
  <si>
    <t>Expression and characterization of a recombinant psychrophilic γ-carbonic anhydrase (NcoCA) identified in the genome of the Antarctic cyanobacteria belonging to the genus Nostoc</t>
  </si>
  <si>
    <t>JOURNAL OF ENZYME INHIBITION AND MEDICINAL CHEMISTRY</t>
  </si>
  <si>
    <t>Antarctic carbonic anhydrase; carbonic anhydrase; cyanobacteria; hydratase activity; metalloenzymes</t>
  </si>
  <si>
    <t>CYTOSOLIC ISOZYMES I; SULFURIHYDROGENIBIUM-YELLOWSTONENSE YO3AOP1; PATHOGEN PORPHYROMONAS-GINGIVALIS; DIATOM THALASSIOSIRA-WEISSFLOGII; FISH NOTOTHENIA-CORIICEPS; BETA-CLASS CAB; ANION INHIBITION; ISOFORMS I; BENZENE SULFONAMIDES; BIOCHEMICAL-CHARACTERIZATION</t>
  </si>
  <si>
    <t>Carbonic anhydrases (CAs, EC 4.2.1.1) catalyze the CO2 hydration/dehydration reversible reaction: CO2 + H2O (sic) HCO3- + H+. Living organisms encode for at least six distinct genetic families of such catalyst, the alpha-, beta-, gamma-, delta-, zeta- and eta-CAs. The main function of the CAs is to quickly process the CO2 derived by metabolic processes in order to regulate acid-base homeostasis, connected to the production of protons (H+) and bicarbonate. Few data are available in the literature on Antarctic CAs and most of the scientific information regards CAs isolated from mammals or prokaryotes (as well as other mesophilic sources). It is of great interest to study the biochemical behavior of such catalysts identified in organism living in the Antarctic sea where temperatures average -1.9 circle C all year round. The enzymes isolated from Antarctic organisms represent a useful tool to study the relations among structure, stability and function of proteins in organisms adapted to living at constantly low temperatures. In the present paper, we report in detail the cloning, purification, and physico-chemical properties of NcoCA, a gamma-CA isolated from the Antarctic cyanobacterium Nostoc commune. This enzyme showed a higher catalytic efficiency at lower temperatures compared to mesophilic counterparts belonging to alpha-, beta-, gamma-classes, as well as a limited stability at moderate temperatures.</t>
  </si>
  <si>
    <t>[De Luca, Viviana; Del Prete, Sonia; Carginale, Vincenzo; Di Fonzo, Pietro; Capasso, Clemente] CNR, Ist Biosci &amp; Biorisorse, Naples, Italy; [Del Prete, Sonia; Vullo, Daniela; Supuran, Claudiu T.] Univ Firenze, Lab Chim Bioinorgan, Dipartimento Chim, Polo Sci, Florence, Italy; [Del Prete, Sonia; Vullo, Daniela; Supuran, Claudiu T.] Sez Sci Farmaceut, Dipartimento Neurofarba, Polo Sci, Florence, Italy; [Osman, Sameh M.; AlOthman, Zeid; Supuran, Claudiu T.] King Saud Univ, Coll Sci, Dept Chem, Riyadh, Saudi Arabia</t>
  </si>
  <si>
    <t>Consiglio Nazionale delle Ricerche (CNR); Istituto di Bioscienze e Biorisorse (IBBR-CNR); University of Florence; King Saud University</t>
  </si>
  <si>
    <t>Capasso, C (corresponding author), CNR, Ist Biosci &amp; Biorisorse, Naples, Italy.;Supuran, CT (corresponding author), Sez Sci Farmaceut, Dipartimento Neurofarba, Polo Sci, Florence, Italy.</t>
  </si>
  <si>
    <t>claudiu.supuran@unifi.it; clemente.capasso@ibbr.cnr.it</t>
  </si>
  <si>
    <t>ALOthman, Zeid A./E-7333-2014; Osman, Sameh/O-1800-2013; De Luca, Viviana/Q-2911-2016; CAPASSO, CLEMENTE/P-3522-2016; Carginale, Vincenzo/N-2531-2014</t>
  </si>
  <si>
    <t>ALOthman, Zeid A./0000-0001-9970-2480; Osman, Sameh/0000-0003-1564-7301; VULLO, Daniela/0000-0002-1352-1900; DE LUCA, Viviana/0000-0003-3406-833X; CAPASSO, CLEMENTE/0000-0003-3314-2411; Carginale, Vincenzo/0000-0002-1842-494X</t>
  </si>
  <si>
    <t>Distinguished Scientist Fellowship Program (DSFP) at KSU; FP7 EU project (Dynano)</t>
  </si>
  <si>
    <t>We thank the Distinguished Scientist Fellowship Program (DSFP) at KSU for funding this project. This work was also financed in part by an FP7 EU project (Dynano). The authors report no conflicts of interest.</t>
  </si>
  <si>
    <t>1475-6366</t>
  </si>
  <si>
    <t>1475-6374</t>
  </si>
  <si>
    <t>J ENZYM INHIB MED CH</t>
  </si>
  <si>
    <t>J. Enzym. Inhib. Med. Chem.</t>
  </si>
  <si>
    <t>10.3109/14756366.2015.1069289</t>
  </si>
  <si>
    <t>Biochemistry &amp; Molecular Biology; Chemistry, Medicinal</t>
  </si>
  <si>
    <t>Biochemistry &amp; Molecular Biology; Pharmacology &amp; Pharmacy</t>
  </si>
  <si>
    <t>DR3DV</t>
  </si>
  <si>
    <t>WOS:000379783700015</t>
  </si>
  <si>
    <t>Oppel, S; Lavers, JL; Bond, AL; Harrison, G</t>
  </si>
  <si>
    <t>Oppel, Steffen; Lavers, Jennifer L.; Bond, Alexander L.; Harrison, Gavin</t>
  </si>
  <si>
    <t>Reducing the primary exposure risk of Henderson crakes (Zapornia atra) during aerial broadcast eradication by selecting appropriate bait colour</t>
  </si>
  <si>
    <t>Henderson Island; non-target mortality; poisonous baits; primary poisoning; rail</t>
  </si>
  <si>
    <t>ROBINS PETROICA-AUSTRALIS; DETERRING BIRDS; PREFERENCES; REPELLENTS; EFFICACY; RATS; BRODIFACOUM; CONSUMPTION; ISLANDS</t>
  </si>
  <si>
    <t>Context Operations to eradicate non-native invasive predators from islands frequently put native species at risk of consuming harmful substances, such as poison bait. The incorporation of certain colours in poison-bait pellets may reduce the risk of bait consumption and, therefore, non-target mortality. Previous work indicated that birds generally avoid blue or green colours; however, there is substantial inter-specific variation in this preference, and more experimental work on species of conservation concern is needed. Aims We tested whether a globally threatened island endemic, the Henderson crake (Zapornia atra), which suffered substantial mortality during a rat-eradication attempt on Henderson Island in 2011, would consume fewer blue than green pellets, which were used during the previous eradication attempt. Methods We held 22 Henderson crakes in captivity and provided them with either blue or green non-toxic pellets for 5 days in June and July 2015. We measured consumption and used linear mixed models to evaluate whether bait colour influenced consumption. Key results Henderson crakes did not consume any dry pellets, and all trials were conducted with wet bait pellets. We found slightly lower consumption of blue pellets than green pellets, and substantial variation among individuals. Females (n=17) consumed 24% less blue than green bait, whereas males (n=5) consumed 77% less blue than green bait. Conclusion Henderson crakes are unlikely to consume dry pellets, and will likely consume fewer blue than green bait pellets. Implications We recommend that any future rat eradication on Henderson Island considers using blue rather than green baits and targets dry weather to reduce the risk of Henderson crakes consuming toxic rodenticide bait pellets.</t>
  </si>
  <si>
    <t>[Oppel, Steffen; Lavers, Jennifer L.; Bond, Alexander L.] Royal Soc Protect Birds, RSPB Ctr Conservat Sci, Sandy SG19 2DL, Beds, England; [Lavers, Jennifer L.] Univ Tasmania, Inst Marine &amp; Antarctic Studies, 20 Castray Esplanade, Battery Point, Tas 7004, Australia; [Harrison, Gavin] Natl Trust, Waddesdon HP18 0JH, Bucks, England</t>
  </si>
  <si>
    <t>Royal Society for Protection of Birds; University of Tasmania</t>
  </si>
  <si>
    <t>Oppel, S (corresponding author), Royal Soc Protect Birds, RSPB Ctr Conservat Sci, Sandy SG19 2DL, Beds, England.</t>
  </si>
  <si>
    <t>steffen.oppel@rspb.org.uk</t>
  </si>
  <si>
    <t>Oppel, Steffen/H-2771-2019; Bond, Alexander L/A-3786-2010; Lavers, Jennifer/O-4831-2017</t>
  </si>
  <si>
    <t>Oppel, Steffen/0000-0002-8220-3789; Lavers, Jennifer/0000-0001-7596-6588; Bond, Alexander/0000-0003-2125-7238</t>
  </si>
  <si>
    <t>David &amp; Lucille Packard Foundation; Darwin Initiative; Farallon Islands Foundation; British Birds</t>
  </si>
  <si>
    <t>David &amp; Lucille Packard Foundation(The David &amp; Lucile Packard Foundation); Darwin Initiative; Farallon Islands Foundation; British Birds</t>
  </si>
  <si>
    <t>We thank J. Kelly, A. Schofield, J. Vickery, Forest and Bird New Zealand, and N. Jolly for logistical support. The Henderson Island expedition was funded by the David &amp; Lucille Packard Foundation, the Darwin Initiative, the Farallon Islands Foundation, British Birds and several private donors, and we appreciate their financial support. A. Donaldson, A. Forrest, L. MacKinnon, P. Warren and S. O'Keefe assisted with rail capture, husbandry, and aviary maintenance. M. Brooke, J. Vickery and two anonymous referees provided insightful comments on an earlier draft of the manuscript.</t>
  </si>
  <si>
    <t>10.1071/WR15198</t>
  </si>
  <si>
    <t>DR6TD</t>
  </si>
  <si>
    <t>WOS:000380033300003</t>
  </si>
  <si>
    <t>Robbins, LH; Brook, GA; Murphy, ML; Ivester, AH; Campbell, AC</t>
  </si>
  <si>
    <t>Jones, SC; Stewart, BA</t>
  </si>
  <si>
    <t>Robbins, Lawrence H.; Brook, George A.; Murphy, Michael L.; Ivester, Andrew H.; Campbell, Alec C.</t>
  </si>
  <si>
    <t>The Kalahari During MIS 6-2 (190-12 ka): Archaeology, Paleoenvironment, and Population Dynamics</t>
  </si>
  <si>
    <t>AFRICA FROM MIS 6-2: POPULATION DYNAMICS AND PALEOENVIRONMENTS</t>
  </si>
  <si>
    <t>Vertebrate Paleobiology and Paleoanthropology</t>
  </si>
  <si>
    <t>Conference on Africa from Stages 6 to 2 - Population Dynamics and Palaeoenvironments</t>
  </si>
  <si>
    <t>JUL 02-04, 2010</t>
  </si>
  <si>
    <t>Univ Cambridge, McDonald Inst Archaeol Res, Cambridge, ENGLAND</t>
  </si>
  <si>
    <t>Univ Cambridge, McDonald Inst Archaeol Res</t>
  </si>
  <si>
    <t>White Paintings Shelter; Middle Stone Age; Early-Later Stone Age; Paleolake Makgadikgadi; Kudiakam Pan; Antarctic Warming Events (A); Heinrich (H) Events</t>
  </si>
  <si>
    <t>MIDDLE-STONE-AGE; PAINTINGS ROCK SHELTER; TSODILO HILLS; QUATERNARY HIGHSTANDS; CLIMATE-CHANGE; HUMAN-BEHAVIOR; LAKE NGAMI; AFRICA; CAVE; DESERT</t>
  </si>
  <si>
    <t>We present a synthesis of archaeological and paleoenvironmental information for the period MIS 6-2 in the Kalahari. Discussion centers on the implications of nine new, internally consistent OSL ages obtained from White Paintings Rock Shelter. These dates provide a better understanding of the Middle Stone Age (MSA) and Late Stone Age (LSA) sequence. In addition, the revised chronology dates 11 buried soil A-horizons that were formed during wetter periods. The buried A-horizons, along with dated speleothems and high lake levels in the Kalahari correlate with Antarctic warming events (A) and North Atlantic Heinrich events (H). We also discuss the implications of the Kalahari megalake, paleolake Makgadikgadi, for human populations and compare dated changes in the archaeological sequence at WPS with dates established in Khoisan genetic evolutionary studies.</t>
  </si>
  <si>
    <t>[Robbins, Lawrence H.] Michigan State Univ, Dept Anthropol, 354 Baker Hall, E Lansing, MI 48824 USA; [Brook, George A.] Univ Georgia, Dept Geog, Athens, GA 30602 USA; [Murphy, Michael L.] Kalamazoo Valley Community Coll, 6767 West O Ave,POB 49003-4070, Kalamazoo, MI 49009 USA; [Ivester, Andrew H.] Univ West Georgia, Dept Geosci, Carrollton, GA 30118 USA; [Campbell, Alec C.] POB 306 Crocodile Pools, Gaborone, Botswana</t>
  </si>
  <si>
    <t>Michigan State University; University System of Georgia; University of Georgia; University System of Georgia; University of West Georgia</t>
  </si>
  <si>
    <t>Robbins, LH (corresponding author), Michigan State Univ, Dept Anthropol, 354 Baker Hall, E Lansing, MI 48824 USA.</t>
  </si>
  <si>
    <t>lrobbins@msu.edu</t>
  </si>
  <si>
    <t>Ivester, Andrew/0000-0001-5486-2122</t>
  </si>
  <si>
    <t>DORDRECHT</t>
  </si>
  <si>
    <t>PO BOX 17, 3300 AA DORDRECHT, NETHERLANDS</t>
  </si>
  <si>
    <t>1877-9077</t>
  </si>
  <si>
    <t>978-94-017-7520-5; 978-94-017-7519-9</t>
  </si>
  <si>
    <t>VERTEBR PALEOBIOL PA</t>
  </si>
  <si>
    <t>Vertebr. Paleobiol. Paleoanthropol.</t>
  </si>
  <si>
    <t>10.1007/978-94-017-7520-5_10</t>
  </si>
  <si>
    <t>BF0MR</t>
  </si>
  <si>
    <t>WOS:000379118600010</t>
  </si>
  <si>
    <t>Halberstadt, ARW; Simkins, LM; Greenwood, SL; Anderson, JB</t>
  </si>
  <si>
    <t>Halberstadt, Anna Ruth W.; Simkins, Lauren M.; Greenwood, Sarah L.; Anderson, John B.</t>
  </si>
  <si>
    <t>Past ice-sheet behaviour: retreat scenarios and changing controls in the Ross Sea, Antarctica</t>
  </si>
  <si>
    <t>LAST GLACIAL MAXIMUM; PINE ISLAND BAY; GROUNDING-LINE RETREAT; SHELF BREAK-UP; CONTINENTAL-SHELF; WEST ANTARCTICA; SUBGLACIAL BEDFORMS; GEOMORPHIC FEATURES; FLOW DYNAMICS; STREAM</t>
  </si>
  <si>
    <t>Studying the history of ice-sheet behaviour in the Ross Sea, Antarctica's largest drainage basin can improve our understanding of patterns and controls on marine-based ice-sheet dynamics and provide constraints for numerical ice-sheet models. Newly collected high-resolution multibeam bathymetry data, combined with two decades of legacy multibeam and seismic data, are used to map glacial landforms and reconstruct palaeo ice-sheet drainage. During the Last Glacial Maximum, grounded ice reached the continental shelf edge in the eastern but not western Ross Sea. Recessional geomorphic features in the western Ross Sea indicate virtually continuous back-stepping of the ice-sheet grounding line. In the eastern Ross Sea, well-preserved linear features and a lack of small-scale recessional landforms signify rapid lift-off of grounded ice from the bed. Physiography exerted a first-order control on regional ice behaviour, while sea floor geology played an important subsidiary role. Previously published deglacial scenarios for Ross Sea are based on low-spatial-resolution marine data or terrestrial observations; however, this study uses high-resolution basin-wide geomorphology to constrain grounding-line retreat on the continental shelf. Our analysis of retreat patterns suggests that (1) retreat from the western Ross Sea was complex due to strong physiographic controls on ice-sheet drainage; (2) retreat was asynchronous across the Ross Sea and between troughs; (3) the eastern Ross Sea largely deglaciated prior to the western Ross Sea following the formation of a large grounding-line embayment over Whales Deep; and (4) our glacial geomorphic reconstruction converges with recent numerical models that call for significant and complex East Antarctic ice sheet and West Antarctic ice sheet contributions to the ice flow in the Ross Sea.</t>
  </si>
  <si>
    <t>[Halberstadt, Anna Ruth W.; Simkins, Lauren M.; Anderson, John B.] Rice Univ, Dept Earth Sci, Houston, TX 77005 USA; [Greenwood, Sarah L.] Stockholm Univ, Dept Geol Sci, S-10691 Stockholm, Sweden</t>
  </si>
  <si>
    <t>Rice University; Stockholm University</t>
  </si>
  <si>
    <t>Halberstadt, ARW (corresponding author), Rice Univ, Dept Earth Sci, Houston, TX 77005 USA.</t>
  </si>
  <si>
    <t>ar.halberstadt@rice.edu</t>
  </si>
  <si>
    <t>Greenwood, Sarah/0000-0003-3048-7916; Halberstadt, Anna Ruth/0000-0003-2582-7074; Miller, Lauren/0000-0002-9075-5196</t>
  </si>
  <si>
    <t>National Science Foundation [NSF-PLR 1246353]; Swedish Research Council [D0567301]; Office of Polar Programs (OPP); Directorate For Geosciences [1246353] Funding Source: National Science Foundation</t>
  </si>
  <si>
    <t>National Science Foundation(National Science Foundation (NSF)); Swedish Research Council(Swedish Research Council); Office of Polar Programs (OPP); Directorate For Geosciences(National Science Foundation (NSF)NSF - Directorate for Geosciences (GEO))</t>
  </si>
  <si>
    <t>This research was funded by the National Science Foundation (NSF-PLR 1246353 to J.B.A) and the Swedish Research Council (D0567301 to S.L.G.). The authors thank the crew of the RV/IB Nathaniel B. Palmer and Antarctic Support Contract staff, as well as Phil Bart, chief scientist, for a successful cruise. We thank Kathleen Gavahan for providing assistance with multibeam data sets, students from Rice University, University of Houston and Louisiana State University for participating in data collection and processing, and Jean Aroom and the Fondren GIS Center, Rice University, for technical support.</t>
  </si>
  <si>
    <t>10.5194/tc-10-1003-2016</t>
  </si>
  <si>
    <t>DQ7VH</t>
  </si>
  <si>
    <t>WOS:000379415500005</t>
  </si>
  <si>
    <t>Ekaykin, A; Eberlein, L; Lipenkov, V; Popov, S; Scheinert, M; Schröder, L; Turkeev, A</t>
  </si>
  <si>
    <t>Ekaykin, Alexey; Eberlein, Lutz; Lipenkov, Vladimir; Popov, Sergey; Scheinert, Mirko; Schroeder, Ludwig; Turkeev, Alexey</t>
  </si>
  <si>
    <t>Non-climatic signal in ice core records: lessons from Antarctic megadunes</t>
  </si>
  <si>
    <t>DRONNING MAUD-LAND; SURFACE MASS-BALANCE; ACCUMULATION-RATE; SNOW ACCUMULATION; SNOWDRIFT SUBLIMATION; EAST ANTARCTICA; DIFFERENTIAL ACCUMULATION; TEMPORAL VARIABILITY; SPATIAL-DISTRIBUTION; VOSTOK STATION</t>
  </si>
  <si>
    <t>We present the results of glaciological investigations in the megadune area located 30aEuro-km to the east of Vostok Station (central East Antarctica) implemented during the 58th, 59th and 60th Russian Antarctic Expedition (January 2013-2015). Snow accumulation rate and isotope content (delta D, delta O-18 and delta O-17) were measured along the 2aEuro-km profile across the megadune ridge accompanied by precise GPS altitude measurements and ground penetrating radar (GPR) survey. It is shown that the spatial variability of snow accumulation and isotope content covaries with the surface slope. The accumulation rate regularly changes by 1 order of magnitude within the distance -1aEuro-km, with the reduced accumulation at the leeward slope of the dune and increased accumulation in the hollow between the dunes. At the same time, the accumulation rate averaged over the length of a dune wave (22aEuro-mmaEuro-w.e.) corresponds well with the value obtained at Vostok Station, which suggests no additional wind-driven snow sublimation in the megadunes compared to the surrounding plateau. The snow isotopic composition is in negative correlation with the snow accumulation. Analysing dxs/delta D and O-17-excess/delta D slopes (where dxs = delta D - 8 delta O-18 and O-17-excessn (delta(17)O1000 + 1) -0.528 (delta O-18 + 1)), we conclude that the spatial variability of the snow isotopic composition in the megadune area could be explained by post-depositional snow modifications. Using the GPR data, we estimated the apparent dune drift velocity (4.6 yr(-1)). The full cycle of the dune drift is thus about 410 years. Since the spatial anomalies of snow accumulation and isotopic composition are supposed to drift with the dune, a core drilled in the megadune area would exhibit the non-climatic 410-year cycle of these two parameters. We simulated a vertical profile of snow isotopic composition with such a non-climatic variability, using the data on the dune size and velocity. This artificial profile is then compared with the real vertical profile of snow isotopic composition obtained from a core drilled in the megadune area. We note that the two profiles are very similar. The obtained results are discussed in terms of interpretation of data obtained from ice cores drilled beyond the megadune areas.</t>
  </si>
  <si>
    <t>[Ekaykin, Alexey; Lipenkov, Vladimir; Turkeev, Alexey] Arctic &amp; Antarctic Res Inst, Climate &amp; Environm Res Lab, 38 Beringa St, St Petersburg 199397, Russia; [Ekaykin, Alexey] St Petersburg State Univ, 33-35 10th Line VO, St Petersburg 199178, Russia; [Eberlein, Lutz; Scheinert, Mirko; Schroeder, Ludwig] Tech Univ Dresden, Inst Planetare Geodasie, D-01062 Dresden, Germany; [Popov, Sergey] Polar Marine Geol Res Expedit, 24 Pobedy St, Lomonosov 198412, Russia</t>
  </si>
  <si>
    <t>Arctic &amp; Antarctic Research Institute; Saint Petersburg State University; Technische Universitat Dresden</t>
  </si>
  <si>
    <t>Ekaykin, A (corresponding author), Arctic &amp; Antarctic Res Inst, Climate &amp; Environm Res Lab, 38 Beringa St, St Petersburg 199397, Russia.;Ekaykin, A (corresponding author), St Petersburg State Univ, 33-35 10th Line VO, St Petersburg 199178, Russia.</t>
  </si>
  <si>
    <t>ekaykin@aari.ru</t>
  </si>
  <si>
    <t>Popov, Sergey/IYJ-2371-2023; Popov, Sergey V./I-2319-2013; Lipenkov, Vladimir/Q-8262-2016; Ekaykin, Alexey/K-9894-2015</t>
  </si>
  <si>
    <t>Popov, Sergey/0000-0002-1830-8658; Popov, Sergey V./0000-0002-1830-8658; Scheinert, Mirko/0000-0002-0892-8941; Lipenkov, Vladimir/0000-0003-4221-5440; Schroder, Ludwig/0000-0002-6862-0930; Ekaykin, Alexey/0000-0001-9819-2802</t>
  </si>
  <si>
    <t>Russian Science Foundation [14-27-00030]; Russian Science Foundation [14-27-00030] Funding Source: Russian Science Foundation</t>
  </si>
  <si>
    <t>Russian Science Foundation(Russian Science Foundation (RSF)); Russian Science Foundation(Russian Science Foundation (RSF))</t>
  </si>
  <si>
    <t>This study was completed at the expense of the grant of the Russian Science Foundation (project 14-27-00030).</t>
  </si>
  <si>
    <t>10.5194/tc-10-1217-2016</t>
  </si>
  <si>
    <t>WOS:000379415500018</t>
  </si>
  <si>
    <t>Dow, CF; Werder, MA; Nowicki, S; Walker, RT</t>
  </si>
  <si>
    <t>Dow, Christine F.; Werder, Mauro A.; Nowicki, Sophie; Walker, Ryan T.</t>
  </si>
  <si>
    <t>Modeling Antarctic subglacial lake filling and drainage cycles</t>
  </si>
  <si>
    <t>RECOVERY ICE STREAM; WEST ANTARCTICA; EAST ANTARCTICA; SEASONAL-CHANGES; OUTLET GLACIER; SYSTEM; SHEET; FLOW; SURFACE; MELT</t>
  </si>
  <si>
    <t>The growth and drainage of active subglacial lakes in Antarctica has previously been inferred from analysis of ice surface altimetry data. We use a subglacial hydrology model applied to a synthetic Antarctic ice stream to examine internal controls on the filling and drainage of subglacial lakes. Our model outputs suggest that the highly constricted subglacial environment of our idealized ice stream, combined with relatively high rates of water flow funneled from a large catchment, can combine to create a system exhibiting slow-moving pressure waves. Over a period of years, the accumulation of water in the ice stream onset region results in a buildup of pressure creating temporary channels, which then evacuate the excess water. This increased flux of water beneath the ice stream drives lake growth. As the water body builds up, it steepens the hydraulic gradient out of the overdeepened lake basin and allows greater flux. Eventually this flux is large enough to melt channels that cause the lake to drain. Lake drainage also depends on the internal hydrological development in the wider system and therefore does not directly correspond to a particular water volume or depth. This creates a highly temporally and spatially variable system, which is of interest for assessing the importance of subglacial lakes in ice stream hydrology and dynamics.</t>
  </si>
  <si>
    <t>[Dow, Christine F.; Nowicki, Sophie; Walker, Ryan T.] NASA Goddard Space Flight Ctr, Cryospher Sci Lab, Greenbelt, MD 20771 USA; [Werder, Mauro A.] Swiss Fed Inst Technol, Lab Hydraul Hydrol &amp; Glaciol VAW, Zurich, Switzerland; [Walker, Ryan T.] Univ Maryland, Earth Syst Sci Interdisciplinary Ctr, College Pk, MD 20742 USA; [Dow, Christine F.] Univ Waterloo, Dept Geog &amp; Environm Management, Waterloo, ON, Canada</t>
  </si>
  <si>
    <t>National Aeronautics &amp; Space Administration (NASA); NASA Goddard Space Flight Center; Swiss Federal Institutes of Technology Domain; ETH Zurich; University System of Maryland; University of Maryland College Park; University of Waterloo</t>
  </si>
  <si>
    <t>Dow, CF (corresponding author), NASA Goddard Space Flight Ctr, Cryospher Sci Lab, Greenbelt, MD 20771 USA.;Dow, CF (corresponding author), Univ Waterloo, Dept Geog &amp; Environm Management, Waterloo, ON, Canada.</t>
  </si>
  <si>
    <t>christine.dow@uwaterloo.ca</t>
  </si>
  <si>
    <t>Werder, Mauro/0000-0003-0137-9377; Dow, Christine/0000-0003-1346-2258</t>
  </si>
  <si>
    <t>NASA Postdoctoral Program fellowship at the Goddard Space Flight Center; NASA [NNX12AD03A]; NASA Cryosphere Program; NASA [NNX12AD03A, 52866] Funding Source: Federal RePORTER</t>
  </si>
  <si>
    <t>NASA Postdoctoral Program fellowship at the Goddard Space Flight Center; NASA(National Aeronautics &amp; Space Administration (NASA)); NASA Cryosphere Program; NASA(National Aeronautics &amp; Space Administration (NASA))</t>
  </si>
  <si>
    <t>Christine F. Dow was supported with a NASA Postdoctoral Program fellowship at the Goddard Space Flight Center, administered by Oak Ridge Associated Universities through a contract with NASA. Ryan T. Walker was funded by NASA grant NNX12AD03A. Sophie Nowicki acknowledges the support of the NASA Cryosphere Program. We thank Martin Sharp and an anonymous reviewer for their valuable input.</t>
  </si>
  <si>
    <t>10.5194/tc-10-1381-2016</t>
  </si>
  <si>
    <t>DQ7XV</t>
  </si>
  <si>
    <t>WOS:000379422700002</t>
  </si>
  <si>
    <t>Passalacqua, O; Gagliardini, O; Parrenin, F; Todd, J; Gillet-Chaulet, F; Ritz, C</t>
  </si>
  <si>
    <t>Passalacqua, Olivier; Gagliardini, Olivier; Parrenin, Frederic; Todd, Joe; Gillet-Chaulet, Fabien; Ritz, Catherine</t>
  </si>
  <si>
    <t>Performance and applicability of a 2.5-D ice-flow model in the vicinity of a dome</t>
  </si>
  <si>
    <t>GEOSCIENTIFIC MODEL DEVELOPMENT</t>
  </si>
  <si>
    <t>BOUNDARY-CONDITIONS; CENTRAL GREENLAND; SURFACE MOVEMENT; MASS-BALANCE; SHEET MODEL; GLACIER; DIVIDE; CORE; ANTARCTICA; DYNAMICS</t>
  </si>
  <si>
    <t>Three-dimensional ice flow modelling requires a large number of computing resources and observation data, such that 2-D simulations are often preferable. However, when there is significant lateral divergence, this must be accounted for (2.5-D models), and a flow tube is considered (volume between two horizontal flowlines). In the absence of velocity observations, this flow tube can be derived assuming that the flowlines follow the steepest slope of the surface, under a few flow assumptions. This method typically consists of scanning a digital elevation model (DEM) with a moving window and computing the curvature at the centre of this window. The ability of the 2.5-D models to account properly for a 3-D state of strain and stress has not clearly been established, nor their sensitivity to the size of the scanning window and to the geometry of the ice surface, for example in the cases of sharp ridges. Here, we study the applicability of a 2.5-D ice flow model around a dome, typical of the East Antarctic plateau conditions. A twin experiment is carried out, comparing 3-D and 2.5-D computed velocities, on three dome geometries, for several scanning windows and thermal conditions. The chosen scanning window used to evaluate the ice surface curvature should be comparable to the typical radius of this curvature. For isothermal ice, the error made by the 2.5-D model is in the range 0-10aEuro-% for weakly diverging flows, but is 2 or 3 times higher for highly diverging flows and could lead to a non-physical ice surface at the dome. For non-isothermal ice, assuming a linear temperature profile, the presence of a sharp ridge makes the 2.5-D velocity field unrealistic. In such cases, the basal ice is warmer and more easily laterally strained than the upper one, the walls of the flow tube are not vertical, and the assumptions of the 2.5-D model are no longer valid.</t>
  </si>
  <si>
    <t>[Passalacqua, Olivier; Gagliardini, Olivier; Parrenin, Frederic; Gillet-Chaulet, Fabien; Ritz, Catherine] Univ Grenoble Alpes, LGGE, F-38401 Grenoble, France; [Passalacqua, Olivier; Gagliardini, Olivier; Parrenin, Frederic; Gillet-Chaulet, Fabien; Ritz, Catherine] CNRS, LGGE, F-38041 Grenoble, France; [Todd, Joe] Univ Cambridge, Scott Polar Res Inst, Cambridge, England</t>
  </si>
  <si>
    <t>Communaute Universite Grenoble Alpes; Universite Grenoble Alpes (UGA); Centre National de la Recherche Scientifique (CNRS); Communaute Universite Grenoble Alpes; Universite Grenoble Alpes (UGA); University of Cambridge</t>
  </si>
  <si>
    <t>Passalacqua, O (corresponding author), Univ Grenoble Alpes, LGGE, F-38401 Grenoble, France.;Passalacqua, O (corresponding author), CNRS, LGGE, F-38041 Grenoble, France.</t>
  </si>
  <si>
    <t>olivier.passalacqua@univ-grenoble-alpes.fr</t>
  </si>
  <si>
    <t>Gagliardini, Olivier/GQQ-1222-2022; Parrenin, Frédéric/H-3054-2014</t>
  </si>
  <si>
    <t>Gagliardini, Olivier/0000-0001-9162-3518; Parrenin, Frédéric/0000-0002-9489-3991; Todd, Joe/0000-0003-3183-043X; Ritz, Catherine/0000-0003-0785-8571</t>
  </si>
  <si>
    <t>Universite Grenoble Alpes</t>
  </si>
  <si>
    <t>We would like to thank the Editor D. Goldberg as well as D. Brinkerhoff and an anonymous referee for their frank comments which greatly improved the initial version of the manuscript. This project is supported by the Universite Grenoble Alpes in the framework of the proposal called Grenoble Innovation Recherche AGIR.</t>
  </si>
  <si>
    <t>1991-959X</t>
  </si>
  <si>
    <t>1991-9603</t>
  </si>
  <si>
    <t>GEOSCI MODEL DEV</t>
  </si>
  <si>
    <t>Geosci. Model Dev.</t>
  </si>
  <si>
    <t>10.5194/gmd-9-2301-2016</t>
  </si>
  <si>
    <t>DQ7ZE</t>
  </si>
  <si>
    <t>WOS:000379427500002</t>
  </si>
  <si>
    <t>Chen, JQ; Xie, SR; Luo, J; Li, HY</t>
  </si>
  <si>
    <t>Chen, Jiqing; Xie, Shaorong; Luo, Jun; Li, Hengyu</t>
  </si>
  <si>
    <t>Wind-driven land-yacht robot mathematical modeling and verification</t>
  </si>
  <si>
    <t>INDUSTRIAL ROBOT-THE INTERNATIONAL JOURNAL OF ROBOTICS RESEARCH AND APPLICATION</t>
  </si>
  <si>
    <t>PSO; Mathematical modeling; Land-yacht robot; PID; Wind-driven; Wing sail</t>
  </si>
  <si>
    <t>TRAJECTORY TRACKING CONTROL; MOBILE</t>
  </si>
  <si>
    <t>Purpose - The purpose of this paper was to solve the shortage of carrying energy in probing robot and make full use of wind resources in the Antarctic expedition by designing a four-wheel land-yacht. Land-yacht is a new kind of mobile robot powered by the wind using a sail. The mathematical model and trajectory of the land-yacht are presented in this paper. Design/methodology/approach - The mechanism analysis method and experimental modeling method are used to establish a dual-input and dual-output mathematical model for the motion of land-yacht. First, the land-yacht's model structure is obtained by using mechanism analysis. Then, the models of steering gear, servomotors and force of wing sail are analyzed and validated. Finally, the motion of land-yacht is simulated according to the mathematical model. Findings - The mathematical model is used to analyze linear motion and steering motion. Compared with the simulation results and the actual experimental tests, the feasibility and reliability of the proposed land-yacht modeling are verified. It can travel according to the given signal. Practical implications - This land-yacht can be used in the Antarctic, outer planet or for harsh environment exploration. Originality/value - A land-yacht is designed, and the contribution of this research is the development of a mathematical model for land-yacht robot. It provides a theoretical basis for analysis of the land-yacht's motion.</t>
  </si>
  <si>
    <t>[Chen, Jiqing] Shanghai Univ, Sch Mechatron Engn &amp; Automat, Mech Engn, Shanghai, Peoples R China; [Xie, Shaorong; Luo, Jun] Shanghai Univ, Coll Mechatron Engn &amp; Automat, Shanghai, Peoples R China; [Li, Hengyu] Shanghai Univ, Sch Mechatron Engn &amp; Automat, Shanghai, Peoples R China</t>
  </si>
  <si>
    <t>Shanghai University; Shanghai University; Shanghai University</t>
  </si>
  <si>
    <t>Chen, JQ (corresponding author), Shanghai Univ, Sch Mechatron Engn &amp; Automat, Mech Engn, Shanghai, Peoples R China.</t>
  </si>
  <si>
    <t>cjq_shu54@126.com</t>
  </si>
  <si>
    <t>Luo, Jun/IQU-6231-2023</t>
  </si>
  <si>
    <t>Luo, Jun/0000-0002-6998-4453</t>
  </si>
  <si>
    <t>Key Projects of the National Natural Science Foundation of China [61233010]; National Nature Science Foundation of China [61375093, 61305106]</t>
  </si>
  <si>
    <t>Key Projects of the National Natural Science Foundation of China(National Natural Science Foundation of China (NSFC)); National Nature Science Foundation of China(National Natural Science Foundation of China (NSFC))</t>
  </si>
  <si>
    <t>This research is supported by the Key Projects of the National Natural Science Foundation of China (No. 61233010) and the National Nature Science Foundation of China (No. 61375093, No. 61305106).</t>
  </si>
  <si>
    <t>EMERALD GROUP PUBLISHING LTD</t>
  </si>
  <si>
    <t>BINGLEY</t>
  </si>
  <si>
    <t>HOWARD HOUSE, WAGON LANE, BINGLEY BD16 1WA, W YORKSHIRE, ENGLAND</t>
  </si>
  <si>
    <t>0143-991X</t>
  </si>
  <si>
    <t>1758-5791</t>
  </si>
  <si>
    <t>IND ROBOT</t>
  </si>
  <si>
    <t>Ind. Robot.</t>
  </si>
  <si>
    <t>10.1108/IR-03-2015-0052</t>
  </si>
  <si>
    <t>Engineering, Industrial; Robotics</t>
  </si>
  <si>
    <t>Engineering; Robotics</t>
  </si>
  <si>
    <t>DR1QJ</t>
  </si>
  <si>
    <t>WOS:000379679700009</t>
  </si>
  <si>
    <t>Fleury, C; Raoulx, B</t>
  </si>
  <si>
    <t>Fleury, Christian; Raoulx, Benoit</t>
  </si>
  <si>
    <t>TOPONYMY, TAXONOMY AND PLACE Explicating the French concepts of presqu'ile and peninsule</t>
  </si>
  <si>
    <t>SHIMA-THE INTERNATIONAL JOURNAL OF RESEARCH INTO ISLAND CULTURES</t>
  </si>
  <si>
    <t>Peninsula; peninsule; presqu'ile; almost island; toponymy; Kerguelen Islands; Cotentin</t>
  </si>
  <si>
    <t>This article discusses the concepts of and differences between the French terms presqu'ile (almost island) and peninsule (peninsula) and their toponymic uses. The discussion raises a number of questions including how and why particular places are named presqu'ile or peninsule. We will first focus on examples located in the French Southern and Antarctic Lands and then in mainland France. These two case study areas are complementary. The first example, the Kerguelen Islands in the Southern Indian Ocean, has been the site of a recent attempt to normalise place-naming for the purpose of asserting sovereignty. The second one, the Cotentin, is a part of Normandy, whose long history of human inhabitation has provided several layers of toponymy. Finally we refer to the use of the term presqu'ile in the context of urban riverfront revitalisation. In the latter usage, cities try to promote their locations by using the image of the peninsular 'almost island'. The reflections presented in the article show the complexity involved in naming and interpreting locations as either peninsulas or 'almost islands'.</t>
  </si>
  <si>
    <t>[Fleury, Christian; Raoulx, Benoit] Univ Caen Normandy, Caen, France</t>
  </si>
  <si>
    <t>Universite de Caen Normandie</t>
  </si>
  <si>
    <t>Fleury, C (corresponding author), Univ Caen Normandy, Caen, France.</t>
  </si>
  <si>
    <t>fleury.cote@wanadoo.fr; benoit.raoulx@unicaen.fr</t>
  </si>
  <si>
    <t>MACQUARIE UNIV, DIV HUMANITIES</t>
  </si>
  <si>
    <t>SYDNEY</t>
  </si>
  <si>
    <t>MACQUARIE UNIV, SYDNEY, NSW 2109, AUSTRALIA</t>
  </si>
  <si>
    <t>1834-6049</t>
  </si>
  <si>
    <t>1834-6057</t>
  </si>
  <si>
    <t>SHIMA</t>
  </si>
  <si>
    <t>Shima</t>
  </si>
  <si>
    <t>10.21463/shima.10.1.04</t>
  </si>
  <si>
    <t>DR1SE</t>
  </si>
  <si>
    <t>WOS:000379684400002</t>
  </si>
  <si>
    <t>Bray, D</t>
  </si>
  <si>
    <t>Bray, Daniel</t>
  </si>
  <si>
    <t>The geopolitics of Antarctic governance: sovereignty and strategic denial in Australia's Antarctic policy</t>
  </si>
  <si>
    <t>AUSTRALIAN JOURNAL OF INTERNATIONAL AFFAIRS</t>
  </si>
  <si>
    <t>Antarctic Treaty System; Antarctica; Australia; legitimacy; sovereignty; strategic denial</t>
  </si>
  <si>
    <t>TREATY</t>
  </si>
  <si>
    <t>The governance of Antarctica has re-emerged as a geopolitical issue in the past decade due to the increased presence of China, India and Russia; the continent's importance in understanding global climate change; and its economic potential as a source of marine, genetic and mineral resources. This article examines the challenges for the Antarctic Treaty System (ATS) in this context and the consequences for Australia's foreign policy in its dual role as both a territorial claimant and supporter of ATS norms of cooperative science and environmental protection. The central argument is that Antarctic 'bifocalism' is under pressure as increased commercial activity and problematic jurisdictional interfaces with other regimes create difficult regulatory challenges for the ATS and encourage assertions of sovereignty that cannot be resolved within the existing regime. Consequently, the author argues that it is vitally important for Australia to preserve the legitimacy of the ATS through a policy framework of 'strategic denial' that aims to prevent all states from acquiring sovereignty over Antarctic territory. Australia should therefore reject recent proposals to securitise Antarctic policy or pursue World Heritage listing because they involve assertions of sovereignty that risk fracturing the ATS and thus compromise Australia's enduring interest in keeping Antarctica as 'a continent of international cooperation and peace'.</t>
  </si>
  <si>
    <t>[Bray, Daniel] La Trobe Univ, Dept Polit &amp; Philosophy, Melbourne, Vic, Australia</t>
  </si>
  <si>
    <t>La Trobe University; Melbourne Genomics Health Alliance</t>
  </si>
  <si>
    <t>Bray, D (corresponding author), La Trobe Univ, Dept Polit &amp; Philosophy, Melbourne, Vic, Australia.</t>
  </si>
  <si>
    <t>d.bray@latrobe.edu.au</t>
  </si>
  <si>
    <t>Bray, Daniel/K-6802-2019</t>
  </si>
  <si>
    <t>Bray, Daniel/0000-0003-3110-418X</t>
  </si>
  <si>
    <t>1035-7718</t>
  </si>
  <si>
    <t>1465-332X</t>
  </si>
  <si>
    <t>AUST J INT AFF</t>
  </si>
  <si>
    <t>Aust. J. Int. Aff.</t>
  </si>
  <si>
    <t>10.1080/10357718.2015.1135871</t>
  </si>
  <si>
    <t>International Relations</t>
  </si>
  <si>
    <t>DP9JY</t>
  </si>
  <si>
    <t>WOS:000378813700003</t>
  </si>
  <si>
    <t>Richardson, B; Baxter, T</t>
  </si>
  <si>
    <t>Richardson, Benjamin; Baxter, Tom</t>
  </si>
  <si>
    <t>Governance of Tasmania's private bushlands: Artful ensemble or hodgepodge?</t>
  </si>
  <si>
    <t>ENVIRONMENTAL AND PLANNING LAW JOURNAL</t>
  </si>
  <si>
    <t>Conservation of bushland on private property in Tasmania, as in other parts of Australia, has seemingly benefited from numerous regulatory and policy initiatives in recent decades. But more is not necessarily better; a smorgasbord of initiatives may lead to a hodgepodge of confusing and contradictory approaches. Through this article's evaluation of governance of private bushland in Tasmania, a valuable case study emerges of wider relevance to the design of environmental law. Some theories of regulation suggest that a mix of instruments and actors can be advantageous - such as by efficiently and democratically tailoring governance to specific contexts rather than imposing indiscriminate, blanket controls. The Tasmanian experience suggests that such an advantage does not easily arise. The mosaic of governance in Tasmania includes local planning schemes, conservation covenants, threatened species legislation and forest practices legislation, in addition to federal regulation. Continuing land clearance and degradation in Tasmania is fragmenting and degrading wildlife habitat corridors and replacing old growth with young growth. To overcome such pressures may necessitate, perhaps counter-intuitively, a simpler approach and a new synergising process.</t>
  </si>
  <si>
    <t>[Richardson, Benjamin] Univ Tasmania, Fac Law, Hobart, Tas 7001, Australia; [Richardson, Benjamin] Univ Tasmania, Inst Marine &amp; Antarctic Studies, Hobart, Tas 7001, Australia; [Baxter, Tom] Univ Tasmania, Sch Business &amp; Econ, Hobart, Tas 7001, Australia</t>
  </si>
  <si>
    <t>University of Tasmania; University of Tasmania; University of Tasmania</t>
  </si>
  <si>
    <t>Richardson, B (corresponding author), Univ Tasmania, Fac Law, Hobart, Tas 7001, Australia.;Richardson, B (corresponding author), Univ Tasmania, Inst Marine &amp; Antarctic Studies, Hobart, Tas 7001, Australia.</t>
  </si>
  <si>
    <t>LAWBOOK CO LTD</t>
  </si>
  <si>
    <t>PYRMONT</t>
  </si>
  <si>
    <t>LEVEL 6, 19 HARRIS ST, PYRMONT, NSW 2009, AUSTRALIA</t>
  </si>
  <si>
    <t>0813-300X</t>
  </si>
  <si>
    <t>ENVIRON PLAN LAW J</t>
  </si>
  <si>
    <t>Environ. Plan. Law J.</t>
  </si>
  <si>
    <t>DP5HK</t>
  </si>
  <si>
    <t>WOS:000378526700004</t>
  </si>
  <si>
    <t>Jiang, QX; Li, SJ; Xu, YS; Xia, WS</t>
  </si>
  <si>
    <t>Jiang, Qixing; Li, Shujing; Xu, Yanshun; Xia, Wenshui</t>
  </si>
  <si>
    <t>Nutrient Compositions and Properties of Antarctic Krill (Euphausia superba) Muscle and Processing By-Products</t>
  </si>
  <si>
    <t>JOURNAL OF AQUATIC FOOD PRODUCT TECHNOLOGY</t>
  </si>
  <si>
    <t>Antarctic krill; nutrient compositions; properties; processing by-products</t>
  </si>
  <si>
    <t>AMINO-ACID; CHEMICAL-COMPOSITION; FATTY-ACID; SEASONAL-VARIATIONS; NUTRITIONAL-VALUE; QUALITY; POPULATIONS; PROTEIN; SHRIMP; CANCER</t>
  </si>
  <si>
    <t>This study investigated the morphometrics, proximate chemical compositions, pH, total amino acid (TAA), fatty acid profile, and minerals of the processing by-products of Antarctic krill (Euphausia superba). The nutrient compositions and properties of the by-products were revealed by being compared to those of Antarctic krill muscle and the economically important species of freshwater prawns (Macrobrachium nipponense) and penaeid shrimps (Metapenaeus ensis). The by-products are worthy of utilization because of the high ratio to the total weight (65.7%). The crude protein contents in the muscle and by-products of krill are 17.4 and 11.7%, respectively. The krill proteins have higher contents of essential amino acids (EAAs). The EAAs constitute 42 and 37% of the TAAs in muscle and by-products, respectively. The krill processing by-products contain high levels of total lipid (3.3%), and polyunsaturated fatty acids constitute 34% of fatty acids with high levels of eicosapentaenoic acid (EPA; 19.08%) and docosahexaenoic acid (DHA; 10.02%). Krill meat provides considerable iron, zinc, calcium, selenium, and copper. It is imperative to lower the fluoride level (70.1 mg/kg, wet basis) in krill muscle. Sodium dodecyl sulfate-polyacrylamide gel electrophoresis (SDS-PAGE) reveals that myosin heavy chain (MHC) and actin are the major proteins in muscle, and their contents vary between species.</t>
  </si>
  <si>
    <t>[Jiang, Qixing; Li, Shujing; Xu, Yanshun; Xia, Wenshui] Jiangnan Univ, Sch Food Sci &amp; Technol, State Key Lab Food Sci &amp; Technol, Wuxi 214122, Jiangsu, Peoples R China</t>
  </si>
  <si>
    <t>Jiangnan University</t>
  </si>
  <si>
    <t>Xia, WS (corresponding author), Jiangnan Univ, Sch Food Sci &amp; Technol, State Key Lab Food Sci &amp; Technol, Wuxi 214122, Jiangsu, Peoples R China.</t>
  </si>
  <si>
    <t>xiaws@jiangnan.edu.cn</t>
  </si>
  <si>
    <t>National High Technology Research and Development Program of China [2011AA090801]</t>
  </si>
  <si>
    <t>National High Technology Research and Development Program of China(National High Technology Research and Development Program of China)</t>
  </si>
  <si>
    <t>This study was supported by the National High Technology Research and Development Program of China (2011AA090801).</t>
  </si>
  <si>
    <t>1049-8850</t>
  </si>
  <si>
    <t>1547-0636</t>
  </si>
  <si>
    <t>J AQUAT FOOD PROD T</t>
  </si>
  <si>
    <t>J. Aquat. Food Prod. Technol.</t>
  </si>
  <si>
    <t>10.1080/10498850.2013.809621</t>
  </si>
  <si>
    <t>Food Science &amp; Technology</t>
  </si>
  <si>
    <t>DP7TV</t>
  </si>
  <si>
    <t>WOS:000378703000015</t>
  </si>
  <si>
    <t>Hoffman, MJ; Fountain, AG; Liston, GE</t>
  </si>
  <si>
    <t>Hoffman, Matthew J.; Fountain, Andrew G.; Liston, Glen E.</t>
  </si>
  <si>
    <t>Distributed modeling of ablation (1996-2011) and climate sensitivity on the glaciers of Taylor Valley, Antarctica</t>
  </si>
  <si>
    <t>Antarctic glaciology; energy balance; glacier ablation phenomena; glacier mass balance; melt - surface</t>
  </si>
  <si>
    <t>MCMURDO DRY VALLEYS; SURFACE-ENERGY-BALANCE; MASS-BALANCE; DIFFUSE FRACTION; SPECTRAL ALBEDO; FOEHN WINDS; SNOW; RADIATION; PARAMETERIZATION; MELT</t>
  </si>
  <si>
    <t>The McMurdo Dry Valleys of Antarctica host the coldest and driest ecosystem on Earth, which is acutely sensitive to the availability of water coming from glacial runoff. We modeled the spatial variability in ablation and assessed climate sensitivity of the glacier ablation zones using 16 years of meteorological and surface mass-balance observations collected in Taylor Valley. Sublimation was the primary form of mass loss over much of the ablation zones, except for near the termini where melt, primarily below the surface, dominated. Microclimates in similar to 10 m scale topographic basins generated melt rates up to ten times higher than over smooth glacier surfaces. In contrast, the vertical terminal cliffs on the glaciers can have higher or lower melt rates than the horizontal surfaces due to differences in incoming solar radiation. The model systematically underpredicted ablation for the final 5 years studied, possibly due to an increase of windblown sediment. Surface mass-balance sensitivity to temperature was similar to-0.02 m w.e. K-1, which is among the smallest magnitudes observed globally. We also identified a high sensitivity to ice albedo, with a decrease of 0.02 having similar effects as a 1 K increase in temperature, and a complex sensitivity to wind speed.</t>
  </si>
  <si>
    <t>[Hoffman, Matthew J.] Los Alamos Natl Lab, Fluid Dynam Grp, Los Alamos, NM 87545 USA; [Fountain, Andrew G.] Portland State Univ, Dept Geol, Portland, OR 97207 USA; [Liston, Glen E.] Colorado State Univ, Cooperat Inst Res Atmosphere, Ft Collins, CO 80523 USA</t>
  </si>
  <si>
    <t>United States Department of Energy (DOE); Los Alamos National Laboratory; Portland State University; Colorado State University</t>
  </si>
  <si>
    <t>Hoffman, MJ (corresponding author), Los Alamos Natl Lab, Fluid Dynam Grp, Los Alamos, NM 87545 USA.</t>
  </si>
  <si>
    <t>mhoffman@lanl.gov</t>
  </si>
  <si>
    <t>Hoffman, Matthew/0000-0001-5076-0540</t>
  </si>
  <si>
    <t>US National Science Foundation (NSF) Office of Polar Programs [ANT-0423595, ANT-0233823]; Earth System Modeling program of the Office of Biological and Environmental Research within US Department of Energy's Office of Science</t>
  </si>
  <si>
    <t>US National Science Foundation (NSF) Office of Polar Programs(National Science Foundation (NSF)); Earth System Modeling program of the Office of Biological and Environmental Research within US Department of Energy's Office of Science(United States Department of Energy (DOE))</t>
  </si>
  <si>
    <t>This work was funded by US National Science Foundation (NSF) Office of Polar Programs grants ANT-0423595 and ANT-0233823 and the Earth System Modeling program of the Office of Biological and Environmental Research within the US Department of Energy's Office of Science. We thank two anonymous reviewers for constructive reviews and Scientific Editor Martyn Tranter and Chief Editor Jo Jacka for guiding the review process.</t>
  </si>
  <si>
    <t>10.1017/jog.2015.2</t>
  </si>
  <si>
    <t>DP9OG</t>
  </si>
  <si>
    <t>gold, Green Published, Green Submitted</t>
  </si>
  <si>
    <t>WOS:000378825100001</t>
  </si>
  <si>
    <t>Malmros, JK; Mernild, SH; Wilson, R; Yde, JC; Fensholt, R</t>
  </si>
  <si>
    <t>Malmros, Jeppe K.; Mernild, Sebastian H.; Wilson, Ryan; Yde, Jacob C.; Fensholt, Rasmus</t>
  </si>
  <si>
    <t>Glacier area changes in the central Chilean and Argentinean Andes 1955-2013/14</t>
  </si>
  <si>
    <t>climate change; glacier delineation; glacier fluctuations; glacier mapping; remote sensing</t>
  </si>
  <si>
    <t>RAINFALL VARIABILITY; INVENTORY; SATELLITE; FLUCTUATIONS; REGION; PATAGONIA; ICEFIELD; BALANCE; BASIN</t>
  </si>
  <si>
    <t>To improve our knowledge of glacier area changes in the central Chilean and Argentinean Andes (32 degrees 9'S-33 degrees 4'S), two new glacier inventories from 1989 to 2013/14 are compared with a reinterpreted inventory from 1955. Comparisons show glacier area retreat of 30 +/- 3% since 1955, decreasing from 134 to 94 km(2) in 2013/14, whilst the annual rate of area loss showed a small increase (insignificant) between the periods of 1955-1989 and 1989-2013/14. Separate analysis of the 1989 and 2013/14 inventories, including a larger sample, revealed a higher rate of glacier change compared with the smaller samples of these inventories. Additionally, an analysis at similar to 5 year intervals for six major glaciers (1955-2013) indicates large variability in response times and area loss magnitudes. Glacier Olivares Alfa, for example, lost 63% of its ice area, while the Juncal Norte Glacier lost only 10% (1955-2013). The findings from this study improve our current knowledge base concerning widespread glacier decline in the southern Andes, and furthers monitoring efforts in this poorly described region of the world, a region containing vital water resources for populated areas in South America.</t>
  </si>
  <si>
    <t>[Malmros, Jeppe K.; Fensholt, Rasmus] Univ Copenhagen, Dept Geosci &amp; Nat Resource Management, Copenhagen, Denmark; [Mernild, Sebastian H.; Yde, Jacob C.] Sogn Fjordane Univ Coll, Fac Engn &amp; Sci, Sogndal, Norway; [Mernild, Sebastian H.] Univ Magallanes, Direct Antarctic &amp; Subantarctic Programs, Punta Arenas, Chile; [Wilson, Ryan] Aberystwyth Univ, Dept Geog &amp; Earth Sci, Aberystwyth SY23 3FG, Dyfed, Wales</t>
  </si>
  <si>
    <t>University of Copenhagen; Western Norway University of Applied Sciences; Universidad de Magallanes; Aberystwyth University</t>
  </si>
  <si>
    <t>Malmros, JK (corresponding author), Univ Copenhagen, Dept Geosci &amp; Nat Resource Management, Copenhagen, Denmark.</t>
  </si>
  <si>
    <t>vwh636@alumni.ku.dk</t>
  </si>
  <si>
    <t>Yde, Jacob/M-8839-2017; Mernild, Sebastian H./M-5516-2013; Fensholt, Rasmus/L-7951-2014; Malmros, Jeppe/E-2638-2015</t>
  </si>
  <si>
    <t>Mernild, Sebastian H./0000-0003-0797-3975; Wilson, Ryan/0000-0001-9063-8021; Fensholt, Rasmus/0000-0003-3067-4527; Yde, Jacob Clement/0000-0002-6211-2601; Malmros, Jeppe/0000-0002-1175-3660</t>
  </si>
  <si>
    <t>National Science Foundation of Chile FONDECYT [1140172]; Centro de Estudios Cientificos (CECs); Chilean Government through Centers of Excellence Base Financing Program of CONICYT; Anglo American mining corporation; Division Of Undergraduate Education; Direct For Education and Human Resources [1140172] Funding Source: National Science Foundation</t>
  </si>
  <si>
    <t>National Science Foundation of Chile FONDECYT; Centro de Estudios Cientificos (CECs); Chilean Government through Centers of Excellence Base Financing Program of CONICYT; Anglo American mining corporation; Division Of Undergraduate Education; Direct For Education and Human Resources(National Science Foundation (NSF)NSF - Directorate for STEM Education (EDU))</t>
  </si>
  <si>
    <t>This study was funded by the National Science Foundation of Chile FONDECYT under Grant Agreement #1140172, and by Centro de Estudios Cientificos (CECs), which is funded by the Chilean Government through the Centers of Excellence Base Financing Program of CONICYT. Satellite data used are available from the U.S. Geological Survey, distributed by the Land Processes Distributed Active Archive Center (LP DAAC), http://lpdaac.usgs.gov. GeoEye-1 scenes were acquired through DigitalGlobe (www.digitalglobe.com), as part of a glacier observation project funded by the Anglo American mining corporation. Applications for the glacier data should be directed to the first author. We thank the two anonymous reviewers for valuable comments and suggestions.</t>
  </si>
  <si>
    <t>10.1017/jog.2016.43</t>
  </si>
  <si>
    <t>WOS:000378825100014</t>
  </si>
  <si>
    <t>Reeve, KA; Boebel, O; Kanzow, T; Strass, V; Rohardt, G; Fahrbach, E</t>
  </si>
  <si>
    <t>Reeve, K. A.; Boebel, O.; Kanzow, T.; Strass, V.; Rohardt, G.; Fahrbach, E.</t>
  </si>
  <si>
    <t>A gridded data set of upper-ocean hydrographic properties in the Weddell Gyre obtained by objective mapping of Argo float measurements</t>
  </si>
  <si>
    <t>EARTH SYSTEM SCIENCE DATA</t>
  </si>
  <si>
    <t>PROFILING FLOATS; WATER MASSES; BOTTOM WATER; MAUD-RISE; CIRCULATION; TRANSPORT; DEEP; CALIBRATION</t>
  </si>
  <si>
    <t>The Weddell Gyre plays a crucial role in the modification of climate by advecting heat poleward to the Antarctic ice shelves and by regulating the density of water masses that feed the lowest limb of the global ocean overturning circulation. However, our understanding of Weddell Gyre water mass properties is limited to regions of data availability, primarily along the Prime Meridian. The aim of this paper is to provide a data set of the upper water column properties of the entire Weddell Gyre. Objective mapping was applied to Argo float data in order to produce spatially gridded, time-composite maps of temperature and salinity for fixed pressure levels ranging from 50 to 2000 dbar, as well as temperature, salinity and pressure at the level of the sub-surface temperature maximum. While the data are currently too limited to incorporate time into the gridded structure, the data are extensive enough to produce maps of the entire region across three time-composite periods (2001-2005, 2006-2009 and 2010-2013), which can be used to determine how representative conclusions drawn from data collected along general RV transect lines are on a gyre scale perspective. The work presented here represents the technical prerequisite for addressing climatological research questions in forthcoming studies.</t>
  </si>
  <si>
    <t>[Reeve, K. A.; Boebel, O.; Kanzow, T.; Strass, V.; Rohardt, G.; Fahrbach, E.] Alfred Wegener Inst Helmholtz Zentrum Polar &amp; Mee, Bremerhaven, Germany</t>
  </si>
  <si>
    <t>Reeve, KA (corresponding author), Alfred Wegener Inst Helmholtz Zentrum Polar &amp; Mee, Bremerhaven, Germany.</t>
  </si>
  <si>
    <t>kreeve@awi.de</t>
  </si>
  <si>
    <t>Strass, Volker/0000-0002-7539-1400; Kanzow, Torsten/0000-0002-5786-3435; Reeve, Krissy Anne/0000-0001-5615-8040</t>
  </si>
  <si>
    <t>1866-3508</t>
  </si>
  <si>
    <t>1866-3516</t>
  </si>
  <si>
    <t>EARTH SYST SCI DATA</t>
  </si>
  <si>
    <t>Earth Syst. Sci. Data</t>
  </si>
  <si>
    <t>10.5194/essd-8-15-2016</t>
  </si>
  <si>
    <t>Geosciences, Multidisciplinary; Meteorology &amp; Atmospheric Sciences</t>
  </si>
  <si>
    <t>Geology; Meteorology &amp; Atmospheric Sciences</t>
  </si>
  <si>
    <t>DP0VB</t>
  </si>
  <si>
    <t>WOS:000378206900002</t>
  </si>
  <si>
    <t>Freeman, NM; Lovenduski, NS</t>
  </si>
  <si>
    <t>Freeman, Natalie M.; Lovenduski, Nicole S.</t>
  </si>
  <si>
    <t>Mapping the Antarctic Polar Front: weekly realizations from 2002 to 2014</t>
  </si>
  <si>
    <t>SEA-SURFACE TEMPERATURE; SOUTHERN-OCEAN FRONTS; CIRCUMPOLAR CURRENT; DRAKE PASSAGE; VARIABILITY; LOCATION; NUTRIENTS; TRANSPORT; AUSTRALIA; ZONATION</t>
  </si>
  <si>
    <t>We map the weekly position of the Antarctic Polar Front (PF) in the Southern Ocean over a 12-year period (2002-2014) using satellite sea surface temperature (SST) estimated from cloud-penetrating microwave radiometers. Our study advances previous efforts to map the PF using hydrographic and satellite data and provides a unique realization of the PF at weekly resolution across all longitudes (doi:10.1594/PANGAEA.855640). The mean path of the PF is asymmetric; its latitudinal position spans from 44 to 64 degrees S along its circumpolar path. SST at the PF ranges from 0.6 to 6.9 degrees C, reflecting the large spread in latitudinal position. The average intensity of the front is 1.7 degrees C per 100 km, with intensity ranging from 1.4 to 2.3 degrees C per 100 km. Front intensity is significantly correlated with the depth of bottom topography, suggesting that the front intensifies over shallow bathymetry. Realizations of the PF are consistent with the corresponding surface expressions of the PF estimated using expendable bathythermograph data in the Drake Passage and Australian and African sectors. The climatological mean position of the PF is similar, though not identical, to previously published estimates. As the PF is a key indicator of physical circulation, surface nutrient concentration, and biogeography in the Southern Ocean, future studies of physical and biogeochemical oceanography in this region will benefit from the provided data set.</t>
  </si>
  <si>
    <t>[Freeman, Natalie M.] Univ Colorado, Dept Atmospher &amp; Ocean Sci, Boulder, CO 80309 USA; Univ Colorado, Inst Arctic &amp; Alpine Res, Boulder, CO 80309 USA</t>
  </si>
  <si>
    <t>Freeman, NM (corresponding author), Univ Colorado, Dept Atmospher &amp; Ocean Sci, Boulder, CO 80309 USA.</t>
  </si>
  <si>
    <t>natalie.freeman@colorado.edu</t>
  </si>
  <si>
    <t>Lovenduski, Nicole/V-4014-2019; Freeman, Natalie/F-8672-2015</t>
  </si>
  <si>
    <t>Lovenduski, Nicole/0000-0001-5893-1009; Freeman, Natalie/0000-0002-4718-5650</t>
  </si>
  <si>
    <t>NSF [DGE-1144083, OCE-1155240, OCE-1258995]; NOAA [NA12OAR4310058]; Division Of Ocean Sciences; Directorate For Geosciences [1155240] Funding Source: National Science Foundation; Office of Polar Programs (OPP); Directorate For Geosciences [1341431] Funding Source: National Science Foundation</t>
  </si>
  <si>
    <t>NSF(National Science Foundation (NSF)); NOAA(National Oceanic Atmospheric Admin (NOAA) - USA); Division Of Ocean Sciences; Directorate For Geosciences(National Science Foundation (NSF)NSF - Directorate for Geosciences (GEO)); Office of Polar Programs (OPP); Directorate For Geosciences(National Science Foundation (NSF)NSF - Directorate for Geosciences (GEO))</t>
  </si>
  <si>
    <t>We thank S. Dong for providing her mean PF path. We are grateful for support from NSF (DGE-1144083; OCE-1155240; OCE-1258995) and NOAA (NA12OAR4310058).</t>
  </si>
  <si>
    <t>10.5194/essd-8-191-2016</t>
  </si>
  <si>
    <t>WOS:000378206900015</t>
  </si>
  <si>
    <t>Driemel, A; Loose, B; Grobe, H; Sieger, R; König-Langlo, G</t>
  </si>
  <si>
    <t>Driemel, Amelie; Loose, Bernd; Grobe, Hannes; Sieger, Rainer; Koenig-Langlo, Gert</t>
  </si>
  <si>
    <t>30 years of upper air soundings on board of R/V POLARSTERN</t>
  </si>
  <si>
    <t>RADIATION DRY BIAS; RADIOSONDE</t>
  </si>
  <si>
    <t>The research vessel and supply icebreaker POLARSTERN is the flagship of the Alfred-Wegener-Institut in Bremerhaven (Germany) and one of the infrastructural pillars of German Antarctic research. Since its commissioning in 1982, POLARSTERN has conducted 30 campaigns to Antarctica (157 legs, mostly austral summer), and 29 to the Arctic (94 legs, northern summer). Usually, POLARSTERN is more than 300 days per year in operation and crosses the Atlantic Ocean in a meridional section twice a year. The first radiosonde on POLARSTERN was released on the 29 December 1982, 2 days after POLARSTERN started on its maiden voyage to the Antarctic. And these daily soundings have continued up to the present. Due to the fact that POLARSTERN has reliably and regularly been providing upper air observations from data sparse regions (oceans and polar regions), the radiosonde data are of special value for researchers and weather forecast services alike. In the course of 30 years (29 December 1982 to 25 November 2012) a total of 12 378 radiosonde balloons were started on POLARSTERN. All radiosonde data can now be found at Konig-Langlo (2015, doi:10.1594/PANGAEA.810000). Each data set contains the directly measured parameters air temperature, relative humidity and air pressure, and the derived altitude, wind direction and wind speed. 432 data sets additionally contain ozone measurements. Although more sophisticated techniques (meteorological satellites, aircraft observation, remote-sensing systems, etc.) have nowadays become increasingly important, the high vertical resolution and quality of radiosonde data remains paramount for weather forecasts and modelling approaches.</t>
  </si>
  <si>
    <t>[Driemel, Amelie; Loose, Bernd; Grobe, Hannes; Sieger, Rainer; Koenig-Langlo, Gert] Helmholtz Zentrum Polar &amp; Meeresforsch, Alfred Wegener Inst, Bremerhaven, Germany</t>
  </si>
  <si>
    <t>König-Langlo, G (corresponding author), Helmholtz Zentrum Polar &amp; Meeresforsch, Alfred Wegener Inst, Bremerhaven, Germany.</t>
  </si>
  <si>
    <t>gert.koenig-langlo@awi.de</t>
  </si>
  <si>
    <t>Sieger, Rainer/0000-0002-9175-884X; Driemel, Amelie/0000-0001-8667-5217</t>
  </si>
  <si>
    <t>10.5194/essd-8-213-2016</t>
  </si>
  <si>
    <t>WOS:000378206900017</t>
  </si>
  <si>
    <t>Treverrow, A; Jun, L; Jacka, TH</t>
  </si>
  <si>
    <t>Treverrow, Adam; Jun, Li; Jacka, Tim H.</t>
  </si>
  <si>
    <t>Ice crystal c-axis orientation and mean grain size measurements from the Dome Summit South ice core, Law Dome, East Antarctica</t>
  </si>
  <si>
    <t>TERTIARY CREEP; FLOW; FABRICS; SHEET; MICROSTRUCTURE; ACCUMULATION; RECORD; MODEL; ANISOTROPY; GREENLAND</t>
  </si>
  <si>
    <t>We present measurements of crystal c-axis orientations and mean grain area from the Dome Summit South (DSS) ice core drilled on Law Dome, East Antarctica. All measurements were made on location at the borehole site during drilling operations. The data are from 185 individual thin sections obtained between a depth of 117m below the surface and the bottom of the DSS core at a depth of 1196 m. The median number of c-axis orientations recorded in each thin section was 100, with values ranging from 5 through to 111 orientations. The data from all 185 thin sections are provided in a single comma-separated value (csv) formatted file which contains the c-axis orientations in polar coordinates, depth information for each core section from which the data were obtained, the mean grain area calculated for each thin section and other data related to the drilling site. The data set is also available as a MATLAB (TM) structure array. Additionally, the c-axis orientation data from each of the 185 thin sections are summarized graphically in figures containing a Schmidt diagram, histogram of c-axis colatitudes and rose plot of c-axis azimuths. All these data are referenced by doi:10.4225/15/5669050CC1B3B and are available free of charge at https://data.antarctica.gov.au.</t>
  </si>
  <si>
    <t>[Treverrow, Adam; Jacka, Tim H.] Univ Tasmania, Antarctic Climate &amp; Ecosyst Cooperat Res Ctr, Hobart, Tas 7004, Australia; [Jun, Li] NASA, Goddard Space Flight Ctr, SGT Inc, Greenbelt, MD USA</t>
  </si>
  <si>
    <t>University of Tasmania; Antarctic Climate &amp; Ecosystems Cooperative Research Centre (ACE CRC); Stinger Ghaffarian Technologies, Inc. (SGT); National Aeronautics &amp; Space Administration (NASA); NASA Goddard Space Flight Center</t>
  </si>
  <si>
    <t>Treverrow, A (corresponding author), Univ Tasmania, Antarctic Climate &amp; Ecosyst Cooperat Res Ctr, Hobart, Tas 7004, Australia.</t>
  </si>
  <si>
    <t>adam.treverrow@utas.edu.au</t>
  </si>
  <si>
    <t>Treverrow, Adam/J-7450-2014</t>
  </si>
  <si>
    <t>Treverrow, Adam/0000-0003-4666-0488</t>
  </si>
  <si>
    <t>Australian Antarctic Division [ASAC 15, AAS 757, AAS 4289]; Australian Government Cooperative Research Centres Programme through the Antarctic Climate and Ecosystems Cooperative Research Centre (ACE CRC)</t>
  </si>
  <si>
    <t>Australian Antarctic Division; Australian Government Cooperative Research Centres Programme through the Antarctic Climate and Ecosystems Cooperative Research Centre (ACE CRC)(Australian GovernmentDepartment of Industry, Innovation and ScienceCooperative Research Centres (CRC) Programme)</t>
  </si>
  <si>
    <t>The Australian Antarctic Division provided funding and logistical support for drilling the DSS ice core and subsequent data analysis through projects ASAC 15, AAS 757 and AAS 4289. The authors gratefully acknowledge the contribution of all participants in the Australian National Antarctic Research Expeditions associated with retrieval of the DSS ice core. Preparation of the data for archiving was supported by the Australian Government Cooperative Research Centres Programme through the Antarctic Climate and Ecosystems Cooperative Research Centre (ACE CRC). Discussions with J. L. Roberts assisted with data management and manuscript preparation. B. Raymond assisted with data control and hosting. We are thankful for comments from Maurine Montagnat and an anonymous reviewer, who assisted in improving the manuscript. Adam Treverrow thanks R. C. Warner for stressing the importance of making these data widely available to the glaciological community.</t>
  </si>
  <si>
    <t>10.5194/essd-8-253-2016</t>
  </si>
  <si>
    <t>gold, Green Submitted, Green Accepted</t>
  </si>
  <si>
    <t>WOS:000378206900020</t>
  </si>
  <si>
    <t>Ullgren, JE; Darelius, E; Fer, I</t>
  </si>
  <si>
    <t>Ullgren, Jenny E.; Darelius, Elin; Fer, Ilker</t>
  </si>
  <si>
    <t>Volume transport and mixing of the Faroe Bank Channel overflow from one year of moored measurements</t>
  </si>
  <si>
    <t>ANTARCTIC BOTTOM WATER; NORTH-ATLANTIC OCEAN; DEEP-WATER; NORDIC SEAS; DENMARK STRAIT; ICELAND BASIN; CIRCULATION; MODULATION; OUTFLOW; RATES</t>
  </si>
  <si>
    <t>One-year long time series of current velocity and temperature from eight moorings deployed in the Faroe Bank Channel (FBC) are analysed to describe the structure and variability of the dense overflow plume on daily to seasonal timescales. Mooring arrays were deployed in two sections: located 25 km downstream of the main sill, in the channel that geographically confines the overflow plume at both edges (section C), and 60 km further downstream, over the slope (section S). At section C, the average volume transport of overflow waters (&lt; 3 degrees C) from the Nordic Seas towards the Iceland Basin was 1.3 +/- 0.3 Sv; at section S, transport of modified overflow water (&lt; 6 degrees C) was 1.7 +/- 0.7 Sv. The volume transport through the slope section was dominated by mesoscale variability at 3-5-day timescales. A simplified view of along-path entrainment of a gravity current may not be accurate for the FBC overflow. As the plume proceeds into the stratified ambient water, there is substantial detrainment from the deeper layer (bounded by the 3 degrees C isotherm), of comparable magnitude to the entrainment into the interfacial layer (between the 3 and 6 degrees C isotherms). A time series of gradient Richardson numbers suggests a quiescent plume core capped by turbulent near bottom and interfacial layers in the channel. At section S, in contrast, the entire overflow plume is turbulent. Based on a two-layer heat budget constructed for the overflow, time mean vertical diffusivities across the top of the bottom layer and across the interfacial layer were (30 +/- 15) x 10(-4) and (120 +/- 43) x 10(-4) m(2) s(-1), respectively.</t>
  </si>
  <si>
    <t>[Ullgren, Jenny E.] Nansen Environm &amp; Remote Sensing Ctr, Bergen, Norway; [Darelius, Elin; Fer, Ilker] Univ Bergen, Inst Geophys, Bergen, Norway; [Darelius, Elin; Fer, Ilker] Bjerknes Ctr Climate Res, Bergen, Norway</t>
  </si>
  <si>
    <t>Nansen Environmental &amp; Remote Sensing Center (NERSC); University of Bergen; Bjerknes Centre for Climate Research</t>
  </si>
  <si>
    <t>Fer, I (corresponding author), Univ Bergen, Inst Geophys, Bergen, Norway.;Fer, I (corresponding author), Bjerknes Ctr Climate Res, Bergen, Norway.</t>
  </si>
  <si>
    <t>ilker.fer@uib.no</t>
  </si>
  <si>
    <t>Fer, Ilker/C-7820-2012; Darelius, Elin/O-4096-2015</t>
  </si>
  <si>
    <t>Fer, Ilker/0000-0002-2427-2532; Ullgren, Jenny/0000-0002-1125-3033</t>
  </si>
  <si>
    <t>Research Council of Norway [204867/V30]</t>
  </si>
  <si>
    <t>Research Council of Norway(Research Council of Norway)</t>
  </si>
  <si>
    <t>We thank the technicians involved in mooring preparation and deployment, H. Bryhni and S. Myking, and the crew of the RV Hakon Mosby. Thanks also to M. Hecht and two anonymous reviewers whose comments helped improve the manuscript. This work was funded by the Research Council of Norway through the FRINAT programme, under project no. 204867/V30: Faroe Bank Channel Overflow: Dynamics and Mixing.</t>
  </si>
  <si>
    <t>10.5194/os-12-451-2016</t>
  </si>
  <si>
    <t>DP0JO</t>
  </si>
  <si>
    <t>WOS:000378176300009</t>
  </si>
  <si>
    <t>McPhee, MG; Stevens, CL; Smith, IJ; Robinson, NJ</t>
  </si>
  <si>
    <t>McPhee, Miles G.; Stevens, Craig L.; Smith, Inga J.; Robinson, Natalie J.</t>
  </si>
  <si>
    <t>Turbulent heat transfer as a control of platelet ice growth in supercooled under-ice ocean boundary layers</t>
  </si>
  <si>
    <t>ANTARCTIC SEA-ICE; SHELF WATER PLUME; MCMURDO SOUND; GLACIER TONGUE; WEDDELL SEA; BENEATH; EVOLUTION; WINTER</t>
  </si>
  <si>
    <t>Late winter measurements of turbulent quantities in tidally modulated flow under land-fast sea ice near the Erebus Glacier Tongue, McMurdo Sound, Antarctica, identified processes that influence growth at the interface of an ice surface in contact with supercooled seawater. The data show that turbulent heat exchange at the ocean-ice boundary is characterized by the product of friction velocity and (negative) water temperature departure from freezing, analogous to similar results for moderate melting rates in seawater above freezing. Platelet ice growth appears to increase the hydraulic roughness (drag) of fast ice compared with undeformed fast ice without platelets. Platelet growth in supercooled water under thick ice appears to be rate-limited by turbulent heat transfer and that this is a significant factor to be considered in mass transfer at the underside of ice shelves and sea ice in the vicinity of ice shelves.</t>
  </si>
  <si>
    <t>[McPhee, Miles G.] McPhee Res Co, Naches, WA USA; [Stevens, Craig L.; Robinson, Natalie J.] Natl Inst Water &amp; Atmospher Res NIWA, Wellington, New Zealand; [Stevens, Craig L.] Univ Auckland, Dept Phys, Auckland, New Zealand; [Smith, Inga J.] Univ Otago, Dept Phys, Dunedin, New Zealand</t>
  </si>
  <si>
    <t>National Institute of Water &amp; Atmospheric Research (NIWA) - New Zealand; University of Auckland; University of Otago</t>
  </si>
  <si>
    <t>Stevens, CL (corresponding author), Natl Inst Water &amp; Atmospher Res NIWA, Wellington, New Zealand.;Stevens, CL (corresponding author), Univ Auckland, Dept Phys, Auckland, New Zealand.</t>
  </si>
  <si>
    <t>c.stevens@niwa.co.nz</t>
  </si>
  <si>
    <t>Robinson, Natalie J/I-4460-2015</t>
  </si>
  <si>
    <t>New Zealand Royal Society; USA NSF [ANT-0732804]; University of Otago [111030]</t>
  </si>
  <si>
    <t>New Zealand Royal Society(Royal Society of New Zealand); USA NSF(National Science Foundation (NSF)); University of Otago</t>
  </si>
  <si>
    <t>The authors wish to thank Pat Langhorne for discussion and support. Tim Haskell, Brett Grant, Tim Stanton, Jim Stockel, Alex Forrest, Martin Doble and the staff of Scott Base are thanked for their support in the field. Metadata are lodged with Antarctica New Zealand. Two anonymous reviewers provided helpful comments. The work was funded by The New Zealand Royal Society-administered Marsden Fund, and USA NSF support to McPhee (ANT-0732804). I. J. Smith's involvement was supported through University of Otago Research Grant 111030. Logistic support was provided by Antarctica New Zealand and the USAP.</t>
  </si>
  <si>
    <t>1812-0792</t>
  </si>
  <si>
    <t>10.5194/os-12-507-2016</t>
  </si>
  <si>
    <t>WOS:000378176300013</t>
  </si>
  <si>
    <t>Mihalikova, M; Sato, K; Tsutsumi, M; Sato, T</t>
  </si>
  <si>
    <t>Mihalikova, Maria; Sato, Kaoru; Tsutsumi, Masaki; Sato, Toru</t>
  </si>
  <si>
    <t>Properties of inertia-gravity waves in the lowermost stratosphere as observed by the PANSY radar over Syowa Station in the Antarctic</t>
  </si>
  <si>
    <t>ANNALES GEOPHYSICAE</t>
  </si>
  <si>
    <t>Meteorology and atmospheric dynamics (middle atmosphere dynamics; waves and tides)</t>
  </si>
  <si>
    <t>CLIMATE MODELS; MOMENTUM FLUXES; POLAR VORTEX; ATMOSPHERE</t>
  </si>
  <si>
    <t>Inertia-gravity waves (IGWs) are an important component for the dynamics of the middle atmosphere. However, observational studies needed to constrain their forcing are still insufficient especially in the remote areas of the Antarctic region. One year of observational data (January to December 2013) by the PANSY radar of the wind components (vertical resolution of 150m and temporal resolution of 30 min) are used to derive statistical analysis of the properties of IGWs with short vertical wavelengths (&lt;= 4 km) and ground-based periods longer than 4 h in the lowermost stratosphere (height range 10 to 12 km) with the help of the hodograph method. The annual change of the IGWs parameters are inspected but no pronounced year cycle is found. The year is divided into two seasons (summer and winter) based on the most prominent difference in the ratio of Coriolis parameter (f) to intrinsic frequency ((omega) over cap) distribution. Average of f/(omega) over cap for the winter season is 0.40 and for the summer season 0.45 and the average horizontal wavelengths are 140 and 160 km respectively. Vertical wavelengths have an average of 1.85 km through the year. For both seasons the properties of IGWs with upward and downward propagation of the energy are also derived and compared. The percentage of downward propagating waves is 10.7 and 18.4% in the summer and winter season respectively. This seasonal change is more than the one previously reported in the studies from mid-latitudes and model-based studies. It is in agreement with the findings of past radiosonde data-based studies from the Antarctic region. In addition, using the so-called dualbeam technique, vertical momentum flux and the variance of the horizontal perturbation velocities of IGWs are examined. Tropospheric disturbances of synoptic-scale are suggested as a source of episodes of IGWs with large variance of horizontal perturbation velocities, and this is shown in a number of cases.</t>
  </si>
  <si>
    <t>[Mihalikova, Maria; Sato, Kaoru] Univ Tokyo, Dept Earth &amp; Planetary Sci, Tokyo, Japan; [Tsutsumi, Masaki] Natl Inst Polar Res, Tachikawa, Tokyo, Japan; [Sato, Toru] Kyoto Univ, Dept Commun &amp; Comp Engn, Kyoto, Japan</t>
  </si>
  <si>
    <t>University of Tokyo; Research Organization of Information &amp; Systems (ROIS); National Institute of Polar Research (NIPR) - Japan; Kyoto University</t>
  </si>
  <si>
    <t>Mihalikova, M (corresponding author), Univ Tokyo, Dept Earth &amp; Planetary Sci, Tokyo, Japan.</t>
  </si>
  <si>
    <t>maja.mihi@gmail.com</t>
  </si>
  <si>
    <t>Sato, Toru/F-3818-2012; Sato, Kaoru/E-1693-2012</t>
  </si>
  <si>
    <t>Sato, Kaoru/0000-0002-6225-6066</t>
  </si>
  <si>
    <t>JSPS [25-03734, 25247075]; Grants-in-Aid for Scientific Research [25247075, 25610145, 16K13888]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</si>
  <si>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</si>
  <si>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PANSY is a multi-institutional project with a core of the University of Tokyo and National Institute of Polar Research. This work was supported by JSPS KAKENHI Grant Numbers 25-03734, 25247075. ERA-Interim data provided courtesy of ECMWF and sonde data provided courtesy of JMA.</t>
  </si>
  <si>
    <t>0992-7689</t>
  </si>
  <si>
    <t>1432-0576</t>
  </si>
  <si>
    <t>ANN GEOPHYS-GERMANY</t>
  </si>
  <si>
    <t>Ann. Geophys.</t>
  </si>
  <si>
    <t>10.5194/angeo-34-543-2016</t>
  </si>
  <si>
    <t>Astronomy &amp; Astrophysics; Geosciences, Multidisciplinary; Meteorology &amp; Atmospheric Sciences</t>
  </si>
  <si>
    <t>Astronomy &amp; Astrophysics; Geology; Meteorology &amp; Atmospheric Sciences</t>
  </si>
  <si>
    <t>DO3JP</t>
  </si>
  <si>
    <t>WOS:000377678200004</t>
  </si>
  <si>
    <t>van de Berg, WJ; Medley, B</t>
  </si>
  <si>
    <t>van de Berg, Willem Jan; Medley, Brooke</t>
  </si>
  <si>
    <t>Brief Communication: Upper-air relaxation in RACMO2 significantly improves modelled interannual surface mass balance variability in Antarctica</t>
  </si>
  <si>
    <t>ATMOSPHERIC CLIMATE MODEL; SNOW ACCUMULATION; WEST ANTARCTICA</t>
  </si>
  <si>
    <t>The Regional Atmospheric Climate Model (RACMO2) has been a powerful tool for improving surface mass balance (SMB) estimates from GCMs or reanalyses. However, new yearly SMB observations for West Antarctica show that the modelled interannual variability in SMB is poorly simulated by RACMO2, in contrast to ERA-Interim, which resolves this variability well. In an attempt to remedy RACMO2 performance, we included additional upper-air relaxation (UAR) in RACMO2. With UAR, the correlation to observations is similar for RACMO2 and ERA-Interim. The spatial SMB patterns and ice-sheet-integrated SMB modelled using UAR remain very similar to the estimates of RACMO2 without UAR. We only observe an upstream smoothing of precipitation in regions with very steep topography like the Antarctic Peninsula. We conclude that UAR is a useful improvement for regional climate model simulations, although results in regions with steep topography should be treated with care.</t>
  </si>
  <si>
    <t>[van de Berg, Willem Jan] Univ Utrecht, IMAU, Utrecht, Netherlands; [Medley, Brooke] NASA GSFC, Greenbelt, MD USA</t>
  </si>
  <si>
    <t>Utrecht University; National Aeronautics &amp; Space Administration (NASA); NASA Goddard Space Flight Center</t>
  </si>
  <si>
    <t>van de Berg, WJ (corresponding author), Univ Utrecht, IMAU, Utrecht, Netherlands.</t>
  </si>
  <si>
    <t>w.j.vandeberg@uu.nl</t>
  </si>
  <si>
    <t>van de Berg, Willem Jan/H-4385-2011</t>
  </si>
  <si>
    <t>van de Berg, Willem Jan/0000-0002-8232-2040</t>
  </si>
  <si>
    <t>Science Earth Science System NASA Funding Source: Medline</t>
  </si>
  <si>
    <t>Science Earth Science System NASA</t>
  </si>
  <si>
    <t>10.5194/tc-10-459-2016</t>
  </si>
  <si>
    <t>DO2IF</t>
  </si>
  <si>
    <t>Green Submitted, gold, Green Accepted</t>
  </si>
  <si>
    <t>WOS:000377602600030</t>
  </si>
  <si>
    <t>Dugan, HA; Arcone, SA; Obryk, MK; Doran, PT</t>
  </si>
  <si>
    <t>Dugan, Hilary A.; Arcone, Steven A.; Obryk, Maciej K.; Doran, Peter T.</t>
  </si>
  <si>
    <t>High-resolution ground-penetrating radar profiles of perennial lake ice in the McMurdo Dry Valleys, Antarctica: Horizon attributes, unconformities, and subbottom penetration</t>
  </si>
  <si>
    <t>GEOPHYSICS</t>
  </si>
  <si>
    <t>INTERNAL LAYERS; HOARE; THICKNESS; GPR; SEDIMENTATION; BACKSCATTER; REFLECTION; RATES; LIFE</t>
  </si>
  <si>
    <t>Ground-penetrating radar (GPR) is not commonly used to study lake ice, and in general, the ground-based use of radar frequencies greater than 500 MHz in cryosphere geophysics is rare, due to a general interest in deeper stratigraphy and the difficulty of extensive profiling over rough snow surfaces. Our goal was to find further information on the origin of the deposition and formation of intra-ice layers, bottom topography, and subbottom deposits using GPR with pulses centered near 850 MHz on two permanently ice-covered lakes in the McMurdo Dry Valleys, Antarctica. The profiles were obtained using a one-person sled operation over Lake Bonney, which is typical of lakes in the region, having an ice thickness that ranges between 3 and 5 m, and Lake Vida, where the maximum ice depth is at least 27 m. Lake Bonney exhibits a semicontinuous sediment horizon at approximately a 2-m depth and several minor horizons. In contrast, Lake Vida contains unconformably eroded and folded continuous reflection horizons, packages of minor horizons between major horizons, evidence of incised fluvial deposition along the bottom, and subbottom penetration of at least 4.5 m in some areas. Where the ice thickness is less than 20 m, the lake is frozen to the bottom. Most horizon waveform phase attributes indicate relatively lower permittivity than in the surrounding matrix. Consequently, we interpreted these strata to be caused by layers of pure ice embedded within a salty and dirty ice matrix, which were formed during minor flooding. These findings supported previous conclusions that Lake Vida ice formed from surface runoff in combination with periods of ablation.</t>
  </si>
  <si>
    <t>[Dugan, Hilary A.] Univ Wisconsin, Ctr Limnol, Madison, WI 53706 USA; [Dugan, Hilary A.] Cary Inst Ecosyst Studies, Millbrook, NY 12545 USA; [Arcone, Steven A.] US Army Engineer Res &amp; Dev Ctr, Cold Reg Res &amp; Engn Lab, Hanover, NH USA; [Obryk, Maciej K.] Portland State Univ, Dept Geol, Portland, OR 97207 USA; [Doran, Peter T.] Louisiana State Univ, Dept Geol &amp; Geophys, Baton Rouge, LA 70803 USA</t>
  </si>
  <si>
    <t>University of Wisconsin System; University of Wisconsin Madison; Cary Institute of Ecosystem Studies; United States Department of Defense; United States Army; U.S. Army Corps of Engineers; U.S. Army Engineer Research &amp; Development Center (ERDC); Cold Regions Research &amp; Engineering Laboratory (CRREL); Portland State University; Louisiana State University System; Louisiana State University</t>
  </si>
  <si>
    <t>Dugan, HA (corresponding author), Univ Wisconsin, Ctr Limnol, Madison, WI 53706 USA.;Dugan, HA (corresponding author), Cary Inst Ecosyst Studies, Millbrook, NY 12545 USA.</t>
  </si>
  <si>
    <t>hilarydugan@gmail.com; steven.a.arcone@erdc.dren.mil; mobryk@pdx.edu; pdoran@lsu.edu</t>
  </si>
  <si>
    <t>Dugan, Hilary/0000-0003-4674-1149; Obryk, Maciej/0000-0002-8182-8656</t>
  </si>
  <si>
    <t>United States National Science Foundation Office of Polar Programs [1115245]; Office of Polar Programs (OPP); Directorate For Geosciences [1115245] Funding Source: National Science Foundation</t>
  </si>
  <si>
    <t>United States National Science Foundation Office of Polar Programs(National Science Foundation (NSF)); Office of Polar Programs (OPP); Directorate For Geosciences(National Science Foundation (NSF)NSF - Directorate for Geosciences (GEO))</t>
  </si>
  <si>
    <t>We would like to thank PHI helicopters for their dedicated and safe work. This research was funded by the United States National Science Foundation Office of Polar Programs (grant no. 1115245). Raytheon Polar Services Company (RPSC) Field Safety and Training Program under the United States Antarctic Program provided an equipment loan.</t>
  </si>
  <si>
    <t>SOC EXPLORATION GEOPHYSICISTS</t>
  </si>
  <si>
    <t>TULSA</t>
  </si>
  <si>
    <t>8801 S YALE ST, TULSA, OK 74137 USA</t>
  </si>
  <si>
    <t>0016-8033</t>
  </si>
  <si>
    <t>1942-2156</t>
  </si>
  <si>
    <t>Geophysics</t>
  </si>
  <si>
    <t>JAN-FEB</t>
  </si>
  <si>
    <t>WA13</t>
  </si>
  <si>
    <t>WA20</t>
  </si>
  <si>
    <t>10.1190/GEO2015-0159.1</t>
  </si>
  <si>
    <t>Geochemistry &amp; Geophysics</t>
  </si>
  <si>
    <t>DO6GA</t>
  </si>
  <si>
    <t>WOS:000377880100039</t>
  </si>
  <si>
    <t>Baek, YS; Min, GS; Kim, S; Choi, HG</t>
  </si>
  <si>
    <t>Baek, Ye-Seul; Min, Gi-Sik; Kim, Sanghee; Choi, Han-Gu</t>
  </si>
  <si>
    <t>Complete mitochondrial genome of the Antarctic barnacle Lepas australis (Crustacea, Maxillopoda, Cirripedia)</t>
  </si>
  <si>
    <t>Antarctic barnacle; Cirripedia; complete mitochondrial genome; Lepas australis</t>
  </si>
  <si>
    <t>We present the complete mitochondrial genome of the Antarctic barnacle Lepas australis (Cirripedia, Thoracica, Lepadidae). The genome sequence is 15,502 bp in size. Except for CO1, 12 protein-coding genes (PCGs) start with an ATN initiation codon (ATA, ATG, ATC and ATT). Twelve PCGs were terminated with TAA or TAG stop codon, whereas ND1 possessed an incomplete termination codon (T--). We compared the mitogenome structure of L. australis to those of other cirripeds and a typical arthropod Homarus americanus. The PCGs in the L. australis mtgenome showed a typical gene arrangement, identical to the arthropod pattern in other cirriped genomes. However, at least 8 tRNA genes were translocated and 2 tRNA genes were inverted in the coding polarity. Unique differences in L. australis mtgenome included translocation of trnS2, trnD and trnI. These results are useful for understanding the phylogenetic relationships among cirripedians, and additional mtgenome information of barnacles including the polar species would allow exploration of the thoracican relationships and mtgenome modifications in the barnacle evolution.</t>
  </si>
  <si>
    <t>[Baek, Ye-Seul; Kim, Sanghee; Choi, Han-Gu] KIOST, Korea Polar Res, Div Life Sci, 26 Songdomirae Ro, Inchon 406840, South Korea; [Min, Gi-Sik] Inha Univ, Dept Biol Sci, Inchon, South Korea</t>
  </si>
  <si>
    <t>Korea Institute of Ocean Science &amp; Technology (KIOST); Inha University</t>
  </si>
  <si>
    <t>Kim, S; Choi, HG (corresponding author), KIOST, Korea Polar Res, Div Life Sci, 26 Songdomirae Ro, Inchon 406840, South Korea.</t>
  </si>
  <si>
    <t>sangheekim@kopri.re.kr; hchoi82@kopri.re.kr</t>
  </si>
  <si>
    <t>Basic Research Program of the Korea Polar Research Institute [PE14020]</t>
  </si>
  <si>
    <t>Basic Research Program of the Korea Polar Research Institute(Korea Polar Research Institute of Marine Research Placement (KOPRI))</t>
  </si>
  <si>
    <t>This work was supported by the Basic Research Program of the Korea Polar Research Institute (PE14020).</t>
  </si>
  <si>
    <t>10.3109/19401736.2014.958724</t>
  </si>
  <si>
    <t>DO1KX</t>
  </si>
  <si>
    <t>WOS:000377538000049</t>
  </si>
  <si>
    <t>Han, YD; Baek, YS; Kim, JH; Choi, HG; Kim, S</t>
  </si>
  <si>
    <t>Han, Yeong-Deok; Baek, Ye-Seul; Kim, Jeong-Hoon; Choi, Han-Gu; Kim, Sanghee</t>
  </si>
  <si>
    <t>Complete mitochondrial genome of the South Polar Skua Stercorarius maccormicki (Charadriiformes, Stercorariidae) in Antarctica</t>
  </si>
  <si>
    <t>Antarctica; complete mitochondrial genome; simple sequence repeat; South Polar Skua; Stercorarius maccormicki</t>
  </si>
  <si>
    <t>CONTROL REGION</t>
  </si>
  <si>
    <t>The South Polar Skua, gull-like seabirds is the most fascinating Antarctic seabirds that lay two eggs at sites free of snow and ice and predominantly hunt pelagic fish and penguins. Blood samples of the South Polar Skua Stercorarius maccormicki was collected during the summer activity near King Sejong station in Antarctica. The complete mitochondrial DNA sequence of S. maccormicki was 16,669 bp, showing conserved genome structure and orientation found in other avian species. The control region of S. maccormicki was 93- and 80 bp shorter compared to those of Chroicocephalus saundersi and Synthliboramphus antiquus respectively. Interestingly, there is a (CAACAAACAA)(6) repeat sequence in the control region. Our results of S. maccormicki mt genome including the repeat sequence, may provide useful genetic information for phylogenetic and phylogeographic histories of the southern skua complex.</t>
  </si>
  <si>
    <t>[Han, Yeong-Deok] Kongju Natl Univ, Dept Biol Sci, Gongju Si, Chungcheongnam, South Korea; [Baek, Ye-Seul; Kim, Jeong-Hoon; Choi, Han-Gu; Kim, Sanghee] KIOST, Korea Polar Res Inst, Div Life Sci, 26 Songdomirae Ro, Inchon 406840, South Korea</t>
  </si>
  <si>
    <t>Kongju National University; Korea Institute of Ocean Science &amp; Technology (KIOST); Korea Polar Research Institute (KOPRI)</t>
  </si>
  <si>
    <t>Kim, S (corresponding author), KIOST, Korea Polar Res Inst, 26 Songdomirae Ro, Inchon 406840, South Korea.</t>
  </si>
  <si>
    <t>sangheekim@kopri.re.kr</t>
  </si>
  <si>
    <t>Han, Yeong-Deok/GWR-0467-2022</t>
  </si>
  <si>
    <t>The authors report no conflicts of interest. The authors alone are responsible for the content and writing of the paper. This work was supported by the Basic Research Program of the Korea Polar Research Institute (PE14020).</t>
  </si>
  <si>
    <t>10.3109/19401736.2014.963811</t>
  </si>
  <si>
    <t>WOS:000377538000094</t>
  </si>
  <si>
    <t>Yoon, YJ; Kang, Y; Kim, MK; Lee, J; Park, H; Kim, JH; Lee, H</t>
  </si>
  <si>
    <t>Yoon, Young-Jun; Kang, Yoonjee; Kim, Mi-Kyeong; Lee, Jungeun; Park, Hyun; Kim, Ji Hee; Lee, Hyoungseok</t>
  </si>
  <si>
    <t>The complete mitochondrial genome of an Antarctic moss Syntrichia filaris (Mull.Hal.) RH Zander</t>
  </si>
  <si>
    <t>Antarctic moss; mitochondrial genome; Syntrichia filaris</t>
  </si>
  <si>
    <t>The mitogenome of the Syntrichia filaris (GenBank accession number KP984758) has a total length of 106,343 bp and consists of 40 protein-coding genes, 3 ribosomal RNA (rRNA) and 24 transfer RNA. The mitochondrial structure and gene order was similar to other Bryophytes. Phylogenetic tree based on the combined analysis of amino acid sequences of 31 mitochondrial genes common in S. filaris, 17 Bryophyta and 3 Marchantiophyta, was well congruent with traditional species relationship of the moss order Pottiales.</t>
  </si>
  <si>
    <t>[Yoon, Young-Jun; Kang, Yoonjee; Kim, Mi-Kyeong; Lee, Jungeun; Park, Hyun; Kim, Ji Hee; Lee, Hyoungseok] Korea Polar Res Inst, Inchon, South Korea</t>
  </si>
  <si>
    <t>Korea Institute of Ocean Science &amp; Technology (KIOST); Korea Polar Research Institute (KOPRI)</t>
  </si>
  <si>
    <t>Lee, H (corresponding author), Korea Polar Res Inst, Inchon, South Korea.</t>
  </si>
  <si>
    <t>soulaid@kopri.re.kr</t>
  </si>
  <si>
    <t>Korea Polar Research Institute [PE15020, PE15070]</t>
  </si>
  <si>
    <t>The authors report no conflicts of interest. The authors alone are responsible for the content and writing of the paper. This work was supported by Korea Polar Research Institute (PE15020 and PE15070).</t>
  </si>
  <si>
    <t>10.3109/19401736.2015.1053062</t>
  </si>
  <si>
    <t>DO7IQ</t>
  </si>
  <si>
    <t>WOS:000377956300174</t>
  </si>
  <si>
    <t>Kim, S; Kim, H; Shin, SC</t>
  </si>
  <si>
    <t>Kim, Sanghee; Kim, Hanna; Shin, Seung Chul</t>
  </si>
  <si>
    <t>Complete mitochondrial genome of the Antarctic midge Parochlus steinenii (Diptera: Chironomidae)</t>
  </si>
  <si>
    <t>Antarctic winged midge; complete mitochondrial genome; Parochlus steinenii</t>
  </si>
  <si>
    <t>ALIGNMENT</t>
  </si>
  <si>
    <t>Parochlus steinenii is a winged midge found in the Antarctic Peninsula and its offshore islands. We determined the complete mitochondrial genome sequence of P. steinenii, which is comprised of 16 803 nucleotides and contains 13 protein-coding genes (PCGs), 22 tRNA genes, and the large (rrnL) and small (rrnS) rRNA genes. Its total A + T content is 72.5%. The PCG arrangement of P. steinenii is identical to that of the ancestral Diptera ground pattern. This is the first report on the mitogenome sequence of an Antarctic midge, and provides insights into the evolution of dipterans in Antarctica.</t>
  </si>
  <si>
    <t>[Kim, Sanghee; Shin, Seung Chul] Korea Polar Res Inst, Div Polar Life Sci, 26 Songdomirae Ro, Inchon 406840, South Korea; [Kim, Hanna] Ewha Womans Univ, Div EcoCreat, Seoul, South Korea</t>
  </si>
  <si>
    <t>Korea Polar Research Institute (KOPRI); Korea Institute of Ocean Science &amp; Technology (KIOST); Ewha Womans University</t>
  </si>
  <si>
    <t>Shin, SC (corresponding author), Korea Polar Res Inst, Div Polar Life Sci, 26 Songdomirae Ro, Inchon 406840, South Korea.</t>
  </si>
  <si>
    <t>ssc@kopri.re.kr</t>
  </si>
  <si>
    <t>Korea Polar Research Institute [PE15070, PE15080]</t>
  </si>
  <si>
    <t>This study was supported by the Korea Polar Research Institute (grants PE15070 and PE15080). The authors report no conflicts of interest. The authors alone are responsible for the content and the writing of the paper.</t>
  </si>
  <si>
    <t>10.3109/19401736.2015.1066355</t>
  </si>
  <si>
    <t>DO7IU</t>
  </si>
  <si>
    <t>WOS:000377956700161</t>
  </si>
  <si>
    <t>Han, SJ; Park, H; Kim, S; Kim, D; Park, HJ; Yim, JH</t>
  </si>
  <si>
    <t>Han, Se Jong; Park, Heeyong; Kim, Sunghui; Kim, Dockyu; Park, Ha Ju; Yim, Joung Han</t>
  </si>
  <si>
    <t>Enhanced production of protease by Pseudoalteromonas arctica PAMC 21717 via statistical optimization of mineral components and fed-batch fermentation</t>
  </si>
  <si>
    <t>Fermentation; Pseudoalteromonas arctica PAMC 21717; psychrophile; statistical mineral optimization; W-Pro21717</t>
  </si>
  <si>
    <t>ALKALINE PROTEASE; ENZYME-PRODUCTION; TEREDINOBACTER-TURNIRAE; BACILLUS-MOJAVENSIS; BACTERIA; SEA</t>
  </si>
  <si>
    <t>The objective of this study was to statistically optimize the mineral components of the nutritional medium required for enhancing the production of a cold-active extracellular serine-type protease, W-Pro21717, by the Antarctic bacterium Pseudoalteromonas arctica PAMC 21717. Skim milk was identified as the major efficient inducer. Among the 12 components included in the unoptimized medium, skim milk, NaCl, Na2SO4, Fe(C6H5O7) (ferric citrate), and KCl were determined, by the Plackett-Burman and Box-Behnken design, to have a major effect on W-Pro21717 production. Fed-batch fermentation (5L scale) using the mineral-optimized medium supplemented with concentrated skim milk (critical medium component) resulted in a W-Pro21717 activity of 53.4U/L, a 15-fold increment in production over that obtained using unoptimized flask culture conditions. These findings could be applied to scale up the production of cold-active protease.</t>
  </si>
  <si>
    <t>[Han, Se Jong; Park, Heeyong; Kim, Sunghui; Kim, Dockyu; Park, Ha Ju; Yim, Joung Han] Korea Polar Res Inst, Div Polar Life Sci, 26 Songdomirae Ro, Inchon 21990, South Korea; [Han, Se Jong] Univ Sci &amp; Technol, Dept Polar Sci, Inchon, South Korea</t>
  </si>
  <si>
    <t>Han, SJ (corresponding author), Korea Polar Res Inst, Div Polar Life Sci, 26 Songdomirae Ro, Inchon 21990, South Korea.</t>
  </si>
  <si>
    <t>hansj@kopri.re.kr</t>
  </si>
  <si>
    <t>HAN, Se Jong/0000-0001-9576-2179</t>
  </si>
  <si>
    <t>project titled Korea-Polar Ocean Development: K-POD [PM14050]; Ministry of Oceans and Fisheries, Korea; Korea Polar Research Institute [PE13040]</t>
  </si>
  <si>
    <t>project titled Korea-Polar Ocean Development: K-POD; Ministry of Oceans and Fisheries, Korea; Korea Polar Research Institute(Korea Polar Research Institute of Marine Research Placement (KOPRI))</t>
  </si>
  <si>
    <t>This research was conducted as a part of the project titled Korea-Polar Ocean Development: K-POD (project number PM14050), which was funded by the Ministry of Oceans and Fisheries, Korea. The study was partially supported by a grant from the Korea Polar Research Institute (PE13040).</t>
  </si>
  <si>
    <t>10.1080/10826068.2015.1031390</t>
  </si>
  <si>
    <t>DO6YS</t>
  </si>
  <si>
    <t>WOS:000377930000002</t>
  </si>
  <si>
    <t>O'Gorman, JP</t>
  </si>
  <si>
    <t>O'Gorman, Jose P.</t>
  </si>
  <si>
    <t>A SMALL BODY SIZED NON-ARISTONECTINE ELASMOSAURID (SAUROPTERYGIA, PLESIOSAURIA) FROM THE LATE CRETACEOUS OF PATAGONIA WITH COMMENTS ON THE RELATIONSHIPS OF THE PATAGONIAN AND ANTARCTIC ELASMOSAURIDS</t>
  </si>
  <si>
    <t>Elasmosauridae; Upper Cretaceous; Patagonia; Antarctic Peninsula</t>
  </si>
  <si>
    <t>NORTHERN PATAGONIA; COLONIA FORMATION; MARINE REPTILES; ALLEN FORMATION; POLYCOTYLIDAE; ARGENTINA; DOROTEA; RIO</t>
  </si>
  <si>
    <t>The systematics of the Late Cretaceous non-aristonectine elasmosaurids from Argentinean Patagonia are poorly known as there is no valid species currently recognized. Here a new non-aristonectine elasmosaurid: Kawanectes lafquenianum nov. comb. from the late Campanian-early Maastrichtian Allen Formation is diagnosed. K. lafquenianum is a distinctively small-body sized non-aristonectine elasmosaurid characterized by caudal vertebrae with marked laterally projected parapophyses, presence of pelvic bar, high ratio (similar to 1.2) between humerus/femur length and a large posterodistal projection of the humerus which bears a posterior accessory articular facet. A phylogenetic analysis recovered K. lafquenianum closely related with Morenosaurus stocki, Vegasaurus molyi, and Aristonectinae, showing the relationships between the elasmosaurids from Patagonia, Western Antarctic, and the Pacific coast of the USA. K. lafquenianum is part of the fauna of the coeval Allen and La Colonia formations that also comprises indeterminate aristonectines and polycotylids. This relatively high diversity plesiosaur fauna includes the three main morphotypes (aristonectines, non-aristonectine elasmosaurids and polycotylids), which is remarkable because the depositational environments of the Allen Formation have been inferred as marginal marine to non-marine environments.</t>
  </si>
  <si>
    <t>[O'Gorman, Jose P.] Univ Nacl La Plata, Fac Ciencias Nat &amp; Museo, Div Paleontol Vertebrados, Anexos Invest, Ave 60 &amp; 122,B1900FWA, RA-1900 La Plata, Buenos Aires, Argentina; [O'Gorman, Jose P.] Consejo Nacl Invest Cient &amp; Tecn, RA-1033 Buenos Aires, DF, Argentina</t>
  </si>
  <si>
    <t>National University of La Plata; Museo La Plata; Consejo Nacional de Investigaciones Cientificas y Tecnicas (CONICET)</t>
  </si>
  <si>
    <t>O'Gorman, JP (corresponding author), Univ Nacl La Plata, Fac Ciencias Nat &amp; Museo, Div Paleontol Vertebrados, Anexos Invest, Ave 60 &amp; 122,B1900FWA, RA-1900 La Plata, Buenos Aires, Argentina.;O'Gorman, JP (corresponding author), Consejo Nacl Invest Cient &amp; Tecn, RA-1033 Buenos Aires, DF, Argentina.</t>
  </si>
  <si>
    <t>joseogorman@fcnym.unlp.edu.ar</t>
  </si>
  <si>
    <t>O’Gorman, José/AAK-6096-2021</t>
  </si>
  <si>
    <t>[PICT 2012-0748]; [UNLP N 677]; [UNLP N 607]; [PIP 0433]</t>
  </si>
  <si>
    <t>; ; ;</t>
  </si>
  <si>
    <t>This research was supported by projects PICT 2012-0748, UNLP N 677, UNLP N 607 and PIP 0433. The author thanks Z. Gasparini and M. Fernandez for reading an earlier version of the manuscript and Z. Gasparini, L. Salgado, I. Cerda and Y. Herrera for the fieldwork and L. Acosta Burllaile for the preparation of some specimens. Thanks P. Arregui for improving the English of this constribution. The author also thanks the curators of Museo de La Plata (M. Reguero), Museo Paleontologico Egidio Feruglio (E. Ruigomez), Museo Municipal de Lamarque (D. Cabaza), Museo de Cinco Saltos (I. Cerda), Museo de la Universidad del Comahue (L. Salgado), University of California, Museum of Paleontology (P. Holroy), Natural History Museum of Los Angeles (M. Walsh), Geology Museum, University of Otago (E. Fordyce), Museum of New Zealand Te Papa Tongarewa (A. J. D Tennyson) for providing access to the material. Finally, the author thanks R. Otero (Laboratorio de Ontogenia y Filogenia, Departamento de Biologia, Facultad de Ciencias, Universidad de Chile) and an anonymous reviewer for its comment that improve this contribution.</t>
  </si>
  <si>
    <t>10.5710/AMGH.29.11.2015.2928</t>
  </si>
  <si>
    <t>DO1HP</t>
  </si>
  <si>
    <t>WOS:000377529400002</t>
  </si>
  <si>
    <t>Hospitaleche, CA</t>
  </si>
  <si>
    <t>Hospitaleche, Carolina Acosta</t>
  </si>
  <si>
    <t>PALEOBIOLOGICAL REMARKS ON A NEW PARTIAL SKELETON OF THE EOCENE ANTARCTIC PENGUIN PALAEEUDYPTES KLEKOWSKII</t>
  </si>
  <si>
    <t>Palaeeudyptes klekowskii; Eocene; Antarctica; Paleobiology</t>
  </si>
  <si>
    <t>SEYMOUR ISLAND; AVES; SPHENISCIFORMES</t>
  </si>
  <si>
    <t>A new incomplete penguin skeleton is described herein. It is assigned to Palaeeudyptes klekowskii Myrcha, Tatur and Del Valle, a giant sphenisciform from the Priabonian Submeseta Formation in Marambio/Seymour Island, Antarctic Peninsula. Also provided is a paleobiological discussion derived from the morphology of this skeleton. A thorough description of muscular origin and insertions, body mass, body length, and diving duration estimations support the hypothesis that the new specimen represents a marine bird with limited swimming skills wighing 40-44 kg and measuring 133.2-143.2 cm long.</t>
  </si>
  <si>
    <t>[Hospitaleche, Carolina Acosta] UNLP, Fac Ciencias Nat &amp; Museo, Museo La Plata, Div Paleontol Vertebrados, Paseo Bosque S-N,B1900FWA, La Plata, Buenos Aires, Argentina; [Hospitaleche, Carolina Acosta] Consejo Nacl Invest Cient &amp; Tecn, RA-1033 Buenos Aires, DF, Argentina</t>
  </si>
  <si>
    <t>Hospitaleche, CA (corresponding author), UNLP, Fac Ciencias Nat &amp; Museo, Museo La Plata, Div Paleontol Vertebrados, Paseo Bosque S-N,B1900FWA, La Plata, Buenos Aires, Argentina.;Hospitaleche, CA (corresponding author), Consejo Nacl Invest Cient &amp; Tecn, RA-1033 Buenos Aires, DF, Argentina.</t>
  </si>
  <si>
    <t>acostacaro@fcnym.unlp.edu.ar</t>
  </si>
  <si>
    <t>10.5710/AMGH.27.08.2015.2890</t>
  </si>
  <si>
    <t>WOS:000377529400003</t>
  </si>
  <si>
    <t>Hospitaleche, CA; Pérez, LM; Marenssi, S; Reguero, M</t>
  </si>
  <si>
    <t>Hospitaleche, Carolina Acosta; Perez, Leandro M.; Marenssi, Sergio; Reguero, Marcelo</t>
  </si>
  <si>
    <t>TAPHONOMIC ANALYSIS AND PALEOBIOLOGICAL OBSERVATIONS OF CROSSVALLIA UNIENWILLIA TAMBUSSI ET AL. 2005, THE OLDEST PENGUIN FROM ANTARCTICA</t>
  </si>
  <si>
    <t>Fossil Penguin; Cross Valley; Marambio Island; Paleocene, Antarctic Peninsula</t>
  </si>
  <si>
    <t>SEYMOUR-ISLAND; MEDULLARY BONE; PALEOCENE; INFORMATION; GROWTH; AVES</t>
  </si>
  <si>
    <t>The purpose of this paper is to provide a taphonomic analysis of the holotype of Crossvallia unienwillia Tambussi, Reguero, Marenssi and Santillana, 2005, in order to improve the knowledge of the vertebrate record of the Cross Valley Formation, a unit exposed in the central area of Marambio (Seymour) Island, Antarctic Peninsula. Analyses of the preservational state of the skeleton assigned to Crossvallia unienwillia offer important data for palaeoenvironmental and depositional reconstructions, key for the understanding of the early evolutionary history of penguins. Different techniques, including petrographic sections, SEM observation, Secondary Electrons Detectors, backscattered electrons detectors, microanalysis for probe of electrons, and X-ray diffraction were applied in order to distinguish biostratinomic from fossil diagenetic damage. Fossil bones of Crossvallia are associated with a typical marine assemblage including shark remains and macroinvertebrates. The hosting mudstones suggest a low-energy environment either below the wave-base or protected from wave action. In any case initial marine conditions changed to other with regular influx of land-derived sedimentary material. Crossvallia unienwillia was a female diver that passed through several molting periods before death. Biostratinomic processes consistent with little transport and rapid burial which would have prevented the action of destructive processes such as weathering and carnivores or scavenging, are inferred. The rapid burial favored the initial preservation of the elements under anoxic conditions. The surficial corrosion, fractures, and the internal filling of the cavities, suggest that destructive processes were only important after final burial during the telodiagenetic stage. The absence of more vertebrate fossil remains in the Cross Valley C Allomember is the result of those destructive processes, whereas on the contrary the original depositional environment appears to have been optimal.</t>
  </si>
  <si>
    <t>[Hospitaleche, Carolina Acosta; Reguero, Marcelo] Univ Nacl La Plata, Fac Ciencias Nat &amp; Museo, Museo La Plata, Div Paleontol Vertebrados, B1900FWA, RA-1900 La Plata, Buenos Aires, Argentina; [Perez, Leandro M.] Univ Nacl La Plata, Fac Ciencias Nat &amp; Museo, Museo La Plata, Div Paleozool Invertebrados, B1900FWA, RA-1900 La Plata, Buenos Aires, Argentina; [Marenssi, Sergio] Univ Nacl Buenos Aires, Fac Ciencias Exactas &amp; Nat, Dept Ciencias Geol, IGeBA,Univ Buenos Aires,CONICET, Ciudad Univ Pabellon 2,1 Piso C1428EHA, Buenos Aires, DF, Argentina; [Hospitaleche, Carolina Acosta; Perez, Leandro M.; Reguero, Marcelo] Consejo Nacl Invest Cient &amp; Tecn, RA-1033 Buenos Aires, DF, Argentina</t>
  </si>
  <si>
    <t>National University of La Plata; Museo La Plata; National University of La Plata; Museo La Plata; Consejo Nacional de Investigaciones Cientificas y Tecnicas (CONICET); University of Buenos Aires; Consejo Nacional de Investigaciones Cientificas y Tecnicas (CONICET)</t>
  </si>
  <si>
    <t>Hospitaleche, CA (corresponding author), Univ Nacl La Plata, Fac Ciencias Nat &amp; Museo, Museo La Plata, Div Paleontol Vertebrados, B1900FWA, RA-1900 La Plata, Buenos Aires, Argentina.;Hospitaleche, CA (corresponding author), Consejo Nacl Invest Cient &amp; Tecn, RA-1033 Buenos Aires, DF, Argentina.</t>
  </si>
  <si>
    <t>acostacaro@fcnym.unlp.edu.ar; pilosaperez@gmail.com; smarenssi@hotmail.com; regui@fcnym.unlp.edu.ar</t>
  </si>
  <si>
    <t>Acosta Hospitaleche, Carolina/E-5740-2017; Reguero, Marcelo A./JHS-4893-2023</t>
  </si>
  <si>
    <t>Acosta Hospitaleche, Carolina/0000-0002-2614-1448;</t>
  </si>
  <si>
    <t>Consejo Nacional de Investigaciones Cientificas y Tecnicas; Agencia Nacional de Promocion Cientifica y Tecnologica [PICT 2010 0093, PICT 2011 0284]</t>
  </si>
  <si>
    <t>Consejo Nacional de Investigaciones Cientificas y Tecnicas(Consejo Nacional de Investigaciones Cientificas y Tecnicas (CONICET)); Agencia Nacional de Promocion Cientifica y Tecnologica(ANPCyTSpanish Government)</t>
  </si>
  <si>
    <t>We thank to D. Poire, for his collaboration in the X-ray analysis, N. Haidr for her help with the paleohistology interpretation, the Consejo Nacional de Investigaciones Cientificas y Tecnicas and the Agencia Nacional de Promocion Cientifica y Tecnologica (PICT 2010 0093, PICT 2011 0284) for financial support. Instituto Antartico Argentino provided logistic support in Antarctica. To the technical personnel of the LIMF service (Facultad de Ingenieria, UNLP) and Laboratory of Diffraction of Rx and petrography of the CIG-CONICET, for the analytic determination and the preparation of the fossil material. To D. Cabrera for assistance with images obtained by binocular microscope.</t>
  </si>
  <si>
    <t>10.5710/AMGH.24.08.2015.2917</t>
  </si>
  <si>
    <t>WOS:000377529400004</t>
  </si>
  <si>
    <t>Buono, MR; Fernández, MS; Reguero, MA; Marenssi, SA; Santillana, SN; Mörs, T</t>
  </si>
  <si>
    <t>Buono, Monica R.; Fernandez, Marta S.; Reguero, Marcelo A.; Marenssi, Sergio A.; Santillana, Sergio N.; Mors, Thomas</t>
  </si>
  <si>
    <t>EOCENE BASILOSAURID WHALES FROM THE LA MESETA FORMATION, MARAMBIO (SEYMOUR) ISLAND, ANTARCTICA</t>
  </si>
  <si>
    <t>Cetacea; Basilosauridae; Paleogene; Cheek teeth; Mandibles</t>
  </si>
  <si>
    <t>MIDDLE EOCENE; ARCHAEOCETE WHALE; PROTOCETID WHALE; CETACEA; PENINSULA; MAMMALIA; STRATIGRAPHY; PELAGICETI; EVOLUTION; HOMOLOGY</t>
  </si>
  <si>
    <t>Basal fully aquatic whales, the basilosaurids are worldwide known from Bartonian-Priabonian localities, indicating that this group was widely distributed during the late middle Eocene. In the Northern Hemisphere, fossils of basilosaurids are abundant, while records in the Southern Hemisphere are scarce and, in some cases (i.e., Antarctica), doubtful. The presence of basilosaurids in Antarctica was, until now, uncertain because most of the records are based on fragmentary materials that preclude an accurate assignment to known archaeocete taxa. Here we report the findings of mandibles, teeth, and innominate bone remains of basilosaurids recovered from the La Meseta Formation (TELM 4 Lutetian-Bartonian and; TELM 7 Priabonian), in Marambio (Seymour) Island (James Ross Basin, Antarctic Peninsula). These findings confirm the presence of Basilosauridae in the marine realm of Antarctica, increasing our knowledge of the paleobiogeographic distribution of basilosaurids during the middle-late Eocene. In addition, one of these records is among the oldest occurrences of basilosaurids worldwide, indicating a rapid radiation and dispersal of this group since at least the early middle Eocene.</t>
  </si>
  <si>
    <t>[Buono, Monica R.] Consejo Nacl Invest Cient &amp; Tecn, Ctr Nacl Patagon, Inst Patagon Geol &amp; Paleontol, Blvd Brown 2915,U9120ACG, Puerto Madryn, Chubut, Argentina; [Fernandez, Marta S.] Fac Ciencias Nat &amp; Museo, Unidades Invest Anexo Museo, Div Paleontol Vertebrados, Calle 60 &amp; 122,B1900AVW, La Plata, Buenos Aires, Argentina; [Fernandez, Marta S.; Reguero, Marcelo A.] Consejo Nacl Invest Cient &amp; Tecn, RA-1033 Buenos Aires, DF, Argentina; [Reguero, Marcelo A.] Museo La Plata, Div Paleontol Vertebrados, Paseo Bosque S-N,B1900FWA, La Plata, Buenos Aires, Argentina; [Reguero, Marcelo A.] UNLP, Fac Ciencias Nat &amp; Museo, La Plata, Buenos Aires, Argentina; [Reguero, Marcelo A.; Santillana, Sergio N.] Inst Antartico Argentino, 25 Mayo 1143,B1650HMK San Martin, Buenos Aires, DF, Argentina; [Marenssi, Sergio A.] Univ Buenos Aires, CONICET, Fac Ciencias Nat, Dept Ciencias Geol, Intendente Guiraldes 2160, Buenos Aires, DF, Argentina; [Mors, Thomas] Swedish Museum Nat Hist, Dept Palaeobiol, POB 50007, SE-10405 Stockholm, Sweden</t>
  </si>
  <si>
    <t>Consejo Nacional de Investigaciones Cientificas y Tecnicas (CONICET); Centro Nacional Patagonico (CENPAT); National University of La Plata; Museo La Plata; Consejo Nacional de Investigaciones Cientificas y Tecnicas (CONICET); National University of La Plata; Museo La Plata; National University of La Plata; Museo La Plata; Instituto Antartico Argentino; Consejo Nacional de Investigaciones Cientificas y Tecnicas (CONICET); University of Buenos Aires; Swedish Museum of Natural History</t>
  </si>
  <si>
    <t>Buono, MR (corresponding author), Consejo Nacl Invest Cient &amp; Tecn, Ctr Nacl Patagon, Inst Patagon Geol &amp; Paleontol, Blvd Brown 2915,U9120ACG, Puerto Madryn, Chubut, Argentina.</t>
  </si>
  <si>
    <t>buono@cenpat-conicet.gob.ar; martafer@fcnym.unlp.edu.ar; regui@fcnym.unlp.edu.ar; smarenssi@hotmail.com; ssantillana@dna.gov.ar; thomas.mors@nrm.se</t>
  </si>
  <si>
    <t>Reguero, Marcelo A./JHS-4893-2023</t>
  </si>
  <si>
    <t>Buono, Monica Romina/0000-0003-1812-7467; Fernandez, Marta/0000-0001-6935-7575</t>
  </si>
  <si>
    <t>Instituto Antartico Argentino (PICTA); Agencia Nacional de Promocion Cientifica y Tecnologica, (ANPCyT) [PICT 0365/2007, 0748/2012, PICTO 0093/2010]; Swedish Research Council (VR grant) [2009-4447]; Swedish Polar Research Secretariat (SWEDARP)</t>
  </si>
  <si>
    <t>Instituto Antartico Argentino (PICTA); Agencia Nacional de Promocion Cientifica y Tecnologica, (ANPCyT)(ANPCyT); Swedish Research Council (VR grant)(Swedish Research Council); Swedish Polar Research Secretariat (SWEDARP)</t>
  </si>
  <si>
    <t>We wish to acknowledge the Instituto Antartico Argentino, which provided logistic support for our participation in Antarctic field work. Logistic support from the Fuerza Aerea Argentina is, as always, gratefully acknowledged. C. Tambussi, J.J. Moly, R. Coria, and J. Hagstrom are thanked for their assistance in the field. We especially thank Tec. M. Cardenas (UNRN), J.J. Moly, and L. Acosta Burllaile (MLP) for the preparation of the materials. We wish to thank N.D. Pyenson (NMNH) for providing access for M. R. Buono to examine specimens. We thank E.R. Fordyce for casts of Waihao archaeocetes and for suggestions on an earlier version of the manuscript. We thank L. Cheme Arriaga for assistance with photographs. M.T. Dozo (CENPAT-CONICET) is thanked for her assistance during this study. The authors are grateful to the reviewers (P. Gol'din and an anonymous reviewer) and editor (D. Pol); their suggestions greatly improved the quality of this article. This study was supported by the Instituto Antartico Argentino (PICTA 2004 and 2008), Agencia Nacional de Promocion Cientifica y Tecnologica, (ANPCyT, PICT 0365/2007and 0748/2012; PICTO 0093/2010), the Swedish Research Council (VR grant 2009-4447) and the Swedish Polar Research Secretariat (SWEDARP 2010/11 and 2012/13).</t>
  </si>
  <si>
    <t>10.5710/AMGH.02.02.2016.2922</t>
  </si>
  <si>
    <t>WOS:000377529400005</t>
  </si>
  <si>
    <t>Gelfo, JN</t>
  </si>
  <si>
    <t>Gelfo, Javier N.</t>
  </si>
  <si>
    <t>CONSIDERATIONS ABOUT THE EVOLUTIONARY STASIS OF NOTIOLOFOS ARQUINOTIENSIS (MAMMALIA: SPARNOTHERIODONTIDAE), EOCENE OF SEYMOUR ISLAND, ANTARCTICA</t>
  </si>
  <si>
    <t>Antarctica; Eocene; Sparnotheriodontidae; Evolutionary stasis; Plus ca change</t>
  </si>
  <si>
    <t>LA MESETA FORMATION; TERRESTRIAL VERTEBRATES; REPLACEMENT NAME; ITABORAI BASIN; RECORD; CONDYLARTHRA; LITOPTERNA; LONGEVITY</t>
  </si>
  <si>
    <t>Notiolofos arquinotiensis is the most abundant terrestrial placental mammal in the Paleogene of the Antarctic continent. Evidence suggests a South American origin of Sparnotheriodontidae, and an allopatric speciation event for the appearance of N. arquinotiensis. It was recorded exclusively on Seymour Island, through most of the La Meseta and Submeseta formations. Isotopic and paleomagnetic calibration of the units indicate a relatively continuous fossil record of at least 17.5 Ma. The stasis hypothesis is tested here as opposite to the possibility of a wider and previously non-identified specific diversity of Antarctic sparnotheriodontids. The material of N. arquinotensis available was compared in preservation, characters and dental occlusal areas to the more complete phylogenetic relative Sparnotheriodon epsilonoides and the North American Meniscotherium chamense. Despite there being no close phylogenetic relationship between Notiolofos and Meniscotherium, the morphological dental similarity between them suggests they could be interpreted as ecologically equivalent taxa. The analysis allows the reassignment of some N. arquinotensis teeth to other dental loci. The results indicate that there are no reasons to justify the presence of different species through the stratigraphic sequence or to refute the morphological stasis in N. arquinotensis. Stasis among Antarctic Eocene vertebrates is also recorded among Eocene penguins. The Plus ca change model indicate that morphological stasis and punctuated equilibrium were detected as the usual responses to widely fluctuating physical environments such as those characteristic of temperate regions and shallow waters. This model fits well with inferences on Antarctic paleoclimate and paleogeography and the land fossil record.</t>
  </si>
  <si>
    <t>[Gelfo, Javier N.] Museo La Plata, Div Paleontol Vertebrados, CONICET, Paseo Bosque S-N,B1900FWA, La Plata, Buenos Aires, Argentina; [Gelfo, Javier N.] UNLP, Fac Ciencias Nat &amp; Museo La Plata, La Plata, Buenos Aires, Argentina</t>
  </si>
  <si>
    <t>Consejo Nacional de Investigaciones Cientificas y Tecnicas (CONICET); National University of La Plata; Museo La Plata; National University of La Plata; Museo La Plata</t>
  </si>
  <si>
    <t>Gelfo, JN (corresponding author), Museo La Plata, Div Paleontol Vertebrados, CONICET, Paseo Bosque S-N,B1900FWA, La Plata, Buenos Aires, Argentina.;Gelfo, JN (corresponding author), UNLP, Fac Ciencias Nat &amp; Museo La Plata, La Plata, Buenos Aires, Argentina.</t>
  </si>
  <si>
    <t>jgelfo@fcnym.unlp.edu.ar</t>
  </si>
  <si>
    <t>Gelfo, Javier N./KFQ-7820-2024; Gelfo, Javier N./AAW-1905-2021</t>
  </si>
  <si>
    <t>Gelfo, Javier N./0000-0002-9989-5902</t>
  </si>
  <si>
    <t>CONICET [PIP 0462]</t>
  </si>
  <si>
    <t>CONICET(Consejo Nacional de Investigaciones Cientificas y Tecnicas (CONICET))</t>
  </si>
  <si>
    <t>My sincere thanks to the following institutions: Consejo Nacional de Investigaciones Cientificas y Tecnicas (CONICET), Instituto Antartico Argentino (IAA), Direccion Nacional del Antartico (DNA) and Fuerza Aerea Argentina. I want to thank M. Reguero and E. Olivero for the invitation to participate in the Antarctic symposium Creta-ceous-Tertiary palaeobiogeographic connections with Antarctica; and to C. Acosta Hospitaleche, G. Lopez, S. Casadio, M. Montes, S. Santillana, S. Gouiric Cavalli, and M. Bond, for useful comments and discussion about these remains. J. J. Moly for preparation of MLP 12-XI-1-11. I'm very grateful to M. Woodburne, who review and improve the English of this manuscript and Y. Herrera for editorial support. This work was partially supported by PIP 0462 (CONICET) to the author.</t>
  </si>
  <si>
    <t>10.5710/AMGH.14.09.2015.2934</t>
  </si>
  <si>
    <t>WOS:000377529400006</t>
  </si>
  <si>
    <t>Caramés, A; Amenábar, CR; Concheyro, A</t>
  </si>
  <si>
    <t>Carames, Andrea; Amenabar, Cecilia R.; Concheyro, Andrea</t>
  </si>
  <si>
    <t>UPPER CRETACEOUS FORAMINIFERA AND PALYNOMORPHS FROM EKELOF COAST SECTION, EKELOF POINT, EASTERN JAMES ROSS ISLAND, ANTARCTIC PENINSULA</t>
  </si>
  <si>
    <t>Foraminifera; Palynomorphs; Upper Cretaceous; James Ross Island; Antarctic Peninsula</t>
  </si>
  <si>
    <t>SANTA-MARTA FORMATION; MARAMBIO GROUP; BENTHIC FORAMINIFERA; DINOFLAGELLATE CYSTS; CONTINENTAL-SHELF; HUMPS-ISLAND; BASIN; STRATIGRAPHY; PALEOGENE; MEMBER</t>
  </si>
  <si>
    <t>A micropaleontological analysis of foraminifera and palynomorphs obtained from a partial sedimentary section cropping out at Ekelof Point, eastern James Ross Island, Antarctic Peninsula, is presented. The section, named Ekelof Coast, includes the lowest levels of the Upper Cretaceous Hamilton Point Member of the Snow Hill Island Formation. Among the foraminifera, 18 benthic taxa including 10 agglutinated and eight calcareous are recognized. Palynomorphs include continental and marine species. The continental assemblage contains 44 spore and pollen species. The marine assemblage consists of 10 peridinioid dinoflagellate cysts species, dominating in number of specimens, and 10 gonyaula-coids. Although the palynomorph assemblage supports a late Campanian age for the section, an earliest Maastrichtian age is not excluded. The paleoenvironmental interpretation based on the distribution of foraminiferal morphogroups indicates an outer shelf-upper bathyal environment in agreement with sedimentological data. The paleoenvironmental inference based on the S/D ratio (sporomorph versus dinoflagellate cysts) and the P/G ratio (peridinioid versus gonyaulacoid cysts) suggest a coastal to inner neritic setting with a continuous continental supply from the continent to the marine environment, evidenced by the slight dominance of the peridionoids over gonyaulacoids cysts. The discrepancy observed between palynological and micropaleontological-sedimentological data may be linked to the development of a narrow continental shelf during the Late Cretaceous. In such continental shelf, terrestrial palynomorphs and peridinoid cysts would quickly run down the slope and would be deposited in the deep marine environment together with gonyaulacoid cysts.</t>
  </si>
  <si>
    <t>[Carames, Andrea; Amenabar, Cecilia R.; Concheyro, Andrea] Univ Buenos Aires, CONICET, Dept Ciencias Geol, Inst Estudios Andinos Don Pablo Groeber, Intendente Guiraldes 2160,Ciudad Univ,C1428EGA, Buenos Aires, DF, Argentina; [Amenabar, Cecilia R.; Concheyro, Andrea] Univ Buenos Aires, Fac Ciencias Exactas &amp; Nat, Dept Ciencias Geol, Buenos Aires, DF, Argentina; [Amenabar, Cecilia R.; Concheyro, Andrea] Inst Antartico Argentino, 25 Mayo 1151,3er Piso, RA-1650 San Martin, Buenos Aires, Argentina</t>
  </si>
  <si>
    <t>University of Buenos Aires; Consejo Nacional de Investigaciones Cientificas y Tecnicas (CONICET); University of Buenos Aires; Instituto Antartico Argentino</t>
  </si>
  <si>
    <t>Caramés, A (corresponding author), Univ Buenos Aires, CONICET, Dept Ciencias Geol, Inst Estudios Andinos Don Pablo Groeber, Intendente Guiraldes 2160,Ciudad Univ,C1428EGA, Buenos Aires, DF, Argentina.</t>
  </si>
  <si>
    <t>carames@gl.fcen.uba.ar; amenabar@gl.fcen.uba.ar; andrea@gl.fcen.uba.ar</t>
  </si>
  <si>
    <t>[PICTO DNA 2010-00112]</t>
  </si>
  <si>
    <t>The authors are indebted to J. m. Lirio (Instituto Antartico Argentino) and A. Mackern for their help during sampling and geological observations at Ekelof Point and to the Direccion Nacional del Antartico-Instituto Antartico Argentino and the logistics facilities of the Fueza Aerea argentina for their assistance during the argentine Summer antarctic expedition 2008. We are grateful to P. Alvarez for the foraminifera samples preparation and to the instituto Tecnologico de Micropaleontologia (ITT FOSSIL-UNISINOS, Brasil) for the preparation of palynological samples. We also thank the Centro de Microscopia Avanzada (CMA) of the Facultad de Ciencias Exactas y naturales de la Universidad de Buenos Aires for the SEM foraminifera photographs. We would like to thank Dr. Eduardo Olivero (CADIC-CONICET, argentina) and Dr. Brian T. Huber (Smithsonian institution, USA) for their constructive suggestions and remarks which helped improve the manuscript. We also thank m. Reguero (MLP, argentina) and E. Olivero for their invite regarding the presentation of this paper for the Special number of Ameghiniana. This paper corresponds to contribution number R-175 of the Instituto de Estudios Andinos 'Don Pablo Groeber' (IDean). This work was supported by grant PICTO DNA 2010-00112.</t>
  </si>
  <si>
    <t>10.5710/AMGH.27.01.2016.2963</t>
  </si>
  <si>
    <t>WOS:000377529400007</t>
  </si>
  <si>
    <t>Iglesias, A</t>
  </si>
  <si>
    <t>Iglesias, Ari</t>
  </si>
  <si>
    <t>NEW UPPER CRETACEOUS (CAMPANIAN) FLORA FROM JAMES ROSS ISLAND, ANTARCTICA</t>
  </si>
  <si>
    <t>Angiosperm; Antarctica; Campanian; Cretaceous; Fossil leaves; Paleobotany</t>
  </si>
  <si>
    <t>SANTA-MARTA FORMATION; LACHMAN CRAGS MEMBER; POLAR FORESTS; TERTIARY WOOD; FOSSIL WOOD; PALEOENVIRONMENTAL CHANGES; ALEXANDER-ISLAND; MARAMBIO GROUP; LARSEN BASIN; 1ST RECORD</t>
  </si>
  <si>
    <t>I present a diverse previously unrecorded assemblage of leaves, cuticle, seeds and fruits from early-mid Campanian marine sediments, representing the first well-preserved macrofloristic record found in the Santa Marta Formation (north of James Ross Island, Antarctica). This new flora is diverse and consistent with the presence of forests under temperate and frost free climate; taxa include: a cycad (Zamiaceae), conifers (Araucaria, Araucarites, Brachyphyllum, and Pagiophyllum), several ferns (including Pteridaceae and ? Schizaeaceae) and angiosperms (including ? Cunoniaceae and Lauraceae). This record helps further our understanding of the vegetation of continental areas in the Antarctic Peninsula during the Late Cretaceous.</t>
  </si>
  <si>
    <t>[Iglesias, Ari] Univ Nacl Comahue, CONICET, Inst Invest Biodiversidad &amp; Medio Ambiente, Quintral 1250,R8400FRF, San Carlos De Bariloche, Rio Negro, Argentina</t>
  </si>
  <si>
    <t>Universidad Nacional del Comahue; Consejo Nacional de Investigaciones Cientificas y Tecnicas (CONICET)</t>
  </si>
  <si>
    <t>Iglesias, A (corresponding author), Univ Nacl Comahue, CONICET, Inst Invest Biodiversidad &amp; Medio Ambiente, Quintral 1250,R8400FRF, San Carlos De Bariloche, Rio Negro, Argentina.</t>
  </si>
  <si>
    <t>ari_iglesias@yahoo.com.ar</t>
  </si>
  <si>
    <t>Iglesias, Ari/0000-0002-9098-8758</t>
  </si>
  <si>
    <t>Argentinean National agency for Science and Technology [PICTO-2010-0093, PICT-2013-0388]; Argentinean Antarctic Institute (DNA-IAA)</t>
  </si>
  <si>
    <t>Argentinean National agency for Science and Technology; Argentinean Antarctic Institute (DNA-IAA)</t>
  </si>
  <si>
    <t>I want to thank J. OGorman, R.Coria, M.Fernandez, M.Reguero,W E.Olivero, M.E.Raffi, F.Milanese, C.Acosta Hospitaleche, and J. Gelfo for valuable help at field works. also thanks to UNLP technicians J. J. Molly, M. de los Reyes, and IAA technicians J. Dellacha, J. Lusky, G. Mamani, and M. A. Rios for project collaboration. To M. Salgado (UNCOMA) for fossil preparation and S. little for their comments. I also thank the reviewers (I. Pool, T. Dutra, and A. Otero) and their comments that considerably improved the manuscript. Financial support has been provided by the Argentinean National agency for Science and Technology Promotion (PICTO-2010-0093; and PICT-2013-0388) and by Argentinean Antarctic Institute (DNA-IAA).</t>
  </si>
  <si>
    <t>10.5710/AMGH.17.02.2016.2930</t>
  </si>
  <si>
    <t>WOS:000377529400008</t>
  </si>
  <si>
    <t>Raffi, ME; Olivero, EB</t>
  </si>
  <si>
    <t>Raffi, Maria Eugenia; Olivero, Eduardo B.</t>
  </si>
  <si>
    <t>THE AMMONITE GENUS GAUDRYCERAS FROM THE SANTONIAN-CAMPANIAN OF ANTARCTICA: SYSTEMATICS AND BIOSTRATIGRAPHY</t>
  </si>
  <si>
    <t>Gaudryceras; Lytoceratids; Upper Cretaceous; Antarctica</t>
  </si>
  <si>
    <t>JAMES-ROSS-ISLAND; MARAMBIO GROUP; HOKKAIDO; BASIN</t>
  </si>
  <si>
    <t>Belying previous interpretations on its rarity in southern latitudes, Gaudryceras de Grossouvre is well represented in the Santonian-Campanian of Antarctica. The study of more than 300 specimens from the Santa Marta, Rabot and Snow Hill Island Formations designates five species that characterize four successive stratigraphic intervals: 1) Gaudryceras cf. G. strictum, Santonian, Alpha Member, lower part of the Santa Marta Formation; 2) Gaudryceras santamartense sp. nov., Santonian-early Campanian, Alpha Member, lower mid part of the Santa Marta Formation; 3) Gaudryceras brandyense sp. nov., late early Campanian-? basal mid Campanian, Beta Member, upper part of the Santa Marta Formation; and 4) Gaudryceras cf. G. mite and Gaudryceras rabotense sp. nov., mid Campanian-late Campanian, upper middle part of the Rabot Formation and lower part of the Hamilton Point Member of the Snow Hill Island Formation. There are two differently ornamented neanoconchs characterized by exhibiting dense or sparse strong flares, which are features of taxonomic importance at the specific level. In Antarctica, Gaudryceras is well represented from the Santonian to the mid Campanian, rare in the late Campanian and not known in the Maastrichtian. Such facts strongly contrast with data recorded outside Antarctica, particularly in the North Pacific, where Gaudryceras is well represented up to the late Maastrichtian. A striking biogeographical contrast is apparent for the Antarctic gaudryceratids. That is, while the early Campanian Gaudryceras brandyense sp. nov. and the mid-late Campanian G. rabotense sp. nov. are apparently restricted to Antarctica, the Santonian-early Campanian Antarctic species are very similar or co-specific to widely distributed forms.</t>
  </si>
  <si>
    <t>[Raffi, Maria Eugenia; Olivero, Eduardo B.] Consejo Nacl Invest Cient &amp; Tecn, CADIC, Dr Bernardo A Houssay 200,V9410BJB, Ushuaia, Argentina</t>
  </si>
  <si>
    <t>Raffi, ME (corresponding author), Consejo Nacl Invest Cient &amp; Tecn, CADIC, Dr Bernardo A Houssay 200,V9410BJB, Ushuaia, Argentina.</t>
  </si>
  <si>
    <t>eugeniaraffi@gmail.com; emolivero@gmail.com</t>
  </si>
  <si>
    <t>Raffi, Eugenia/HTP-1654-2023</t>
  </si>
  <si>
    <t>Agencia Nacional de Promocion Cientifica y Tecnologica-Direccion Nacional del Antartico (ANPCyT-DNA) [PICTO 0114]; Consejo Nacional de Investigaciones Cientificas y Tecnicas (CONICET) [PIP 114]</t>
  </si>
  <si>
    <t>Agencia Nacional de Promocion Cientifica y Tecnologica-Direccion Nacional del Antartico (ANPCyT-DNA); Consejo Nacional de Investigaciones Cientificas y Tecnicas (CONICET)(Consejo Nacional de Investigaciones Cientificas y Tecnicas (CONICET))</t>
  </si>
  <si>
    <t>We thank the Instituto Antartico Argentino and the logistical facilities of the Fuerza Aerea Argentina as well as the laboratory of arqueology CADIC for helping us with the photomicrography. Friendship ties and the help of F. Milanese (IGEBA/INGEODAV), A. Sobral (CADIC/CICTERRA) and M. Vaca during several Antarctic field seasons are also acknowledged. Constructive comments by B. Aguirre Urreta, A. Otero and two reviewers helped to improve the original manuscript. This work was supported by the Agencia Nacional de Promocion Cientifica y Tecnologica-Direccion Nacional del Antartico (ANPCyT-DNA) PICTO 0114 and the Consejo Nacional de Investigaciones Cientificas y Tecnicas (CONICET) PIP 114.</t>
  </si>
  <si>
    <t>10.5710/AMGH.29.02.2016.2972</t>
  </si>
  <si>
    <t>WOS:000377529400009</t>
  </si>
  <si>
    <t>Turner, S; Long, J</t>
  </si>
  <si>
    <t>Johanson, Z; Barrett, PM; Richter, M; Smith, M</t>
  </si>
  <si>
    <t>Turner, Susan; Long, John</t>
  </si>
  <si>
    <t>The Woodward factor: Arthur Smith Woodward's legacy to geology in Australia and Antarctica</t>
  </si>
  <si>
    <t>ARTHUR SMITH WOODWARD: HIS LIFE AND INFLUENCE ON MODERN VERTEBRATE PALAEONTOLOGY</t>
  </si>
  <si>
    <t>Geological Society Special Publication</t>
  </si>
  <si>
    <t>DEVONIAN AZTEC SILTSTONE; SOUTHERN VICTORIA-LAND; FISH BED; REDESCRIPTION; GYRACANTHIDAE; ACANTHODII; HISTORY; GULGONG</t>
  </si>
  <si>
    <t>In the pioneering century of Australian geology the 'BM' (British Museum (Natural History): now NHMUK) London played a major role in assessing the palaeontology and stratigraphical relations of samples sent across long distances by local men, both professional and amateur. Eighteen-year-old Arthur Woodward (1864-1944) joined the museum in 1882, was ordered to change his name and was catapulted into vertebrate palaeontology, beginning work on Australian fossils in 1888. His subsequent career spanned six decades across the nineteenth to mid-twentieth centuries and, although Smith (renamed to distinguish him from NHMUK colleagues) Woodward never visited Australia, he made significant contributions to the study of Australian fossil fishes and other vertebrates. 'ASW' described Australian and Antarctic Palaeozoic to Quaternary fossils in some 30 papers, often deciding or confirming the age of Australasian rock units for the first time, many of which have contributed to our understanding of fish evolution. Smith Woodward's legacy to vertebrate palaeontology was blighted by one late middle-age misjudgement, which led him away from his first-chosen path. ASW's work, especially on palaeoichthyology with his four-part Catalogue of Fossil Fishes, was one of the foundations for vertebrate palaeontology in Australia; it continues to resonate, and influenced subsequent generations via his unofficial student Edwin Sherbon Hills. Some taxa, however, have never been revisited.</t>
  </si>
  <si>
    <t>[Turner, Susan] Queensland Museum Ancient Environm, 122 Gerler Rd, Hendra, Qld 4011, Australia; [Turner, Susan] Curtin Univ, Dept WA OIGC Appl Chem, Perth, WA 6102, Australia; [Turner, Susan] Monash Univ, Sch Geosci, Melbourne, Vic 3800, Australia; [Long, John] Flinders Univ S Australia, Sch Biol Sci, GPO Box 2100, Adelaide, SA 5001, Australia</t>
  </si>
  <si>
    <t>Curtin University; Monash University; Flinders University South Australia</t>
  </si>
  <si>
    <t>Turner, S (corresponding author), Queensland Museum Ancient Environm, 122 Gerler Rd, Hendra, Qld 4011, Australia.;Turner, S (corresponding author), Curtin Univ, Dept WA OIGC Appl Chem, Perth, WA 6102, Australia.;Turner, S (corresponding author), Monash Univ, Sch Geosci, Melbourne, Vic 3800, Australia.</t>
  </si>
  <si>
    <t>paleodeadfish@yahoo.com</t>
  </si>
  <si>
    <t>Turner, Susan/AAS-6992-2021</t>
  </si>
  <si>
    <t>Long, John/0000-0001-8012-0114</t>
  </si>
  <si>
    <t>GEOLOGICAL SOC PUBLISHING HOUSE</t>
  </si>
  <si>
    <t>BATH</t>
  </si>
  <si>
    <t>UNIT 7, BRASSMILL ENTERPRISE CTR, BRASSMILL LANE, BATH BA1 3JN, AVON, ENGLAND</t>
  </si>
  <si>
    <t>0305-8719</t>
  </si>
  <si>
    <t>978-1-86239-741-5</t>
  </si>
  <si>
    <t>GEOL SOC SPEC PUBL</t>
  </si>
  <si>
    <t>Geol. Soc. Spec. Publ.</t>
  </si>
  <si>
    <t>10.1144/SP430.15</t>
  </si>
  <si>
    <t>10.1144/SP430</t>
  </si>
  <si>
    <t>Geology; Paleontology</t>
  </si>
  <si>
    <t>BE9HN</t>
  </si>
  <si>
    <t>WOS:000377566400015</t>
  </si>
  <si>
    <t>Lenton, A; Tilbrook, B; Matear, RJ; Sasse, TP; Nojiri, Y</t>
  </si>
  <si>
    <t>Lenton, Andrew; Tilbrook, Bronte; Matear, Richard J.; Sasse, Tristan P.; Nojiri, Yukihiro</t>
  </si>
  <si>
    <t>Historical reconstruction of ocean acidification in the Australian region</t>
  </si>
  <si>
    <t>CLIMATE-CHANGE; CARBONIC-ACID; SEAWATER; SEA; SALINITIES; TRENDS; CALCIFICATION; DISSOCIATION; TEMPERATURES; VARIABILITY</t>
  </si>
  <si>
    <t>The ocean has become more acidic over the last 200 years in response increasing atmospheric carbon dioxide (CO2) levels. Documenting how the ocean has changed is critical for assessing how these changes impact marine ecosystems and for the management of marine resources. Here we use present-day ocean carbon observations, from shelf and offshore waters around Australia, combined with neural network mapping of CO2, sea surface temperature, and salinity to estimate the current seasonal and regional distributions of carbonate chemistry (pH and aragonite saturation state). The observed changes in atmospheric CO2 and sea surface temperature (SST) and climatological salinity are then used to reconstruct pH and aragonite saturation state changes over the last 140 years (1870-2013). The comparison with data collected at Integrated Marine Observing System National Reference Station sites located on the shelf around Australia shows that both the mean state and seasonality in the present day are well represented, with the exception of sites such as the Great Barrier Reef. Our reconstruction predicts that since 1870 decrease in aragonite saturation state of 0.48 and of 0.09 in pH has occurred in response to increasing oceanic uptake of atmospheric CO2. Large seasonal variability in pH and aragonite saturation state occur in southwestern Australia driven by ocean dynamics (mixing) and in the Tasman Sea by seasonal warming (in the case of the aragonite saturation state). The seasonal and historical changes in aragonite saturation state and pH have different spatial patterns and suggest that the biological responses to ocean acidification are likely to be non-uniform depending on the relative sensitivity of organisms to shifts in pH and saturation state. This new historical reconstruction provides an important link to biological observations that will help to elucidate the consequences of ocean acidification.</t>
  </si>
  <si>
    <t>[Lenton, Andrew; Tilbrook, Bronte; Matear, Richard J.] CSIRO Oceans &amp; Atmosphere, Hobart, Tas, Australia; [Tilbrook, Bronte] Antarctic Climate &amp; Ecosyst Cooperat Res Ctr, Hobart, Tas, Australia; [Sasse, Tristan P.] Univ New S Wales, Climate Change Res Ctr, Kensington Campus, Sydney, NSW, Australia; [Nojiri, Yukihiro] Natl Inst Environm Studies, Tsukuba, Ibaraki, Japan</t>
  </si>
  <si>
    <t>Commonwealth Scientific &amp; Industrial Research Organisation (CSIRO); Antarctic Climate &amp; Ecosystems Cooperative Research Centre (ACE CRC); University of New South Wales Sydney; National Institute for Environmental Studies - Japan</t>
  </si>
  <si>
    <t>Lenton, A (corresponding author), CSIRO Oceans &amp; Atmosphere, Hobart, Tas, Australia.</t>
  </si>
  <si>
    <t>andrew.lenton@csiro.au</t>
  </si>
  <si>
    <t>Nojiri, Yukihiro/D-1999-2010; Tilbrook, Bronte/W-4007-2019; matear, richard/C-5133-2011; Lenton, Andrew/D-2077-2012</t>
  </si>
  <si>
    <t>Nojiri, Yukihiro/0000-0001-9885-9195; Tilbrook, Bronte/0000-0001-9385-3827; matear, richard/0000-0002-3225-0800; Lenton, Andrew/0000-0001-9437-8896</t>
  </si>
  <si>
    <t>Australian Climate Change Science Program; JSPS KAKENHI [26220102]; Grants-in-Aid for Scientific Research [26220102] Funding Source: KAKEN</t>
  </si>
  <si>
    <t>Australian Climate Change Science Program;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</si>
  <si>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Andrew Lenton, Bronte Tilbrook, and Richard J. Matear acknowledge support from the Australian Climate Change Science Program. Tristan P. Sasse would like to acknowledge funding support for the CSIRO carbon cluster. Yukihiro Nojiri was supported by JSPS KAKENHI Grant no. 26220102. The authors would like to thank the Integrated Marine Observing System (IMOS) for providing data from the Australian National Research Sites (NRSs) and Kate Berry and Kristina Patterson for their analysis of the observed carbon data.</t>
  </si>
  <si>
    <t>10.5194/bg-13-1753-2016</t>
  </si>
  <si>
    <t>DN7RD</t>
  </si>
  <si>
    <t>WOS:000377274100003</t>
  </si>
  <si>
    <t>Lucieer, VL; Forrest, AL</t>
  </si>
  <si>
    <t>Finkl, CW; Makowski, C</t>
  </si>
  <si>
    <t>Lucieer, Vanessa L.; Forrest, Alexander L.</t>
  </si>
  <si>
    <t>Emerging Mapping Techniques for Autonomous Underwater Vehicles (AUVs)</t>
  </si>
  <si>
    <t>SEAFLOOR MAPPING ALONG CONTINENTAL SHELVES: RESEARCH AND TECHNIQUES FOR VISUALIZING BENTHIC ENVIRONMENTS</t>
  </si>
  <si>
    <t>Coastal Research Library</t>
  </si>
  <si>
    <t>HIGH-RESOLUTION; TURBULENCE MEASUREMENTS; SEA-ICE; OCEANOGRAPHY; ABUNDANCE; DRIVEN; SOUTH</t>
  </si>
  <si>
    <t>Seafloor environments at ever increasing depths on the continental shelf are being resolved at ever higher resolutions as a result of changing sensor technologies and, in part, with the emergence of Autonomous Underwater Vehicles (AUVs) as stable survey platforms. The new age of underwater robots to act as platforms which we can use to deploy sensors to gather information in the ocean is only limited by our imagination. This chapter provides an overview of this technology for applications on the continental shelf. It explores the basic fundamentals of AUV operation and the types of associated instrumentation, the current state of commercial and academic activity and the broad disciplines across which AUVs are currently been employed. AUVs are highly effective tools for sampling in continental shelf marine environments because: (1) they are untethered and can conduct non-destructive sampling in remote habitats (e. g. under ice shelves and over complex terrain) and in depths &gt; 1000 m; (2) they can repeat spatial surveys with a high degree of precision over time; and (3) they can be equipped with a wide range of tools and sensors to sample both physical, chemical and biological data. Unfortunately by the time this chapter is in print, it realistically will already be out of date, as a result of the speed of the technological advancement in this discipline of underwater engineering.</t>
  </si>
  <si>
    <t>[Lucieer, Vanessa L.; Forrest, Alexander L.] Univ Tasmania, Inst Marine &amp; Antarctic Studies, Hobart, Tas, Australia; [Lucieer, Vanessa L.; Forrest, Alexander L.] Univ Tasmania, Australian Maritime Coll, Hobart, Tas, Australia</t>
  </si>
  <si>
    <t>University of Tasmania; University of Tasmania; Australian Maritime College</t>
  </si>
  <si>
    <t>Lucieer, VL (corresponding author), Univ Tasmania, Inst Marine &amp; Antarctic Studies, Hobart, Tas, Australia.</t>
  </si>
  <si>
    <t>Vanessa.Lucieer@utas.edu.au</t>
  </si>
  <si>
    <t>Forrest, Alexander L/C-3765-2014; Lucieer, Vanessa/D-1697-2009</t>
  </si>
  <si>
    <t>Lucieer, Vanessa/0000-0001-7531-5750</t>
  </si>
  <si>
    <t>2211-0577</t>
  </si>
  <si>
    <t>2211-0585</t>
  </si>
  <si>
    <t>978-3-319-25121-9; 978-3-319-25119-6</t>
  </si>
  <si>
    <t>COAST RES LIBR</t>
  </si>
  <si>
    <t>10.1007/978-3-319-25121-9_2</t>
  </si>
  <si>
    <t>10.1007/978-3-319-25121-9</t>
  </si>
  <si>
    <t>Geography, Physical; Oceanography</t>
  </si>
  <si>
    <t>Physical Geography; Oceanography</t>
  </si>
  <si>
    <t>BE8AE</t>
  </si>
  <si>
    <t>WOS:000376129800003</t>
  </si>
  <si>
    <t>Schlosser, E; Stenni, B; Valt, M; Cagnati, A; Powers, JG; Manning, KW; Raphael, M; Duda, MG</t>
  </si>
  <si>
    <t>Schlosser, Elisabeth; Stenni, Barbara; Valt, Mauro; Cagnati, Anselmo; Powers, Jordan G.; Manning, Kevin W.; Raphael, Marilyn; Duda, Michael G.</t>
  </si>
  <si>
    <t>Precipitation and synoptic regime in two extreme years 2009 and 2010 at Dome C, Antarctica - implications for ice core interpretation</t>
  </si>
  <si>
    <t>DRONNING MAUD LAND; EAST ANTARCTICA; SOUTHERN-HEMISPHERE; SNOW ACCUMULATION; WEATHER RESEARCH; PART I; PREDICTION; CLIMATE; VARIABILITY; CIRCULATION</t>
  </si>
  <si>
    <t>At the East Antarctic deep ice core drilling site Dome C, daily precipitation measurements were initiated in 2006 and are being continued until today. The amounts and stable isotope ratios of the precipitation samples as well as crystal types are determined. Within the measuring period, the two years 2009 and 2010 showed striking contrasting temperature and precipitation anomalies, particularly in the winter seasons. The reasons for these anomalies are analysed using data from the mesoscale atmospheric model WRF (Weather Research and Forecasting Model) run under the Antarctic Mesoscale Prediction System (AMPS). 2009 was relatively warm and moist due to frequent warm air intrusions connected to amplification of Rossby waves in the circumpolar westerlies, whereas the winter of 2010 was extremely dry and cold. It is shown that while in 2010 a strong zonal atmospheric flow was dominant, in 2009 an enhanced meridional flow prevailed, which increased the meridional transport of heat and moisture onto the East Antarctic plateau and led to a number of high-precipitation/warming events at Dome C. This was also evident in a positive (negative) SAM (Southern Annular Mode) index and a negative (positive) ZW3 (zonal wave number three) index during the winter months of 2010 (2009). Changes in the frequency or seasonality of such event-type precipitation can lead to a strong bias in the air temperature derived from stable water isotopes in ice cores.</t>
  </si>
  <si>
    <t>[Schlosser, Elisabeth] Univ Innsbruck, Inst Atmospher &amp; Cryospher Sci, A-6020 Innsbruck, Austria; [Schlosser, Elisabeth] Austrian Polar Res Inst, Vienna, Austria; [Stenni, Barbara] Univ Venice, Dept Environm Sci Informat &amp; Stat, I-30123 Venice, Italy; [Valt, Mauro; Cagnati, Anselmo] Agenzia Reg Prevenz &amp; Protenz Ambienale Veneto, ARPA Ctr Avalanches, Veneto, Italy; [Powers, Jordan G.; Manning, Kevin W.; Duda, Michael G.] Natl Ctr Atmospher Res, POB 3000, Boulder, CO 80307 USA; [Raphael, Marilyn] Univ Calif Los Angeles, Dept Geog, Los Angeles, CA 90024 USA</t>
  </si>
  <si>
    <t>University of Innsbruck; Universita Ca Foscari Venezia; Regional Environmental Protection Agency - Italy; National Center Atmospheric Research (NCAR) - USA; University of California System; University of California Los Angeles</t>
  </si>
  <si>
    <t>Schlosser, E (corresponding author), Univ Innsbruck, Inst Atmospher &amp; Cryospher Sci, A-6020 Innsbruck, Austria.;Schlosser, E (corresponding author), Austrian Polar Res Inst, Vienna, Austria.</t>
  </si>
  <si>
    <t>elisabeth.schlosser@uibk.ac.at</t>
  </si>
  <si>
    <t>Stenni, Barbara/0000-0003-4950-3664; Schlosser, Elisabeth/0000-0003-3659-240X</t>
  </si>
  <si>
    <t>PNRA-MIUR; Austrian Science Funds (FWF) [P24223]; US National Science Foundation, Division of Polar Programs; University of Wisconsin-Madison Automatic Weather Station Program with the Dome C II data set. (NSF) [ANT-0944018, ANT-12456663]; Austrian Science Fund (FWF) [P24223] Funding Source: Austrian Science Fund (FWF)</t>
  </si>
  <si>
    <t>PNRA-MIUR; Austrian Science Funds (FWF)(Austrian Science Fund (FWF)); US National Science Foundation, Division of Polar Programs(National Science Foundation (NSF)); University of Wisconsin-Madison Automatic Weather Station Program with the Dome C II data set. (NSF)(National Science Foundation (NSF)); Austrian Science Fund (FWF)(Austrian Science Fund (FWF))</t>
  </si>
  <si>
    <t>The precipitation measurements at Dome C have been conducted in the framework of the Concordia station glaciology and ESF PolarCLIMATE HOLOCLIP projects funded in Italy by PNRA-MIUR. This is a HOLOCIP publication no. 27. The present study is financed by the Austrian Science Funds (FWF) under grant P24223. AMPS is supported by the US National Science Foundation, Division of Polar Programs. We appreciate the support of the University of Wisconsin-Madison Automatic Weather Station Program with the Dome C II data set. (NSF grant nos. ANT-0944018 and ANT-12456663). We thank Gareth Marshall for providing the SAM indices online. We thank all winterers at Dome C, who did the precipitation sampling. We also thank our editor, Heini Wernli, and Harald Sodemann and two anonymous reviewers for helpful comments that improved the manuscript.</t>
  </si>
  <si>
    <t>10.5194/acp-16-4757-2016</t>
  </si>
  <si>
    <t>DN3BK</t>
  </si>
  <si>
    <t>WOS:000376937000001</t>
  </si>
  <si>
    <t>Ravizza, M; Giosio, D; Henderson, A; Hovenden, M; Hudson, M; Salleh, S; Sargison, J; Shaw, JL; Walker, J; Hallegraeff, G</t>
  </si>
  <si>
    <t>Ravizza, Matilde; Giosio, Dean; Henderson, Alan; Hovenden, Mark; Hudson, Monica; Salleh, Sazlina; Sargison, Jane; Shaw, Jennifer L.; Walker, Jessica; Hallegraeff, Gustaaf</t>
  </si>
  <si>
    <t>Light as a key driver of freshwater biofouling surface roughness in an experimental hydrocanal pipe rig</t>
  </si>
  <si>
    <t>BIOFOULING</t>
  </si>
  <si>
    <t>Diatoms; freshwater fouling; pipeline rig; microfouling</t>
  </si>
  <si>
    <t>DARK; SURVIVAL; DIATOMS</t>
  </si>
  <si>
    <t>Biofouling in canals and pipelines used for hydroelectric power generation decreases the flow capacity of conduits. A pipeline rig was designed consisting of test sections of varying substrata (PVC, painted steel) and light levels (transparent, frosted, opaque). Stalk-forming diatoms were abundant in both the frosted and transparent PVC pipes but negligible in the painted steel and opaque PVC pipes. Fungi were slightly more abundant in the painted steel pipe but equally present in all the other pipes while bacterial diversity was similar in all pipes. Photosynthetically functional biofouling (mainly diatoms) was able to develop in near darkness. Different biological fouling compositions generated differing friction factors. The highest friction factor was observed in the transparent pipe (densest diatom fouling), the lowest peak friction for the opaque PVC pipe (lowest fouling biomass), and with the painted steel pipe (high fouling biomass, but composed of fungal and bacterial crusts) being intermediate between the opaque and frosted PVC pipes.</t>
  </si>
  <si>
    <t>[Ravizza, Matilde; Hallegraeff, Gustaaf] Univ Tasmania, Inst Marine &amp; Antarctic Studies, Hobart, Australia; [Giosio, Dean; Henderson, Alan; Hudson, Monica; Sargison, Jane; Walker, Jessica] Univ Tasmania, Sch Engn, Hobart, Australia; [Giosio, Dean; Henderson, Alan; Hudson, Monica; Sargison, Jane; Walker, Jessica] Univ Tasmania, ICT, Hobart, Australia; [Hovenden, Mark] Univ Tasmania, Sch Biol Sci, Hobart, Australia; [Hudson, Monica] HydroTasmania, Hobart, Australia; [Salleh, Sazlina] Univ Sains Malaysia, Ctr Policy Res &amp; Int Studies, George Town, Malaysia; [Sargison, Jane] JSA Consulting Engineers, Hobart, Australia; [Shaw, Jennifer L.] Univ Adelaide, Sch Earth &amp; Environm Sci, Australian Ctr Ancient DNA, Adelaide, SA, Australia; [Walker, Jessica] Univ Tasmania, Australian Maritime Coll, Hobart, Australia</t>
  </si>
  <si>
    <t>University of Tasmania; University of Tasmania; University of Tasmania; University of Tasmania; Universiti Sains Malaysia; University of Adelaide; University of Tasmania; Australian Maritime College</t>
  </si>
  <si>
    <t>Hallegraeff, G (corresponding author), Univ Tasmania, Inst Marine &amp; Antarctic Studies, Hobart, Australia.</t>
  </si>
  <si>
    <t>Hallegraeff@utas.edu.au</t>
  </si>
  <si>
    <t>Salleh, Sazlina/I-1150-2012; Shaw, Jennifer L. A./H-1482-2016; Henderson, Alan/AAY-2057-2020; Walker, Jessica/N-7144-2013; Hallegraeff, Gustaaf/C-8351-2013; Hovenden, Mark/A-1323-2008</t>
  </si>
  <si>
    <t>Salleh, Sazlina/0000-0002-8789-3387; Henderson, Alan/0000-0002-7359-6402; Walker, Jessica/0000-0001-5151-1693; Hallegraeff, Gustaaf/0000-0001-8464-7343; Shaw, Jennifer/0000-0002-4220-9748; Hovenden, Mark/0000-0001-7208-9700</t>
  </si>
  <si>
    <t>Australia Research Council [LP100100700]; Australian Research Council [LP100100700] Funding Source: Australian Research Council</t>
  </si>
  <si>
    <t>Australia Research Council(Australian Research Council); Australian Research Council(Australian Research Council)</t>
  </si>
  <si>
    <t>This work was supported by an Australia Research Council Linkage grant [ LP100100700].</t>
  </si>
  <si>
    <t>0892-7014</t>
  </si>
  <si>
    <t>1029-2454</t>
  </si>
  <si>
    <t>Biofouling</t>
  </si>
  <si>
    <t>10.1080/08927014.2016.1184255</t>
  </si>
  <si>
    <t>Biotechnology &amp; Applied Microbiology; Marine &amp; Freshwater Biology</t>
  </si>
  <si>
    <t>DN5NX</t>
  </si>
  <si>
    <t>WOS:000377117900007</t>
  </si>
  <si>
    <t>Frieler, K; Mengel, M; Levermann, A</t>
  </si>
  <si>
    <t>Frieler, K.; Mengel, M.; Levermann, A.</t>
  </si>
  <si>
    <t>Delaying future sea-level rise by storing water in Antarctica</t>
  </si>
  <si>
    <t>EARTH SYSTEM DYNAMICS</t>
  </si>
  <si>
    <t>CLIMATE-CHANGE; ICE; MODEL; COLLAPSE; GREENLAND; DISCHARGE; SURFACE</t>
  </si>
  <si>
    <t>Even if greenhouse gas emissions were stopped today, sea level would continue to rise for centuries, with the long-term sea-level commitment of a 2 degrees C warmer world significantly exceeding 2 m. In view of the potential implications for coastal populations and ecosystems worldwide, we investigate, from an ice-dynamic perspective, the possibility of delaying sea-level rise by pumping ocean water onto the surface of the Antarctic ice sheet. We find that due to wave propagation ice is discharged much faster back into the ocean than would be expected from a pure advection with surface velocities. The delay time depends strongly on the distance from the coastline at which the additional mass is placed and less strongly on the rate of sea-level rise that is mitigated. A millennium-scale storage of at least 80% of the additional ice requires placing it at a distance of at least 700 km from the coastline. The pumping energy required to elevate the potential energy of ocean water to mitigate the currently observed 3 mmyr(-1) will exceed 7% of the current global primary energy supply. At the same time, the approach offers a comprehensive protection for entire coastlines particularly including regions that cannot be protected by dikes.</t>
  </si>
  <si>
    <t>[Frieler, K.; Mengel, M.; Levermann, A.] Potsdam Inst Climate Impact Res, Potsdam, Germany; [Levermann, A.] Univ Potsdam, Inst Phys, Potsdam, Germany; [Levermann, A.] Columbia Univ, Lamont Doherty Earth Observ, New York, NY USA</t>
  </si>
  <si>
    <t>Potsdam Institut fur Klimafolgenforschung; University of Potsdam; Columbia University</t>
  </si>
  <si>
    <t>Levermann, A (corresponding author), Potsdam Inst Climate Impact Res, Potsdam, Germany.;Levermann, A (corresponding author), Univ Potsdam, Inst Phys, Potsdam, Germany.;Levermann, A (corresponding author), Columbia Univ, Lamont Doherty Earth Observ, New York, NY USA.</t>
  </si>
  <si>
    <t>anders.levermann@pik-potsdam.de</t>
  </si>
  <si>
    <t>Levermann, Anders/G-4666-2011</t>
  </si>
  <si>
    <t>Levermann, Anders/0000-0003-4432-4704; Frieler, Katja/0000-0003-4869-3013; Mengel, Matthias/0000-0001-6724-9685</t>
  </si>
  <si>
    <t>2190-4979</t>
  </si>
  <si>
    <t>2190-4987</t>
  </si>
  <si>
    <t>EARTH SYST DYNAM</t>
  </si>
  <si>
    <t>Earth Syst. Dynam.</t>
  </si>
  <si>
    <t>10.5194/esd-7-203-2016</t>
  </si>
  <si>
    <t>DN6WM</t>
  </si>
  <si>
    <t>WOS:000377217200012</t>
  </si>
  <si>
    <t>Werner, M; Haese, B; Xu, X; Zhang, X; Butzin, M; Lohmann, G</t>
  </si>
  <si>
    <t>Werner, M.; Haese, B.; Xu, X.; Zhang, X.; Butzin, M.; Lohmann, G.</t>
  </si>
  <si>
    <t>Glacial-interglacial changes in H218O, HDO and deuterium excess - results from the fully coupled ECHAM5/MPI-OM Earth system model</t>
  </si>
  <si>
    <t>GENERAL-CIRCULATION MODEL; ICE CORE RECORDS; ORBITAL-SCALE CHANGES; OXYGEN-ISOTOPE; WATER-VAPOR; CLIMATE MODEL; STABLE-ISOTOPES; CAMP CENTURY; OCEAN; PRECIPITATION</t>
  </si>
  <si>
    <t>In this study we present the first results of a new isotope-enabled general circulation model set-up. The model consists of the fully coupled ECHAM5/MPI-OM atmosphere-ocean model, enhanced by the JSBACH interactive land surface scheme and an explicit hydrological discharge scheme to close the global water budget. Stable water isotopes (H2O)-O-18 and HDO have been incorporated into all relevant model components. Results of two equilibrium simulations under pre-industrial and Last Glacial Maximum conditions are analysed and compared to observational data and paleoclimate records for evaluating the model's performance in simulating spatial and temporal variations in the isotopic composition of the Earth's water cycle. For the pre-industrial climate, many aspects of the simulation results of meteoric waters are in good to very good agreement with both observations and earlier atmosphere-only simulations. The model is capable of adequately simulating the large spread in the isotopic composition of precipitation between low and high latitudes. A comparison to available ocean data also shows a good model-data agreement; however, a strong bias of overly depleted ocean surface waters is detected for the Arctic region. Simulation results under Last Glacial Maximum boundary conditions also fit to the wealth of available isotope records from polar ice cores, speleothems, as well as marine calcite data. Data-model evaluation of the isotopic composition in precipitation reveals a good match of the model results and indicates that the temporal glacial-interglacial isotope-temperature relation was substantially lower than the present spatial gradient for most mid-to high-latitudinal regions. As compared to older atmosphere-only simulations, a remarkable improvement is achieved for the modelling of the deuterium excess signal in Antarctic ice cores. Our simulation results indicate that cool sub-tropical and mid-latitudinal sea surface temperatures are key for this progress. A recently discussed revised interpretation of the deuterium excess record of Antarctic ice cores in terms of marine relative humidity changes on glacial-interglacial timescales is not supported by our model results.</t>
  </si>
  <si>
    <t>[Werner, M.; Haese, B.; Xu, X.; Zhang, X.; Butzin, M.; Lohmann, G.] Alfred Wegener Inst, Helmholtz Ctr Polar &amp; Marine Sci, Bremerhaven, Germany; [Haese, B.] Univ Augsburg, Chair Reg Climate &amp; Hydrol, D-86159 Augsburg, Germany; [Xu, X.] Univ Kiel, Dept Geol, Inst Geosci, Kiel, Germany</t>
  </si>
  <si>
    <t>Helmholtz Association; Alfred Wegener Institute, Helmholtz Centre for Polar &amp; Marine Research; University of Augsburg; University of Kiel</t>
  </si>
  <si>
    <t>Werner, M (corresponding author), Alfred Wegener Inst, Helmholtz Ctr Polar &amp; Marine Sci, Bremerhaven, Germany.</t>
  </si>
  <si>
    <t>martin.werner@awi.de</t>
  </si>
  <si>
    <t>Zhang, Xu/AFX-8847-2022; Lohmann, Gerrit/M-7453-2016; Werner, Martin/C-8067-2014</t>
  </si>
  <si>
    <t>Zhang, Xu/0000-0003-1833-9689; Lohmann, Gerrit/0000-0003-2089-733X; Werner, Martin/0000-0002-6473-0243; Butzin, Martin/0000-0002-9275-7304</t>
  </si>
  <si>
    <t>Deutsche Forschungsgemeinschaft (DFG) as part of the project HYDRACENE (A new hydrogen-isotope approach to understand north African monsoon changes in the Holocene) within Special Priority Programme INTERDYNAMIK; Russian government [11.G34.31.0064]</t>
  </si>
  <si>
    <t>Deutsche Forschungsgemeinschaft (DFG) as part of the project HYDRACENE (A new hydrogen-isotope approach to understand north African monsoon changes in the Holocene) within Special Priority Programme INTERDYNAMIK(German Research Foundation (DFG)); Russian government</t>
  </si>
  <si>
    <t>The work of B. Haese was funded by Deutsche Forschungsgemeinschaft (DFG) as part of the project HYDRACENE (A new hydrogen-isotope approach to understand north African monsoon changes in the Holocene) within the framework of the Special Priority Programme INTERDYNAMIK. The work of M. Butzin was supported by a grant from the Russian government under the contract 11.G34.31.0064. We also thank three anonymous referees for their work and constructive comments to improve the manuscript.</t>
  </si>
  <si>
    <t>10.5194/gmd-9-647-2016</t>
  </si>
  <si>
    <t>DN3AF</t>
  </si>
  <si>
    <t>Green Submitted, Green Accepted, gold</t>
  </si>
  <si>
    <t>WOS:000376933700010</t>
  </si>
  <si>
    <t>Durand, A; Chase, Z; Townsend, AT; Noble, T; Panietz, E; Goemann, K</t>
  </si>
  <si>
    <t>Durand, Axel; Chase, Zanna; Townsend, Ashley T.; Noble, Taryn; Panietz, Emily; Goemann, Karsten</t>
  </si>
  <si>
    <t>Improved methodology for the microwave digestion of carbonate-rich environmental samples</t>
  </si>
  <si>
    <t>INTERNATIONAL JOURNAL OF ENVIRONMENTAL ANALYTICAL CHEMISTRY</t>
  </si>
  <si>
    <t>Microwave digestion; carbonate-rich sediment; fluoride precipitate; ICP-MS</t>
  </si>
  <si>
    <t>PLASMA-MASS SPECTROMETRY; ASSISTED DIGESTION; MARINE-SEDIMENTS; ACID DIGESTION; ICP-MS; ROCK SAMPLES; TRACE-METALS; WATER; PROTOACTINIUM; FRACTIONATION</t>
  </si>
  <si>
    <t>Microwave-assisted digestion permits a rapid and total dissolution of sediments and various other sample types, allowing easier and more accurate multi-element determinations. In this study, we present an optimised microwave digestion method for the complete digestion of 200 mg of carbonate-rich sediments. The optimised method prevents the formation of precipitates and assures a complete dissolution of the material. The optimised method involves treatment with concentrated hydrochloric acid (HCl) prior to microwave digestion, which prevents the formation of an insoluble calcium fluoride precipitate associated with the use of hydrofluoric acid (HF). Three different certified reference samples along with a pure calcium carbonate standard and a carbonate-rich in-house marine sediment sample were considered. Sediments were found to only be partially digested if insufficient HF was present, while a noticeable fluoride-based precipitate was found if excess HF was present. Twenty elements were analysed using sector field inductively coupled plasma mass spectrometry (ICP-MS) (Al, Ag, Ba, Ca, Cd, Co, Cr, Cu, Fe, Mg, Mn, Mo, Na, Ni, Sr, Th, Ti, U, V and Zn). A total sample digestion with average elemental recoveries above 90% was obtained by reacting carbonate-rich samples with HCl on a hotplate at 150 degrees C for 2 h (time for the total release of generated CO2), prior to any microwave digestion step. This extra step prevented the accumulation of gas in the sealed vessels during digestion, which would otherwise influence the carbonate chemical equilibria and make insoluble calcium available for precipitation. After this initial treatment, the improved digestion method consisted of microwave attack employing a mix of concentrated HCl, nitric acid (HNO3) and HF (4 mL/10 mL/2 mL), followed by evaporation on a hotplate. The limits of detection (LOD) obtained using the optimised microwave protocol and ICP-MS measurements were below 0.1 mu g/kg for the trace elements and below 0.2 mg/kg for major elements.</t>
  </si>
  <si>
    <t>[Durand, Axel; Chase, Zanna; Noble, Taryn; Panietz, Emily] Univ Tasmania, Inst Marine &amp; Antarctic Studies, Hobart, Tas 7001, Australia; [Townsend, Ashley T.; Goemann, Karsten] Univ Tasmania, Cent Sci Lab, Hobart, Tas 7001, Australia</t>
  </si>
  <si>
    <t>Durand, A (corresponding author), Univ Tasmania, Inst Marine &amp; Antarctic Studies, Hobart, Tas 7001, Australia.</t>
  </si>
  <si>
    <t>axel.durand@utas.edu.au</t>
  </si>
  <si>
    <t>Kamenetsky, Vadim/CAF-7424-2022; Townsend, Ashley/J-7445-2014; Chase, Zanna/E-9232-2013; Goemann, Karsten/J-7812-2014</t>
  </si>
  <si>
    <t>Townsend, Ashley/0000-0002-2972-2678; Chase, Zanna/0000-0001-5060-779X; Noble, Taryn/0000-0002-5708-751X; Goemann, Karsten/0000-0002-8136-3617</t>
  </si>
  <si>
    <t>Australia-New Zealand IODP Consortium (ANZIC); ARC Future Fellowship [FT120100759]; ARC LIEF funds [LE0989539]; Australian Research Council [FT120100759] Funding Source: Australian Research Council</t>
  </si>
  <si>
    <t>Australia-New Zealand IODP Consortium (ANZIC); ARC Future Fellowship(Australian Research Council); ARC LIEF funds(Australian Research Council); Australian Research Council(Australian Research Council)</t>
  </si>
  <si>
    <t>This work was supported by the Australia-New Zealand IODP Consortium (ANZIC) and by an ARC Future Fellowship awarded to Zanna Chase [grant number FT120100759]. Access to ICP-MS instrumentation was supported through ARC LIEF funds [grant number LE0989539].</t>
  </si>
  <si>
    <t>0306-7319</t>
  </si>
  <si>
    <t>1029-0397</t>
  </si>
  <si>
    <t>INT J ENVIRON AN CH</t>
  </si>
  <si>
    <t>Int. J. Environ. Anal. Chem.</t>
  </si>
  <si>
    <t>10.1080/03067319.2015.1137904</t>
  </si>
  <si>
    <t>Chemistry, Analytical; Environmental Sciences</t>
  </si>
  <si>
    <t>Chemistry; Environmental Sciences &amp; Ecology</t>
  </si>
  <si>
    <t>DN2XH</t>
  </si>
  <si>
    <t>WOS:000376925800002</t>
  </si>
  <si>
    <t>Haines, SA; Mayewski, PA; Kurbatov, AV; Maasch, KA; Sneed, SB; Spaulding, NE; Dixon, DA; Bohleber, PD</t>
  </si>
  <si>
    <t>Haines, Skylar A.; Mayewski, Paul A.; Kurbatov, Andrei V.; Maasch, Kirk A.; Sneed, Sharon B.; Spaulding, Nicole E.; Dixon, Daniel A.; Bohleber, Pascal D.</t>
  </si>
  <si>
    <t>Ultra-high resolution snapshots of three multi-decadal periods in an Antarctic ice core</t>
  </si>
  <si>
    <t>climate change; glaciology; high resolution sampling; ice cores</t>
  </si>
  <si>
    <t>SIPLE DOME; ACCUMULATION; IRON</t>
  </si>
  <si>
    <t>We offer the first sub-seasonal view of glacial age archives from the Siple Dome-A (SDMA) ice core using the ultra-high resolution capabilities of a newly developed laser ablation-inductively coupled plasma-mass spectrometry (LA-ICP-MS; 121 mu m sampling resolution) system capable of conducting multi-element glaciochemical analysis. Our ultra-high resolution data demonstrates that: (1) the SDMA ice core record can be annually dated based on seasonality in chemical inputs at a depth not previously possible using previous glaciochemical sampling methods, (2) winter accumulation at the SD site was greater than summer accumulation during the three late glacial periods selected (similar to 15.3, 17.3, 21.4 Ka ago) in this study and (3) resulting annual layer thicknesses results show greater variability than the current SD ice core depth/age model (Brook and others, 2005), possibly due to depositional effects such as wind scouring and/or decadal variability in snow accumulation that is not captured by the resolution of the current depth/age model.</t>
  </si>
  <si>
    <t>[Haines, Skylar A.; Mayewski, Paul A.; Kurbatov, Andrei V.; Maasch, Kirk A.; Sneed, Sharon B.; Spaulding, Nicole E.; Dixon, Daniel A.; Bohleber, Pascal D.] Univ Maine, Climate Change Inst, Orono, ME USA; [Mayewski, Paul A.; Kurbatov, Andrei V.; Maasch, Kirk A.] Univ Maine, Sch Earth &amp; Climate Sci, Orono, ME USA</t>
  </si>
  <si>
    <t>University of Maine System; University of Maine Orono; University of Maine System; University of Maine Orono</t>
  </si>
  <si>
    <t>Haines, SA (corresponding author), Univ Maine, Climate Change Inst, Orono, ME USA.</t>
  </si>
  <si>
    <t>skylar.haines@maine.edu</t>
  </si>
  <si>
    <t>Bohleber, Pascal/AAM-8839-2020; Mayewski, Paul Andrew/HRD-6969-2023; Maasch, Kirk/JMQ-8426-2023</t>
  </si>
  <si>
    <t>Spaulding, Nicole/0000-0001-5159-3078; Kurbatov, Andrei/0000-0002-9819-9251; Maasch, Kirk Allen/0000-0002-8658-8030</t>
  </si>
  <si>
    <t>National Science Foundation [1203640, 1042883]</t>
  </si>
  <si>
    <t>This work was supported by National Science Foundation grants no. 1203640 and 1042883 to P. Mayewski. Data used in this paper are available at http://nsidc.org/data/nsidc-0636.</t>
  </si>
  <si>
    <t>10.1017/jog.2016.5</t>
  </si>
  <si>
    <t>DN1PR</t>
  </si>
  <si>
    <t>WOS:000376838400003</t>
  </si>
  <si>
    <t>Mayewski, PA; Kuli, A; Casassa, G; Arévalo, M; Dixon, DA; Grigholm, B; Handley, MJ; Hoffmann, H; Introne, DS; Kuli, AG; Potocki, M; Sneed, SB</t>
  </si>
  <si>
    <t>Mayewski, P. A.; Kuli, A.; Casassa, G.; Arevalo, M.; Dixon, D. A.; Grigholm, B.; Handley, M. J.; Hoffmann, H.; Introne, D. S.; Kuli, A. G.; Potocki, M.; Sneed, S. B.</t>
  </si>
  <si>
    <t>Initial reconnaissance for a South Georgia ice core</t>
  </si>
  <si>
    <t>Sub Antarctic islands; climate change; ice cores; glacier volume; ice chemistry; radio echo sounding</t>
  </si>
  <si>
    <t>SNOW</t>
  </si>
  <si>
    <t>We present the first snow/ice chemistry and ice radar results ever collected from South Georgia as part of an initial reconnaissance with the ultimate goal of assessing the feasibility of a South Georgia ice core to reconstruct past climate in the South Atlantic. South Georgia is well situated to capture a record of past atmospheric chemical composition over the South Atlantic and of past variability in the position and intensity of the austral westerlies. The question is how well preserved an ice core record can be recovered from a region experiencing accelerated melting? The results presented in this paper offer only a preliminary step in determining the feasibility of future deep ice coring on South Georgia. However, this initial reconnaissance does provide some basic information including: the chemistry of the atmosphere over South Georgia relative to other Southern Hemisphere ice coring sites; the potential for preservation of 'annual layers' in old ice on the island; a possible age for deep ice in the region; and an estimate of glacier health in the lower elevation regions of the island.</t>
  </si>
  <si>
    <t>[Mayewski, P. A.; Kuli, A.; Dixon, D. A.; Grigholm, B.; Handley, M. J.; Introne, D. S.; Kuli, A. G.; Potocki, M.; Sneed, S. B.] Univ Maine, Climate Change Inst, Orono, ME USA; [Casassa, G.] Geoestudios, Santiago, Chile; [Casassa, G.; Arevalo, M.] Univ Magallanes, Punta Arenas, Chile; [Hoffmann, H.] Heidelberg Univ, Inst Umweltphys, Bergheimer Str 58, D-69115 Heidelberg, Germany</t>
  </si>
  <si>
    <t>University of Maine System; University of Maine Orono; Universidad de Magallanes; Ruprecht Karls University Heidelberg</t>
  </si>
  <si>
    <t>Mayewski, PA (corresponding author), Univ Maine, Climate Change Inst, Orono, ME USA.</t>
  </si>
  <si>
    <t>paul.mayewski@maine.edu</t>
  </si>
  <si>
    <t>Mayewski, Paul Andrew/HRD-6969-2023; Casassa, Gino/AAX-6142-2020</t>
  </si>
  <si>
    <t>Kuli Foundation; Government of the Falkland Islands; South Atlantic Environmental Research Institute in the Falkland Islands; W.M. Keck Foundation; US National Science Foundation [1042883]</t>
  </si>
  <si>
    <t>Kuli Foundation; Government of the Falkland Islands; South Atlantic Environmental Research Institute in the Falkland Islands; W.M. Keck Foundation(W.M. Keck Foundation); US National Science Foundation(National Science Foundation (NSF))</t>
  </si>
  <si>
    <t>We wish to thank the crew (Magnus Day, Kali Kahn, and Edd Hewitt) and owner Skip Novak of Pelagic Australis for their amazing support, the Kuli Foundation for their generous funding, the Government of South Georgia and the South Sandwich Islands for permission to work on South Georgia and for their remarkable oversight of the island, the Government of the Falkland Islands and the South Atlantic Environmental Research Institute in the Falkland Islands for their advice and support, the British Antarctic Survey for allowing use of their freezer at the King Edward Point Station, and for transporting our ice samples to the UK from which we could transport them to Maine, two anonymous reviewers for their helpful comments, W.M. Keck Foundation and the US National Science Foundation 1042883) for support and enhancement of the W.M. Keck Laser Ice Facility at CCI, and to the University of Heidelberg (Dietmar Wagenbach and Pascal Bohleber) for facilitating the 14C measurements.</t>
  </si>
  <si>
    <t>10.1017/jog.2016.9</t>
  </si>
  <si>
    <t>WOS:000376838400006</t>
  </si>
  <si>
    <t>Jabour, J</t>
  </si>
  <si>
    <t>Warner, R; Kaye, S</t>
  </si>
  <si>
    <t>Jabour, Julia</t>
  </si>
  <si>
    <t>The Potential to Regulate Bioprospecting for Marine Genetic Resources: Two Case Studies</t>
  </si>
  <si>
    <t>ROUTLEDGE HANDBOOK OF MARITIME REGULATION AND ENFORCEMENT</t>
  </si>
  <si>
    <t>ECOSYSTEM SERVICES; CLIMATE-CHANGE; BIODIVERSITY; CONSERVATION; AUSTRALIA; TRENDS</t>
  </si>
  <si>
    <t>[Jabour, Julia] Antarctic Treaty Consultat Meetings, Australian Govt, Louvain, Belgium</t>
  </si>
  <si>
    <t>Jabour, J (corresponding author), Antarctic Treaty Consultat Meetings, Australian Govt, Louvain, Belgium.</t>
  </si>
  <si>
    <t>Jabour, Julia A/J-7882-2014</t>
  </si>
  <si>
    <t>ROUTLEDGE</t>
  </si>
  <si>
    <t>2 PARK SQ, MILTON PARK, ABINGDON OX14 4RN, OXFORD, ENGLAND</t>
  </si>
  <si>
    <t>978-1-315-89024-1; 978-0-415-70445-8</t>
  </si>
  <si>
    <t>BE7MP</t>
  </si>
  <si>
    <t>WOS:000375578600021</t>
  </si>
  <si>
    <t>Noren, DP; Hauser, DDW</t>
  </si>
  <si>
    <t>Noren, Dawn P.; Hauser, Donna D. W.</t>
  </si>
  <si>
    <t>Surface-Based Observations Can Be Used to Assess Behavior and Fine-Scale Habitat Use by an Endangered Killer Whale (Orcinus orca) Population</t>
  </si>
  <si>
    <t>AQUATIC MAMMALS</t>
  </si>
  <si>
    <t>activity state; behavior; forage; killer whale; Orcinus orca; MPA; rest; vessel impact</t>
  </si>
  <si>
    <t>BOTTLE-NOSED DOLPHINS; MARINE PROTECTED AREAS; ANTARCTIC FUR SEALS; TURSIOPS-TRUNCATUS; FORAGING BEHAVIOR; DISTRIBUTION PATTERNS; NEW-ZEALAND; METABOLIC-RATES; WATCHING BOATS; HAURAKI GULF</t>
  </si>
  <si>
    <t>Behavioral observations can provide insight into the ecology and habitat use of marine species. Studies have shown that movement patterns are influenced by prey availability and that the presence of vessels can reduce foraging, resting, and/or social behaviors in delphinids, including killer whales (Orcinus orca). Southern resident killer whales are listed as Endangered in both the United States and Canada. Reduced prey availability and vessel disturbance are risk factors for this population. Surface observations were conducted to understand southern resident killer whale behavior and habitat use in their Endangered Species Act-designated core summer critical habitat. The activity budget comprised 70.4% travel, 21.0% forage, 6.8% rest, and 1.8% social behavior. Dive duration, surface duration, and swim speed varied significantly among activity states and validated the activity state classifications. For example, traveling killer whales swam the fastest and had the lowest surface to dive duration ratios, which presumably minimizes energetic costs while maximizing distance traveled. Movement patterns, spatial arrangements, and configurations of killer whales also varied significantly among activity states and, to some extent, varied by geographic location. We found that killer whale spatial arrangement and configuration patterns were strikingly different in two adjacent areas, indicating that these may change abruptly. This may be informative for vessel operators who are required to maintain a 182.9-m distance from killer whales. Killer whales engaged in most activity states throughout the area, but foraging and resting predominantly occurred in some localized regions. Activity budgets reported in the present and other contemporary studies differ from those reported 20 to 30 y ago. The proportion of forage in the activity budget has decreased in recent years, yet the main foraging area has persisted for several decades. These findings are important for understanding key risk factors for southern resident killer whales and may aid in formulating mitigation measures to protect them from vessel traffic and other human activities.</t>
  </si>
  <si>
    <t>[Noren, Dawn P.; Hauser, Donna D. W.] Natl Marine Fisheries Serv, Conservat Biol Div, NW Fisheries Sci Ctr, NOAA, 2725 Montlake Blvd East, Seattle, WA 98112 USA; [Hauser, Donna D. W.] Univ Washington, Sch Aquat &amp; Fishery Sci, Box 355020, Seattle, WA 98195 USA</t>
  </si>
  <si>
    <t>National Oceanic Atmospheric Admin (NOAA) - USA; University of Washington; University of Washington Seattle</t>
  </si>
  <si>
    <t>Noren, DP (corresponding author), Natl Marine Fisheries Serv, Conservat Biol Div, NW Fisheries Sci Ctr, NOAA, 2725 Montlake Blvd East, Seattle, WA 98112 USA.</t>
  </si>
  <si>
    <t>dawn.noren@noaa.gov</t>
  </si>
  <si>
    <t>Hauser, Donna/0000-0001-8236-7372; Noren, Dawn/0000-0002-9544-4530</t>
  </si>
  <si>
    <t>NOAA Northwest Fisheries Science Center</t>
  </si>
  <si>
    <t>NOAA Northwest Fisheries Science Center(National Oceanic Atmospheric Admin (NOAA) - USA)</t>
  </si>
  <si>
    <t>We thank Snug Harbor Resort; University of Washington (UW) Friday Harbor Laboratories; Orca Network; Soundwatch; the commercial whale-watching fleet; and Dr. J. Ha from the Department of Psychology, UW, for field support. We are grateful to J. Daly for safely operating the research vessel in the vicinity of killer whales, and we thank D. Rehder, E. Ashe, and D. Giles for data collection and assistance in the field. L. Barre, B. Hanson, P. Levin, and two anonymous reviewers provided constructive comments on previous drafts of this manuscript. This work was funded by the NOAA Northwest Fisheries Science Center. This research was conducted by the authority of the ESA Permit Number 781-1824-00, Canadian MML Number 2006-07, and SARA Permit Number 33.</t>
  </si>
  <si>
    <t>EUROPEAN ASSOC AQUATIC MAMMALS</t>
  </si>
  <si>
    <t>MOLINE</t>
  </si>
  <si>
    <t>C/O DR JEANETTE THOMAS, BIOLOGICAL SCIENCES, WESTERN ILLIONIS UNIV-QUAD CITIES, 3561 60TH STREET, MOLINE, IL 61265 USA</t>
  </si>
  <si>
    <t>0167-5427</t>
  </si>
  <si>
    <t>AQUAT MAMM</t>
  </si>
  <si>
    <t>Aquat. Mamm.</t>
  </si>
  <si>
    <t>10.1578/AM.42.2.2016.168</t>
  </si>
  <si>
    <t>DM5SX</t>
  </si>
  <si>
    <t>WOS:000376411500006</t>
  </si>
  <si>
    <t>Haro, D; Riccialdelli, L; Acevedo, J; Aguayo-Lobo, A; Montiel, A</t>
  </si>
  <si>
    <t>Haro, Daniela; Riccialdelli, Luciana; Acevedo, Jorge; Aguayo-Lobo, Anelio; Montiel, Americo</t>
  </si>
  <si>
    <t>Trophic Ecology of Humpback Whales (Megaptera novaeangliae) in the Magellan Strait as Indicated by Carbon and Nitrogen Stable Isotopes</t>
  </si>
  <si>
    <t>Southeast Pacific humpback whale; Megaptera novaeangliae; diet; Francisco Coloane; Coastal Marine Protected Area; Fuegian sprat; Sprattus liteguensis lobster krill; Munida gregaria; krill; Euphausia lucens</t>
  </si>
  <si>
    <t>FEEDING-BEHAVIOR; DIET; DELTA-C-13; WESTERN; DISCRIMINATION; FRACTIONATION; HEMISPHERE; TISSUES</t>
  </si>
  <si>
    <t>The contribution of prey species to the diet and their variation over time are poorly understood processes in the trophic ecology of Southeast Pacific humpback whales (Megaptera novaeangliae). The purpose of this study was to use carbon and nitrogen stable isotopes to provide insights into the trophic ecology and to determine the inter-annual variation of the diet of the humpback whales in the Magellan Strait. During 2011 and 2012, an analysis was carried out to determine the isotopic composition of humpback whale skin. We used a Bayesian isotope mixing model to determine the relative contribution of prey species to the isotopic value of the consumer. The humpback whale had mean values of-16.3 +/- 0.6%c in delta C-13 and 14.7 +/- 1.0 parts per thousand in delta N-15 (n = 33). The delta C-13 and delta C-13 in both the whales and the Fuegian sprat (Spratrus fueguensis) were significantly higher in 2011 compared to 2012. Additionally, females had significantly higher delta N-15 values in 2012; however, mean delta C-13 and delta N-15 values of whales within each season and between age classes did not differ statistically. A variation was observed in the contribution of different prey to the whale diet between the study years, with Fuegian sprat as the predominant prey during 2011 (mean 55 +/- 12%), and crustaceans dominating the diet in 2012 (mean 82 +/- 9%). This study confirms the diet of the humpback-whale within the Magellan Strait. Furthermore, isotopic analyses suggest important inter-annual changes due to (1) changes in the proportion of the species being consumed, probably due to variations in availability (e.g., abundance) of prey; and/or (2) annual isotopic changes at the base of the food web. Further studies are required on the population dynamics of prey in order to monitor annual changes in abundance and food supply.</t>
  </si>
  <si>
    <t>[Haro, Daniela] Univ Chile, Fac Ciencias, Lab Ecofisiol &amp; Ecol Isotop, Palmeras 3425, Santiago, Chile; [Haro, Daniela; Aguayo-Lobo, Anelio] Asociac Invest Museo Hist Nat Rio Seco, Cataratas Niagara 01316, Punta Arenas, Chile; [Riccialdelli, Luciana] Ctr Austral Invest Cient CADIC, Bernardo Houssay 200, Ushuaia, Argentina; [Acevedo, Jorge] Fdn CEQUA, 21 Mayo 1690, Punta Arenas, Chile; [Aguayo-Lobo, Anelio] Inst Antart Chileno INACH, Plaza Benjamin Munoz Gamero 1055, Punta Arenas, Chile; [Aguayo-Lobo, Anelio] Fdn BIOMAR, Ave Providencia 2608,Oficina 63-A, Santiago, Chile; [Montiel, Americo] Univ Magallanes, Inst Patagonia, Avenida Manuel Bulnes 01890, Punta Arenas, Chile</t>
  </si>
  <si>
    <t>Universidad de Chile; Universidad de Magallanes</t>
  </si>
  <si>
    <t>Haro, D (corresponding author), Univ Chile, Fac Ciencias, Lab Ecofisiol &amp; Ecol Isotop, Palmeras 3425, Santiago, Chile.;Haro, D (corresponding author), Asociac Invest Museo Hist Nat Rio Seco, Cataratas Niagara 01316, Punta Arenas, Chile.</t>
  </si>
  <si>
    <t>danielaharo@ug.uchile.cl</t>
  </si>
  <si>
    <t>Acevedo, Jorge/AAV-3574-2020; Haro, Daniela/AAO-5242-2020</t>
  </si>
  <si>
    <t>Montiel, Americo/0000-0002-2644-4879; Acevedo, Jorge/0000-0002-6106-0838; Haro, Daniela/0000-0002-9391-1262</t>
  </si>
  <si>
    <t>National Commission for Scientific and Technological Research (CONICYT); Chilean Antarctic Institute (INACH); CEQUA Foundation; Foundation BIOMAR</t>
  </si>
  <si>
    <t>National Commission for Scientific and Technological Research (CONICYT)(Comision Nacional de Investigacion Cientifica y Tecnologica (CONICYT)); Chilean Antarctic Institute (INACH); CEQUA Foundation(Comision Nacional de Investigacion Cientifica y Tecnologica (CONICYT)CONICYT Regional/CEQUA); Foundation BIOMAR</t>
  </si>
  <si>
    <t>We are grateul to the National Commission for Scientific and Technological Research (CONICYT), the Chilean Antarctic Institute (INACH), and the CEQUA Foundation for their support during the completion of this work. We also are grateful to the Foundation BIOMAR for financing field trips into the Coastal Nlarine Protected Area. We would like to thank the tourist company Expecion FitzRoy for logistical support during fieldwork, especially Don Juan Jose Salas. Thanks also to Dr. Rodrigo Hucke-Gaete, Guido Paves, Sergio Cornejo, and Emma Plotnek for their comments and contributions to the manuscript; to Cristian Vargas, MSc. Alejandro Kusch,</t>
  </si>
  <si>
    <t>10.1578/AM.42.2.2016.233</t>
  </si>
  <si>
    <t>WOS:000376411500014</t>
  </si>
  <si>
    <t>Fernández-Prieto, D; Sabia, R</t>
  </si>
  <si>
    <t>FernandezPrieto, D; Sabia, R</t>
  </si>
  <si>
    <t>Fernandez-Prieto, Diego; Sabia, Roberto</t>
  </si>
  <si>
    <t>GreenSAR-Greenland and Antarctic Grounding Lines from SAR Data</t>
  </si>
  <si>
    <t>REMOTE SENSING ADVANCES FOR EARTH SYSTEM SCIENCE: THE ESA CHANGING EARTH SCIENCE NETWORK: PROJECTS 2011-2013</t>
  </si>
  <si>
    <t>PINE ISLAND GLACIER; ICE-SHEET MOTION; MODEL</t>
  </si>
  <si>
    <t>The Greenland and Antarctic Ice Sheet (GIS and AIS) are currently losing mass. The GreenSAR project aims at improving the knowledge of essential climate variables by exploiting Earth Observation (EO) datasets from past, present and future European Space Agency (ESA) satellite missions. The project is built around the measure of grounding line migration at the ice-ocean interface. Here, we show that the grounding line of the Pine Island Glacier (PIG) has retreated continuously for the past 20 years due to sustained thinning. The Petermann Gletscher glacier grounding line shows little change in the past 20 years despite the two recent large calving events reducing the area of the floating tongue by 40%.</t>
  </si>
  <si>
    <t>[Fernandez-Prieto, Diego] ESA ESRIN, European Space Agcy, Rome, Italy; [Sabia, Roberto] ESA ESTEC, Telespazio Vega European Space Agcy, Noordwijk, Zuid Holland, Netherlands</t>
  </si>
  <si>
    <t>European Space Agency; Thales Group; European Space Agency</t>
  </si>
  <si>
    <t>Fernández-Prieto, D (corresponding author), ESA ESRIN, European Space Agcy, Rome, Italy.</t>
  </si>
  <si>
    <t>978-3-319-16952-1; 978-3-319-16951-4</t>
  </si>
  <si>
    <t>10.1007/978-3-319-16952-1_3</t>
  </si>
  <si>
    <t>10.1007/978-3-319-16952-1</t>
  </si>
  <si>
    <t>Meteorology &amp; Atmospheric Sciences; Remote Sensing</t>
  </si>
  <si>
    <t>BE5QO</t>
  </si>
  <si>
    <t>WOS:000373281600004</t>
  </si>
  <si>
    <t>Minamihara, Y; Sato, K; Kohma, M; Tsutsumi, M</t>
  </si>
  <si>
    <t>Minamihara, Yuichi; Sato, Kaoru; Kohma, Masashi; Tsutsumi, Masaki</t>
  </si>
  <si>
    <t>Characteristics of Vertical Wind Fluctuations in the Lower Troposphere at Syowa Station in the Antarctic Revealed by the PANSY Radar</t>
  </si>
  <si>
    <t>SOLA</t>
  </si>
  <si>
    <t>WAVE MOMENTUM FLUXES; MU-RADAR; DISTURBANCES</t>
  </si>
  <si>
    <t>Using wind data over three years from July 2012-June 2015 from the PANSY radar, an MST radar, newly installed at Syowa Station (39.59 degrees E, 69.0 degrees S), statistical characteristics of vertical winds and vertical momentum fluxes in the Antarctic lower troposphere are examined. Frequency spectra covering a wide frequency range from (30 d)(-1) to (8 min)(-1) are divided into three frequency regions obeying power laws with different scaling exponents. The transition frequencies are different between horizontal and vertical wind spectra. Vertical fluxes of horizontal momentum were estimated for two wave period ranges of 8 min(-2) h and 2 h-1 d which have almost equal logarithmic scales. The momentum fluxes are larger for longer period components. There are evidences showing that the vertical wind disturbances in the lower troposphere are due to gravity waves forced by topography aligned in the north-south direction. First, the strong disturbances are observed when horizontal winds are strong near the surface. Second, zonal winds tend to almost zero around the top of the disturbances. Third, frequency spectra are large at a wide range of frequency below a critical level, as is consistent with the phase modulation of mountain waves by unsteady mean flow.</t>
  </si>
  <si>
    <t>[Minamihara, Yuichi; Sato, Kaoru; Kohma, Masashi] Univ Tokyo, Dept Earth &amp; Planetary Sci, Tokyo 1130033, Japan; [Tsutsumi, Masaki] Natl Inst Polar Res, Tokyo, Japan; [Tsutsumi, Masaki] Grad Univ Adv Studies SOKENDAI, Tokyo, Japan</t>
  </si>
  <si>
    <t>University of Tokyo; Research Organization of Information &amp; Systems (ROIS); National Institute of Polar Research (NIPR) - Japan; Graduate University for Advanced Studies - Japan</t>
  </si>
  <si>
    <t>Sato, K (corresponding author), Univ Tokyo, Dept Earth &amp; Planetary Sci, Bunkyo Ku, 7-3-1 Hongo, Tokyo 1130033, Japan.</t>
  </si>
  <si>
    <t>kaoru@eps.s.u-tokyo.ac.jp</t>
  </si>
  <si>
    <t>Kohma, Masashi/C-8055-2015; Sato, Kaoru/E-1693-2012</t>
  </si>
  <si>
    <t>Kohma, Masashi/0000-0001-9875-3032; Sato, Kaoru/0000-0002-6225-6066</t>
  </si>
  <si>
    <t>JSPS KAKENHI [25247075]; Grants-in-Aid for Scientific Research [16K17801, 25247075]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</si>
  <si>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</si>
  <si>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thanks Yoshihiro Tomikawa and Koji Nishimura for their help in the treatment of the PANSY radar data, and Toru Sato and Takuji Nakamura for their useful comments. Thanks are also for two anonymous reviewers for their critical reading and constructive comments. This work was supported by JSPS KAKENHI Grant Number (A) 25247075. PANSY is a multi-institutional project with a core of the University of Tokyo and National Institute of Polar Research and the PANSY radar was operated by Japanese Antarctic Research Expedition. The PANSY radar observation data are available at the project website, http://pansy.eps.s.u-tokyo.ac.jp.</t>
  </si>
  <si>
    <t>METEOROLOGICAL SOC JAPAN</t>
  </si>
  <si>
    <t>C/O JAPAN METEOROLOGICAL AGENCY 1-3-4 OTE-MACHI, CHIYODA-KU, TOKYO, 100-0004, JAPAN</t>
  </si>
  <si>
    <t>1349-6476</t>
  </si>
  <si>
    <t>10.2151/sola.2016-026</t>
  </si>
  <si>
    <t>DM6LX</t>
  </si>
  <si>
    <t>WOS:000376465200003</t>
  </si>
  <si>
    <t>Zatko, M; Geng, L; Alexander, B; Sofen, E; Klein, K</t>
  </si>
  <si>
    <t>Zatko, Maria; Geng, Lei; Alexander, Becky; Sofen, Eric; Klein, Katarina</t>
  </si>
  <si>
    <t>The impact of snow nitrate photolysis on boundary layer chemistry and the recycling and redistribution of reactive nitrogen across Antarctica and Greenland in a global chemical transport model</t>
  </si>
  <si>
    <t>LIGHT-ABSORBING IMPURITIES; SOUTH-POLE; ICE-CORE; DOME-C; DRY DEPOSITION; SEA-ICE; PHOTOCHEMICAL PRODUCTION; ISOTOPIC CONSTRAINTS; DIURNAL VARIABILITY; ACCURATE SIMULATION</t>
  </si>
  <si>
    <t>The formation and recycling of reactive nitrogen (NO, NO2, HONO) at the air-snow interface has implications for air quality and the oxidation capacity of the atmosphere in snow-covered regions. Nitrate (NO3-) photolysis in snow provides a source of oxidants (e.g., hydroxyl radical) and oxidant precursors (e.g., nitrogen oxides) to the overlying boundary layer, and alters the concentration and isotopic (e.g., delta N-15) signature of NO3- preserved in ice cores. We have incorporated an idealized snowpack with a NO3- photolysis parameterization into a global chemical transport model (Goddard Earth Observing System (GEOS) Chemistry model, GEOS-Chem) to examine the implications of snow NO3- photolysis for boundary layer chemistry, the recycling and redistribution of reactive nitrogen, and the preservation of ice-core NO3- in ice cores across Antarctica and Greenland, where observations of these parameters over large spatial scales are difficult to obtain. A major goal of this study is to examine the influence of meteorological parameters and chemical, optical, and physical snow properties on the magnitudes and spatial patterns of snow-sourced NOx fluxes and the recycling and redistribution of reactive nitrogen across Antarctica and Greenland. Snow-sourced NOx fluxes are most influenced by temperature-dependent quantum yields of NO3- photolysis, photolabile NO3- concentrations in snow, and concentrations of light-absorbing impurities (LAIs) in snow. Despite very different assumptions about snowpack properties, the range of model-calculated snow-sourced NOx fluxes are similar in Greenland (0.5-11 x 10(8)aEuro-molecaEuro-cm(-2)aEuro-s(-1)) and Antarctica (0.01-6.4 x 10(8)aEuro-molecaEuro-cm(-2)aEuro-s(-1)) due to the opposing effects of higher concentrations of both photolabile NO3- and LAIs in Greenland compared to Antarctica. Despite the similarity in snow-sourced NOx fluxes, these fluxes lead to smaller factor increases in mean austral summer boundary layer mixing ratios of total nitrate (HNO3+ NO3-), NOx, OH, and O-3 in Greenland compared to Antarctica because of Greenland's proximity to pollution sources. The degree of nitrogen recycling in the snow is dependent on the relative magnitudes of snow-sourced NOx fluxes versus primary NO3- deposition. Recycling of snow NO3- in Greenland is much less than in Antarctica Photolysis-driven loss of snow NO3- is largely dependent on the time that NO3- remains in the snow photic zone (up to 6.5 years in Antarctica and 7 months in Greenland), and wind patterns that redistribute snow-sourced reactive nitrogen across Antarctica and Greenland. The loss of snow NO3- is higher in Antarctica (up to 99aEuro-%) than in Greenland (up to 83aEuro-%) due to deeper snow photic zones and lower snow accumulation rates in Antarctica. Modeled enrichments in ice-core delta N-15(NO3-) due to photolysis-driven loss of snow NO3- ranges from 0 to 363aEuro-aEuro degrees in Antarctica and 0 to 90aEuro-aEuro degrees in Greenland, with the highest fraction of NO3- loss and largest enrichments in ice-core delta N-15(NO3-) at high elevations where snow accumulation rates are lowest. There is a strong relationship between the degree of photolysis-driven loss of snow NO3- and the degree of nitrogen recycling between the air and snow throughout all of Greenland and in Antarctica where snow accumulation rates are greater than 130aEuro-kgaEuro-m(-2)aEuro-a(-1) in the present day.</t>
  </si>
  <si>
    <t>[Zatko, Maria; Geng, Lei; Alexander, Becky; Sofen, Eric] Univ Washington, Dept Atmospher Sci, Seattle, WA 98195 USA; [Klein, Katarina] Helmholtz Ctr Polar &amp; Marine Res, Alfred Wegener Inst, Div Glaciol, Bremerhaven, Germany; [Sofen, Eric] MathWorks, Natick, MA USA</t>
  </si>
  <si>
    <t>University of Washington; University of Washington Seattle; Helmholtz Association; Alfred Wegener Institute, Helmholtz Centre for Polar &amp; Marine Research; MathWorks</t>
  </si>
  <si>
    <t>Alexander, B (corresponding author), Univ Washington, Dept Atmospher Sci, Seattle, WA 98195 USA.</t>
  </si>
  <si>
    <t>beckya@uw.edu</t>
  </si>
  <si>
    <t>Alexander, Becky/N-7048-2013; geng, lei/KEZ-8801-2024; , Lei/M-3418-2018</t>
  </si>
  <si>
    <t>Alexander, Becky/0000-0001-9915-4621; , Lei/0000-0003-2175-2538; Sofen, Eric/0000-0002-4495-2148</t>
  </si>
  <si>
    <t>NSF PLR [1244817, 0944537, 1446904]; EPA STAR graduate fellowship; Office of Polar Programs (OPP); Directorate For Geosciences [1244817] Funding Source: National Science Foundation</t>
  </si>
  <si>
    <t>NSF PLR; EPA STAR graduate fellowship(United States Environmental Protection Agency); Office of Polar Programs (OPP); Directorate For Geosciences(National Science Foundation (NSF)NSF - Directorate for Geosciences (GEO))</t>
  </si>
  <si>
    <t>We acknowledge support from NSF PLR 1244817, NSF PLR 0944537, NSF PLR 1446904, and an EPA STAR graduate fellowship to M. C. Zatko. The authors thank Steve Warren, Sarah Doherty, Thomas Grenfell, and Quentin Libois for helpful discussions about light-absorbing impurities in snow and their influence on snow photochemistry. We thank Joseph Erbland for many helpful comments and discussions about nitrogen recycling. Joel Thornton and Lyatt Jaegle also provided many helpful comments about this work. We also thank Paul Hezel and Yanxu Zhang for helping M. C. Zatko learn GEOS-Chem. We thank Qianjie Chen for helpful feedback on paper drafts and Martin Schneebeli for providing useful advice about snow grain profiles in Antarctic snow. The authors thank the editor and two anonymous reviewers for helpful comments.</t>
  </si>
  <si>
    <t>10.5194/acp-16-2819-2016</t>
  </si>
  <si>
    <t>DK1VD</t>
  </si>
  <si>
    <t>WOS:000374702000007</t>
  </si>
  <si>
    <t>Sioris, CE; Zou, J; Plummer, DA; Boone, CD; McElroy, CT; Sheese, PE; Moeini, O; Bernath, PF</t>
  </si>
  <si>
    <t>Sioris, Christopher E.; Zou, Jason; Plummer, David A.; Boone, Chris D.; McElroy, C. Thomas; Sheese, Patrick E.; Moeini, Omid; Bernath, Peter F.</t>
  </si>
  <si>
    <t>Upper tropospheric water vapour variability at high latitudes - Part 1: Influence of the annular modes</t>
  </si>
  <si>
    <t>LOWER STRATOSPHERE; OSCILLATION; CIRCULATION; PERFORMANCE; VALIDATION; (H2O)-O-16; HEMISPHERE; SIGNATURE; CLOUDS; SYSTEM</t>
  </si>
  <si>
    <t>Seasonal and monthly zonal medians of water vapour in the upper troposphere and lower stratosphere (UTLS) are calculated for both Atmospheric Chemistry Experiment (ACE) instruments for the northern and southern high-latitude regions (60-90A degrees aEuro-N and 60-90A degrees aEuro-S). Chosen for the purpose of observing high-latitude processes, the ACE orbit provides sampling of both regions in 8 of 12 months of the year, with coverage in all seasons. The ACE water vapour sensors, namely MAESTRO (Measurements of Aerosol Extinction in the Stratosphere and Troposphere Retrieved by Occultation) and the Fourier Transform Spectrometer (ACE-FTS) are currently the only satellite instruments that can probe from the lower stratosphere down to the mid-troposphere to study the vertical profile of the response of UTLS water vapour to the annular modes. The Arctic oscillation (AO), also known as the northern annular mode (NAM), explains 64 % (r = -0.80) of the monthly variability in water vapour at northern high latitudes observed by ACE-MAESTRO between 5 and 7 km using only winter months (January to March, 2004-2013). Using a seasonal time step and all seasons, 45aEuro-% of the variability is explained by the AO at 6.5aEuro-A+/-aEuro-0.5 km, similar to the 46 % value obtained for southern high latitudes at 7.5aEuro-A+/-aEuro-0.5 km explained by the Antarctic oscillation or southern annular mode (SAM). A large negative AO event in March 2013 produced the largest relative water vapour anomaly at 5.5aEuro-km (+70 %) over the ACE record. A similarly large event in the 2010 boreal winter, which was the largest negative AO event in the record (1950-2015), led to &gt; aEuro-50 % increases in water vapour observed by MAESTRO and ACE-FTS at 7.5 km.</t>
  </si>
  <si>
    <t>[Sioris, Christopher E.; McElroy, C. Thomas; Moeini, Omid] York Univ, Dept Earth &amp; Space Sci &amp; Engn, 4700 Keele St, Toronto, ON M3J 1P3, Canada; [Zou, Jason; Sheese, Patrick E.] Univ Toronto, Dept Phys, 60 St George St, Toronto, ON M5S 1A7, Canada; [Plummer, David A.] Environm Canada, Canadian Ctr Climate Modelling &amp; Anal, Victoria, BC, Canada; [Boone, Chris D.; Bernath, Peter F.] Univ Waterloo, Dept Chem, 200 Univ Ave W, Waterloo, ON N2L 3G1, Canada; [Bernath, Peter F.] Old Dominion Univ, Dept Chem &amp; Biochem, 4541 Hampton Blvd, Norfolk, VA 23529 USA</t>
  </si>
  <si>
    <t>York University - Canada; University of Toronto; Environment &amp; Climate Change Canada; Canadian Centre for Climate Modelling &amp; Analysis (CCCma); University of Waterloo; Old Dominion University</t>
  </si>
  <si>
    <t>Sioris, CE (corresponding author), York Univ, Dept Earth &amp; Space Sci &amp; Engn, 4700 Keele St, Toronto, ON M3J 1P3, Canada.</t>
  </si>
  <si>
    <t>csioris@sdcnlab.esse.yorku.ca</t>
  </si>
  <si>
    <t>Bernath, Peter F/B-6567-2012</t>
  </si>
  <si>
    <t>Bernath, Peter F/0000-0002-1255-396X; Sioris, Christopher/0000-0003-1168-8755; Plummer, David/0000-0001-8087-3976</t>
  </si>
  <si>
    <t>Canadian Space Agency</t>
  </si>
  <si>
    <t>Canadian Space Agency(Canadian Space Agency)</t>
  </si>
  <si>
    <t>The availability of the NOAA annular mode indices is appreciated. The ACE mission is supported primarily by the Canadian Space Agency. POAM III data were obtained from the NASA Langley Research Center Atmospheric Science Data Center. C. E. Sioris is grateful to Frederic Laliberte (Environment Canada) for a helpful discussion on separating the contributions by the two mechanisms proposed in Sect. 4.3. The three referees and the editor are thanked for greatly improving the article.</t>
  </si>
  <si>
    <t>10.5194/acp-16-3265-2016</t>
  </si>
  <si>
    <t>WOS:000374702000031</t>
  </si>
  <si>
    <t>Sijp, WP; von der Heydt, AS; Bijl, PK</t>
  </si>
  <si>
    <t>Sijp, Willem P.; von der Heydt, Anna S.; Bijl, Peter K.</t>
  </si>
  <si>
    <t>Model simulations of early westward flow across the Tasman Gateway during the early Eocene</t>
  </si>
  <si>
    <t>CLIMATE OF THE PAST</t>
  </si>
  <si>
    <t>ANTARCTIC CIRCUMPOLAR CURRENT; DRAKE PASSAGE; GLOBAL CLIMATE; OCEAN CIRCULATION; HEAT-TRANSPORT; SCOTIA SEA; GLACIATION; EVOLUTION; PALEOGENE; HISTORY</t>
  </si>
  <si>
    <t>The timing and role in ocean circulation and climate of the opening of Southern Ocean gateways is as yet elusive. Recent micropalaeontological studies suggest the onset of westward throughflow of surface waters from the SW Pacific into the Australo-Antarctic Gulf through a southern shallow opening of the Tasman Gateway from 4950 Ma onwards, a direction that is counter to the present-day eastward-flowing Antarctic Circumpolar Current. Here, we present the first model results specific to the early-to middle Eocene where, in agreement with the field evidence, southerly shallow opening of the Tasman Gateway indeed causes a westward flow across the Tasman Gateway. As a result, modelled estimates of dinoflagellate biogeography are in agreement with the recent findings Crucially, in this situation where Australia is still situated far south and almost attached to Antarctica, the Drake Passage must be sufficiently restricted to allow the prevailing easterly wind pattern to set up this southerly restricted westward flow. In contrast, an open Drake Passage, up to 517 m deep, leads to an eastward flow, even when the Tasman Gateway and the Australo-Antarctic gulf are entirely contained within the latitudes of easterly wind.</t>
  </si>
  <si>
    <t>[Sijp, Willem P.] Univ New S Wales, ARC Ctr Excellence Climate Syst Sci, Sydney, NSW 2052, Australia; [von der Heydt, Anna S.] Univ Utrecht, Ctr Extreme Matter &amp; Emergent Phenomena, Inst Marine &amp; Atmospher Res, Princetonpl 5, NL-3584 CC Utrecht, Netherlands; [Bijl, Peter K.] Univ Utrecht, Fac Geosci, Palaeobot &amp; Palynol Lab, Dept Earth Sci,Marine Palynol &amp; Paleoceanog, POB 80115, NL-3508 TC Utrecht, Netherlands</t>
  </si>
  <si>
    <t>ARC Centre of Excellence for Climate System Science; University of New South Wales Sydney; Utrecht University; Utrecht University</t>
  </si>
  <si>
    <t>Sijp, WP (corresponding author), Univ New S Wales, ARC Ctr Excellence Climate Syst Sci, Sydney, NSW 2052, Australia.</t>
  </si>
  <si>
    <t>w.sijp@unsw.edu.au</t>
  </si>
  <si>
    <t>Sijp, Willem P/E-5988-2012; von der Heydt, Anna/B-9250-2008</t>
  </si>
  <si>
    <t>von der Heydt, Anna/0000-0002-5557-3282; Sijp, Willem/0000-0002-5971-3860; Bijl, Peter/0000-0002-1710-4012</t>
  </si>
  <si>
    <t>Australian Research Council (ARC); ARC [DP1096144]; Netherlands Organization for Scientific Research (NWO) [ALW 802.01.024]; NWO [SH-209-14]; NWO-ALW for VENT [863.13.002]; Australian Research Council [DP1096144] Funding Source: Australian Research Council</t>
  </si>
  <si>
    <t>Australian Research Council (ARC)(Australian Research Council); ARC(Australian Research Council); Netherlands Organization for Scientific Research (NWO)(Netherlands Organization for Scientific Research (NWO)); NWO(Netherlands Organization for Scientific Research (NWO)); NWO-ALW for VENT; Australian Research Council(Australian Research Council)</t>
  </si>
  <si>
    <t>We thank the University of Victoria staff for support in usage of the their coupled climate model. This research was supported by the Australian Research Council (ARC). This work contributes to ARC project DP1096144 held by Willem P. Sijp and ALW 802.01.024 of the Netherlands Organization for Scientific Research (NWO), Earth and Life Sciences held by Anna S. von der Heydt. The POP computations were done on the Cartesius computer at SURFsara in Amsterdam. The use of the SURFsara computing facilities was sponsored by NWO under the project SH-209-14. Peter K. Bijl acknowledges NWO-ALW for VENT grant number 863.13.002. Figures were produced with the Spacegrids Python data analysis module.</t>
  </si>
  <si>
    <t>1814-9324</t>
  </si>
  <si>
    <t>1814-9332</t>
  </si>
  <si>
    <t>CLIM PAST</t>
  </si>
  <si>
    <t>Clim. Past.</t>
  </si>
  <si>
    <t>10.5194/cp-12-807-2016</t>
  </si>
  <si>
    <t>DM0YX</t>
  </si>
  <si>
    <t>WOS:000376073100001</t>
  </si>
  <si>
    <t>Eaves, SR; Mackintosh, AN; Anderson, BM; Doughty, AM; Townsend, DB; Conway, CE; Winckler, G; Schaefer, JM; Leonard, GS; Calvert, AT</t>
  </si>
  <si>
    <t>Eaves, Shaun R.; Mackintosh, Andrew N.; Anderson, Brian M.; Doughty, Alice M.; Townsend, Dougal B.; Conway, Chris E.; Winckler, Gisela; Schaefer, Joerg M.; Leonard, Graham S.; Calvert, Andrew T.</t>
  </si>
  <si>
    <t>The Last Glacial Maximum in the central North Island, New Zealand: palaeoclimate inferences from glacier modelling</t>
  </si>
  <si>
    <t>TONGARIRO-VOLCANIC-CENTER; SOUTHERN ALPS; CLIMATE SENSITIVITY; MT-RUAPEHU; TEMPERATURE RECONSTRUCTIONS; LENGTH FLUCTUATIONS; ENERGY-BALANCE; PARK VALLEY; ICE; CHRONOLOGY</t>
  </si>
  <si>
    <t>Quantitative palaeoclimate reconstructions provide data for evaluating the mechanisms of past, natural climate variability. Geometries of former mountain glaciers, constrained by moraine mapping, afford the opportunity to reconstruct palaeoclimate, due to the close relationship between ice extent and local climate. In this study, we present results from a series of experiments using a 2-D coupled energy balance ice flow model that investigate the palaeoclimate significance of Last Glacial Maximum moraines within nine catchments in the central North Island, New Zealand. We find that the former ice limits can be simulated when present-day temperatures are reduced by between 4 and 7 degrees C, if precipitation remains unchanged from present. The spread in the results between the nine catchments is likely to represent the combination of chronological and model uncertainties The majority of catchments targeted require temperature decreases of 5.1 to 6.3 degrees C to simulate the former glaciers, which represents our best estimate of the temperature anomaly in the central North Island, New Zealand, during the Last Glacial Maximum. A decrease in precipitation of up to 25 % from present, as suggested by proxy evidence and climate models, increases the magnitude of the required temperature changes by up to 0.8 degrees C. Glacier model experiments using reconstructed topographies that exclude the volume of post-glacial (&lt; 15 ka) volcanism generally increased the magnitude of cooling required to simulate the former ice limits by up to 0.5 degrees C. Our palaeo-temperature estimates expand the spatial coverage of proxy-based quantitative palaeoclimate reconstructions in New Zealand. Our results are also consistent with independent, proximal temperature reconstructions from fossil groundwater and pollen assemblages, as well as similar glacier modelling reconstructions from the central Southern Alps, which suggest air temperatures were ca. 6 degrees C lower than present across New Zealand during the Last Glacial Maximum.</t>
  </si>
  <si>
    <t>[Eaves, Shaun R.; Mackintosh, Andrew N.; Anderson, Brian M.] Victoria Univ Wellington, Antarctic Res Ctr, POB 600, Wellington 6140, New Zealand; [Eaves, Shaun R.; Mackintosh, Andrew N.; Conway, Chris E.] Victoria Univ Wellington, Sch Geog Earth &amp; Environm Sci, POB 600, Wellington 6140, New Zealand; [Doughty, Alice M.] Dartmouth Coll, Dept Earth Sci, Hanover, NH 03755 USA; [Townsend, Dougal B.; Leonard, Graham S.] GNS Sci, 1 Fairway Dr,POB 30-368, Lower Hutt 5040, New Zealand; [Winckler, Gisela; Schaefer, Joerg M.] Columbia Univ New York, Lamont Doherty Earth Observ, Palisades, NY 10964 USA; [Calvert, Andrew T.] US Geol Survey, Volcano Sci Ctr, 345 Middlefield Rd, Menlo Pk, CA 94025 USA</t>
  </si>
  <si>
    <t>Victoria University Wellington; Victoria University Wellington; Dartmouth College; GNS Science - New Zealand; Columbia University; United States Department of the Interior; United States Geological Survey</t>
  </si>
  <si>
    <t>Eaves, SR (corresponding author), Victoria Univ Wellington, Antarctic Res Ctr, POB 600, Wellington 6140, New Zealand.;Eaves, SR (corresponding author), Victoria Univ Wellington, Sch Geog Earth &amp; Environm Sci, POB 600, Wellington 6140, New Zealand.</t>
  </si>
  <si>
    <t>shaun.eaves@vuw.ac.nz</t>
  </si>
  <si>
    <t>Conway, Chris E./AAC-8667-2020; Leonard, Graham/B-5617-2012</t>
  </si>
  <si>
    <t>Conway, Chris E./0000-0002-2790-0178; Leonard, Graham/0000-0002-4859-0180; Eaves, Shaun/0000-0003-0444-631X; Mackintosh, Andrew/0000-0002-6430-4711</t>
  </si>
  <si>
    <t>Victoria University; VUW Faculty Strategic Research Grant; Antarctic Research Centre Endowed Development Fund</t>
  </si>
  <si>
    <t>S. R. Eaves was supported by the Victoria University Doctoral Scholarship, a VUW Faculty Strategic Research Grant, and the Antarctic Research Centre Endowed Development Fund.</t>
  </si>
  <si>
    <t>10.5194/cp-12-943-2016</t>
  </si>
  <si>
    <t>WOS:000376073100009</t>
  </si>
  <si>
    <t>Rhodes, RH; Faïn, X; Brook, EJ; McConnell, JR; Maselli, OJ; Sigl, M; Edwards, J; Buizert, C; Blunier, T; Chappellaz, J; Freitag, J</t>
  </si>
  <si>
    <t>Rhodes, Rachael H.; Fain, Xavier; Brook, Edward J.; McConnell, Joseph R.; Maselli, Olivia J.; Sigl, Michael; Edwards, Jon; Buizert, Christo; Blunier, Thomas; Chappellaz, Jerome; Freitag, Johannes</t>
  </si>
  <si>
    <t>Local artifacts in ice core methane records caused by layered bubble trapping and in situ production: a multi-site investigation</t>
  </si>
  <si>
    <t>ANTARCTIC FIRN AIR; GAS-TRANSPORT; ATMOSPHERIC METHANE; NORTH GREENLAND; POLAR ICE; NEEM; IMPACT; AGE; DENSIFICATION; 20TH-CENTURY</t>
  </si>
  <si>
    <t>Advances in trace gas analysis allow localised, non-atmospheric features to be resolved in ice cores, superimposed on the coherent atmospheric signal. These high frequency signals could not have survived the low-pass filter effect that gas diffusion in the firn exerts on the atmospheric history and therefore do not result from changes in the atmospheric composition at the ice sheet surface. Using continuous methane (CH4) records obtained from five polar ice cores, we characterise these non-atmospheric signals and explore their origin. Isolated samples, enriched in CH4 in the Tunul3 (Greenland) record are linked to the presence of melt layers. Melting can enrich the methane concentration due to a solubility effect, but we find that an additional in situ process is required to generate the full magnitude of these anomalies. Furthermore, in all the ice cores studied there is evidence of reproducible, decimetre-scale CH4 variability. Through a series of tests, we demonstrate that this is an artifact of layered bubble trapping in a heterogeneous density firn column; we use the term trapping signal for this phenomenon. The peak -to -peak amplitude of the trapping signal is typically 5 ppb, but may exceed 40 ppb. Signal magnitude increases with atmospheric CH4 growth rate and seasonal density contrast, and decreases with accumulation rate. Significant annual periodicity is present in the CH4 variability of two Greenland ice cores, suggesting that layered gas trapping at these sites is controlled by regular, seasonal variations in the physical properties of the firn. Future analytical campaigns should anticipate high -frequency artifacts at high -melt ice core sites or during time periods with high atmospheric CH4 growth rate in order to avoid misinterpretation of such features as past changes in atmospheric composition.</t>
  </si>
  <si>
    <t>[Rhodes, Rachael H.; Brook, Edward J.; Edwards, Jon; Buizert, Christo] Oregon State Univ, Coll Earth Ocean &amp; Atmospher Sci, Corvallis, OR 97331 USA; [Fain, Xavier; Chappellaz, Jerome] Univ Grenoble Alpes, CNRS, Lab Glaciol &amp; Geophys Environm, Grenoble, France; [McConnell, Joseph R.; Maselli, Olivia J.; Sigl, Michael] Univ Nevada, Desert Res Inst, Div Hydrol Sci, Reno, NV 89506 USA; [Sigl, Michael] Paul Scherrer Inst, Lab Radiochem &amp; Environm Chem, Villigen, Switzerland; [Blunier, Thomas] Univ Copenhagen, Niels Bohr Inst, Ctr Ice &amp; Climate, Blegdamsvej 17, DK-2100 Copenhagen, Denmark; [Freitag, Johannes] Helmholtz Ctr Polar &amp; Marine Res, Alfred Wegener Inst, Bremerhaven, Germany; [Rhodes, Rachael H.] Univ Cambridge, Dept Earth Sci, Cambridge CB2 3EQ, England; [Maselli, Olivia J.] Univ Adelaide, Dept Chem, Adelaide, SA 5005, Australia</t>
  </si>
  <si>
    <t>Oregon State University; Communaute Universite Grenoble Alpes; Universite Grenoble Alpes (UGA); Centre National de la Recherche Scientifique (CNRS); Nevada System of Higher Education (NSHE); Desert Research Institute NSHE; University of Nevada Reno; Swiss Federal Institutes of Technology Domain; Paul Scherrer Institute; University of Copenhagen; Niels Bohr Institute; Helmholtz Association; Alfred Wegener Institute, Helmholtz Centre for Polar &amp; Marine Research; University of Cambridge; University of Adelaide</t>
  </si>
  <si>
    <t>Rhodes, RH (corresponding author), Oregon State Univ, Coll Earth Ocean &amp; Atmospher Sci, Corvallis, OR 97331 USA.;Rhodes, RH (corresponding author), Univ Cambridge, Dept Earth Sci, Cambridge CB2 3EQ, England.</t>
  </si>
  <si>
    <t>rhr34@cam.ac.uk</t>
  </si>
  <si>
    <t>Brook, Edward/AAB-7807-2021; Faïn, Xavier/C-8645-2009; Chappellaz, Jérôme A./A-4872-2011; FAIN, Xavier/AAF-7985-2019; Blunier, Thomas/M-4609-2014</t>
  </si>
  <si>
    <t>Faïn, Xavier/0000-0002-4119-6025; FAIN, Xavier/0000-0002-4119-6025; Sigl, Michael/0000-0002-9028-9703; McConnell, Joseph/0000-0001-9051-5240; Blunier, Thomas/0000-0002-6065-7747; Maselli, Olivia/0000-0003-2236-2152; Rhodes, Rachael/0000-0001-7511-1969</t>
  </si>
  <si>
    <t>US National Science Foundation (NSF) [1204172, 0944552, 1204176, 0909541]; NSF Partnerships in International Research and Education (PIRE) Grant [0968391]; French ANR program RPD COCLICO [ANR-10-RPDOC-002-01]; European Research Council under European Community [291062]; Belgium (FNRS-CFB); Belgium (FWO); Canada (NRCan/GSC); China (CAS); Denmark (FIST); France (IPEV); France (CNRS/INSU); France (CEA); France (ANR); Germany (AWI); Iceland (RannIs); Japan (NIPR); Korea (KOPRI); The Netherlands (NWO/ALW); Sweden (VR); Switzerland (SNF); United Kingdom (NERC); USA (US NSF); USA (OPP); European Research Council (ERC) [291062] Funding Source: European Research Council (ERC); Directorate For Geosciences; Office of Polar Programs (OPP) [1204176, 1204172, 0944348] Funding Source: National Science Foundation; Office Of The Director; Office Of Internatl Science &amp;Engineering [0968391] Funding Source: National Science Foundation</t>
  </si>
  <si>
    <t>US National Science Foundation (NSF)(National Science Foundation (NSF)); NSF Partnerships in International Research and Education (PIRE) Grant; French ANR program RPD COCLICO(Agence Nationale de la Recherche (ANR)); European Research Council under European Community(European Research Council (ERC));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The Netherlands (NWO/ALW)(Netherlands Organization for Scientific Research (NWO)Netherlands Government); Sweden (VR)(Swedish Research Council); Switzerland (SNF); United Kingdom (NERC)(UK Research &amp; Innovation (UKRI)Natural Environment Research Council (NERC)); USA (US NSF)(National Science Foundation (NSF)); USA (OPP); European Research Council (ERC)(European Research Council (ERC)Spanish Government); Directorate For Geosciences; Office of Polar Programs (OPP)(National Science Foundation (NSF)NSF - Directorate for Geosciences (GEO)); Office Of The Director; Office Of Internatl Science &amp;Engineering(National Science Foundation (NSF)NSF - Office of the Director (OD))</t>
  </si>
  <si>
    <t>This work was supported by US National Science Foundation (NSF) grants 1204172, 0944552, 1204176 and 0909541 and NSF Partnerships in International Research and Education (PIRE) Grant 0968391. This work was additionally supported by the French ANR program RPD COCLICO (ANR-10-RPDOC-002-01) and received funding from the European Research Council under the European Community's Seventh Framework Program FP7/2007-2013 Grant Agreement #291062 (project ICE&amp;LASERS). Jeffrey Severinghaus and David Etheridge provided insightful reviews that improved this manuscript. We thank Nathan Chellman, Daniel Pasteris, Larry Layman and Amber Zandanel for laboratory assistance, Nicole Rocco for Summit melt layer measurements, and Julia Rosen for use of OSU firn model. We are very grateful to Beth Bella Bergeron for her valuable expertise, leadership and hard work drilling the Tunul3 cores. Our field team received valuable assistance from CHM2HILL and Ken Borek Air. The NEEM project is directed by the Centre for Ice and Climate at the Niels Bohr Institute, Copenhagen and the US NSF OPP.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USA (US NSF, OPP). We are grateful to the North Greenland Ice Core Project (NGRIP) for providing samples.</t>
  </si>
  <si>
    <t>10.5194/cp-12-1061-2016</t>
  </si>
  <si>
    <t>WOS:000376073100015</t>
  </si>
  <si>
    <t>Routledge Handbook of National and Regional Oceans Policies</t>
  </si>
  <si>
    <t>OCEAN YEARBOOK</t>
  </si>
  <si>
    <t>[Haward, Marcus] Univ Tasmania, Inst Marine &amp; Antarctic Studies, Hobart, Tas, Australia</t>
  </si>
  <si>
    <t>Haward, M (corresponding author), Univ Tasmania, Inst Marine &amp; Antarctic Studies, Hobart, Tas, Australia.</t>
  </si>
  <si>
    <t>BRILL ACADEMIC PUBLISHERS</t>
  </si>
  <si>
    <t>0191-8575</t>
  </si>
  <si>
    <t>2211-6001</t>
  </si>
  <si>
    <t>OCEAN YEARB</t>
  </si>
  <si>
    <t>Ocean Yearb.</t>
  </si>
  <si>
    <t>Environmental Studies</t>
  </si>
  <si>
    <t>DL7SI</t>
  </si>
  <si>
    <t>WOS:000375840000024</t>
  </si>
  <si>
    <t>Borghini, F; Colacevich, A; Caruso, T; Bargagli, R</t>
  </si>
  <si>
    <t>Borghini, Francesca; Colacevich, Andrea; Caruso, Tancredi; Bargagli, Roberto</t>
  </si>
  <si>
    <t>Algal biomass and pigments along a latitudinal gradient in Victoria Land lakes, East Antarctica</t>
  </si>
  <si>
    <t>Biodiversity; photosynthetic pigments; proxy; continental Antarctica; sediments; biogeography</t>
  </si>
  <si>
    <t>FRESH-WATER ECOSYSTEMS; COMMUNITY STRUCTURE; MICROBIAL MATS; TERRESTRIAL ECOSYSTEMS; SEDIMENTARY PIGMENTS; DIVERSITY; PATTERNS; BACTERIAL; CYANOBACTERIA; DISPERSAL</t>
  </si>
  <si>
    <t>It is generally accepted that Antarctic terrestrial diversity decreases as latitude increases, but latitudinal patterns of several organisms are not always as clear as expected. The Victoria Land region is rich in lakes and ponds and spans 8 degrees of latitude that encompasses gradients in factors such as solar radiation, temperature, ice cover and day length. An understanding of the links between latitudinally driven environmental and biodiversity changes is essential to the understanding of the ecology and evolution of Antarctic biota and the formulation of hypotheses about likely future changes in biodiversity. As several studies have demonstrated that photosynthetic pigments are an excellent, although underused, tool for the study of lacustrine algal communities, the aim of the present study was to investigate variations in algal biomass and biodiversity across the latitudinal gradient of Victoria Land using sedimentary pigments. We test the hypothesis that the biodiversity of freshwater environments decreases as latitude increases. On the basis of our results, we propose using the number of sedimentary pigments as a proxy for algal diversity and the sum of chlorophyll a and bacteriochlorophyll a with their degradation derivatives as an index of biomass. Overall, our data show that biomass and diversity decrease as latitude increases but local environmental conditions, in particular, natural levels of eutrophy, can affect both productivity and diversity.</t>
  </si>
  <si>
    <t>[Borghini, Francesca; Colacevich, Andrea; Caruso, Tancredi; Bargagli, Roberto] Univ Siena, Dept Phys Earth &amp; Environm Sci, Via PA Mattioli 4, IT-53100 Siena, Italy</t>
  </si>
  <si>
    <t>University of Siena</t>
  </si>
  <si>
    <t>Borghini, F (corresponding author), Univ Siena, Dept Phys Earth &amp; Environm Sci, Via PA Mattioli 4, IT-53100 Siena, Italy.</t>
  </si>
  <si>
    <t>borghini@unisi.it</t>
  </si>
  <si>
    <t>Caruso, Tancredi/H-1103-2012</t>
  </si>
  <si>
    <t>10.3402/polar.v35.20703</t>
  </si>
  <si>
    <t>DM3OD</t>
  </si>
  <si>
    <t>WOS:000376254900001</t>
  </si>
  <si>
    <t>Pau, M; Hammer, O</t>
  </si>
  <si>
    <t>Pau, Mauro; Hammer, Oyvind</t>
  </si>
  <si>
    <t>Sedimentary environments in the south-western Barents Sea during the last deglaciation and the Holocene: a case study outside the Ingoydjupet trough</t>
  </si>
  <si>
    <t>Deglaciation; Barents Sea ice sheet; sediment cores; lithofacies; biozonation</t>
  </si>
  <si>
    <t>ANTARCTIC ICE-SHEET; GLACIAL MAXIMUM; NORTH-ATLANTIC; SVALBARD; CONSTRAINTS; HISTORY; CLIMATE; EXTENT; RECONSTRUCTION; STRATIGRAPHY</t>
  </si>
  <si>
    <t>A lithological and foraminiferal study of newly acquired sediment cores outside the Ingoydjupet (Ingoy Deep) trough has been carried out to improve constraints on the last deglacial history in the south-western Barents Sea. Three lithofacies and three foraminiferal facies were identified. The lowermost lithological unit is a diamicton interpreted as glacial till. It contains a low-abundance, ecologically mixed foraminiferal assemblage, presumably resulting from glacial reworking. Above the diamicton, a layer of ice-rafted debris (IRD), likely associated with intensive iceberg production, marks the initial destabilization of the marine-based ice sheet. At this time, ca. 15.6-15.0 Ky B.P., opportunistic foraminiferal species Nonionellina labradorica and Stainforthia spp. reached peak abundance. During the south-western Barents Sea ice-margin retreat, presumably corresponding to the Bolling interstadial, a sequence of glaciomarine laminations was deposited conformably on the layer of IRD. Sedimentation rates were apparently high (estimated about 0.4 cm per year) and the foraminiferal fauna was dominated by Elphidium spp. and Cassidulina reniforme, species common for glacier-proximal environments. A hiatus at the top of the deglacial unit is likely linked to the high bottom-current activity associated with a strengthened inflow of Atlantic water masses into the Barents Sea. The uppermost lithological unit is represented by the Holocene marine sandy mud. It contains a high-abundance, high-diversity foraminiferal fauna with common cassidulinids, Cibicides spp., Epistominella pusilla and planktic species.</t>
  </si>
  <si>
    <t>[Pau, Mauro] Univ Oslo, Phys Geol Proc, POB 1048, NO-0316 Oslo, Norway; [Hammer, Oyvind] Univ Oslo, Nat Hist Museum, POB 1172, NO-0318 Oslo, Norway</t>
  </si>
  <si>
    <t>University of Oslo; University of Oslo</t>
  </si>
  <si>
    <t>Pau, M (corresponding author), Univ Oslo, Phys Geol Proc, POB 1048, NO-0316 Oslo, Norway.</t>
  </si>
  <si>
    <t>mauro.pau@fys.uio.no</t>
  </si>
  <si>
    <t>Hammer, Øyvind/A-6319-2017</t>
  </si>
  <si>
    <t>Lundin Petroleum Norway</t>
  </si>
  <si>
    <t>Harald Brunstad and Lundin Petroleum Norway are warmly thanked for financial support and for providing the cores. For the excellent support during the expedition, a sincere gratitude goes to Arnfinn Karlsen, Helge Jubskas, Martin Syre Wiig, Kjetil Bergh Anonsen and Jon Otto Buer from the Norwegian Defence Research Establishment, as well as to the officers and crew of RV H.U. Sverdrup II, Johnny Remoy (captain), Terje Haugen, Erling Olsen, Henning Bergsnes, John Johnsen, Bernt Nilsen and Liv Sorensen. Arnfinn Karlsen is thanked also for the logistical assistance. Haflidi Haflidason at the University of Bergen is gratefully acknowledged for the assistance with core logging. Knut Dalen at the Norwegian University of Life Sciences is thanked for assistance with CT scanning, and Mufak Naoroz at the University of Oslo for support with grain size analysis. The article benefited from comments and suggestions by Leonid Polyak and other reviewers.</t>
  </si>
  <si>
    <t>10.3402/polar.v35.23104</t>
  </si>
  <si>
    <t>DM3OF</t>
  </si>
  <si>
    <t>WOS:000376255100001</t>
  </si>
  <si>
    <t>Smyshlyaev, SP; Pogoreltsev, AI; Galin, VY; Drobashevskaya, EA</t>
  </si>
  <si>
    <t>Smyshlyaev, S. P.; Pogoreltsev, A. I.; Galin, V. Ya.; Drobashevskaya, E. A.</t>
  </si>
  <si>
    <t>Influence of Wave Activity on the Composition of the Polar Stratosphere</t>
  </si>
  <si>
    <t>GEOMAGNETISM AND AERONOMY</t>
  </si>
  <si>
    <t>DOPPLER-SPREAD PARAMETERIZATION; GENERAL-CIRCULATION; PLANETARY-WAVES; INTERANNUAL VARIABILITY; MOMENTUM DEPOSITION; MIDDLE ATMOSPHERE; OZONE DEPLETION; ARCTIC OZONE; VORTEX; TEMPERATURE</t>
  </si>
  <si>
    <t>The planetary wave impact on the polar vortex stability, polar stratosphere temperature, and content of ozone and other gases was simulated with the global chemical-climatic model of the lower and middle atmosphere. It was found that the planetary waves propagating from the troposphere into the stratosphere differently affect the gas content of the Arctic and Antarctic stratosphere. In the Arctic region, the degree of wave activity critically affects the polar vortex formation, the appearance of polar stratospheric clouds, the halogen activation on their surface, and ozone anomaly formation. Ozone anomalies in the Arctic region as a rule are not formed at high wave activity and can be registered at low activity. In the Antarctic Regions, wave activity affects the stability of polar vortex and the depth of ozone holes, which are formed at almost any wave activity, and the minimal ozone values depend on the strong or weak wave activity that is registered in specific years.</t>
  </si>
  <si>
    <t>[Smyshlyaev, S. P.; Pogoreltsev, A. I.; Drobashevskaya, E. A.] Russian State Hydrometeorol Univ, Malookhtinskii Pr 98, St Petersburg 195106, Russia; [Galin, V. Ya.] Russian Acad Sci, Inst Computat Math, Moscow, Russia</t>
  </si>
  <si>
    <t>Russian State Hydrometeorological University; Russian Academy of Sciences</t>
  </si>
  <si>
    <t>Smyshlyaev, SP (corresponding author), Russian State Hydrometeorol Univ, Malookhtinskii Pr 98, St Petersburg 195106, Russia.</t>
  </si>
  <si>
    <t>smyshl@rshu.ru</t>
  </si>
  <si>
    <t>Smyshlyaev, Sergei/F-1198-2014</t>
  </si>
  <si>
    <t>Smyshlyaev, Sergei/0000-0002-8291-6738</t>
  </si>
  <si>
    <t>Russian Science Foundation [14-17-00685, 14-17-00096]; Russian Foundation for Basic Research [14-05-00871]</t>
  </si>
  <si>
    <t>Russian Science Foundation(Russian Science Foundation (RSF)); Russian Foundation for Basic Research(Russian Foundation for Basic Research (RFBR)Spanish Government)</t>
  </si>
  <si>
    <t>The experiments with global CCM were performed at the Russian State Hydrometeorological University in the scope of the State Order of the Ministry of Education and Science of the Russian Federation. Modeling of the influence of wave activity on the atmospheric composition and structure was supported by the Russian Science Foundation (project 14-17-00685). Studying the sensitivity of the trace gas content to the PSC formation and the influence of the sea surface temperature and sea ice on these clouds was supported by the Russian Science Foundation (project 14-17-00096). The consideration of the influence of variations in the solar radiation spectral fluxes on the atmospheric composition was supported by the Russian Foundation for Basic Research (project 14-05-00871).</t>
  </si>
  <si>
    <t>MAIK NAUKA/INTERPERIODICA/SPRINGER</t>
  </si>
  <si>
    <t>233 SPRING ST, NEW YORK, NY 10013-1578 USA</t>
  </si>
  <si>
    <t>0016-7932</t>
  </si>
  <si>
    <t>1555-645X</t>
  </si>
  <si>
    <t>GEOMAGN AERONOMY+</t>
  </si>
  <si>
    <t>Geomagn. Aeron.</t>
  </si>
  <si>
    <t>10.1134/S0016793215060146</t>
  </si>
  <si>
    <t>DK1LE</t>
  </si>
  <si>
    <t>WOS:000374673000011</t>
  </si>
  <si>
    <t>Peng, P; Zhu, YZ; Zhong, M; Kang, KX; Du, ZL; Yan, HM</t>
  </si>
  <si>
    <t>Peng, Peng; Zhu, Yaozhong; Zhong, Min; Kang, Kaixuan; Du, Zongliang; Yan, Haoming</t>
  </si>
  <si>
    <t>Ice Mass Variation in Antarctica from GRACE Over 2002-2011</t>
  </si>
  <si>
    <t>Antarctica mass balance; GRACE; sea level; snow accumulation</t>
  </si>
  <si>
    <t>GLACIAL ISOSTATIC-ADJUSTMENT; EARTHS GRAVITY-FIELD; SEA-LEVEL RISE; VARIABILITY; GREENLAND; CLIMATE; BALANCE; SHEETS</t>
  </si>
  <si>
    <t>We detect the mass balance of the Antarctica ice sheet from GRACE for the recent period July 2002 through March 2011. Land hydrology contamination was corrected through global hydrological models and glacial isostatic adjustment (GIA) of the solid Earth since last deglaciation using the IJ05 model, and then a forward model was employed to adjust to bias due to smoothing filters and GRACE's limited resolution. The results show that there are two significant turning points for ice mass losses or gains near the early 2006 and the end of 2008. The ice mass losses in West Antarctica have accelerated dramatically during 2009-2011, while in East Antarctica the rate is positive, mainly caused by snow accumulation. Over the whole studying period, ice loss rates in West Antarctica (-108 +/- 36Gt/yr) are still significantly larger than the increase in East Antarctica (+72 +/- 24) Gt/yr. Thus, the total Antarctica contribution to sea level rise is slightly negative -0.18 +/- 0.02mm/yr. The rapid change of the regional ice mass in Antarctic, in the course of only several years, suggests that the Antarctica ice sheet mass balance is more sensitive to regional climate conditions than considered before.</t>
  </si>
  <si>
    <t>[Peng, Peng; Zhu, Yaozhong; Zhong, Min; Du, Zongliang; Yan, Haoming] Chinese Acad Sci, State Key Lab Geodesy &amp; Earths Dynam, Inst Geodesy &amp; Geophys, Wuhan 430077, Peoples R China; [Kang, Kaixuan] China Earthquake Adm, Inst Seismol, Key Lab Earthquake Geodesy, Wuhan, Peoples R China</t>
  </si>
  <si>
    <t>Chinese Academy of Sciences; Innovation Academy for Precision Measurement Science &amp; Technology, CAS; China Earthquake Administration</t>
  </si>
  <si>
    <t>Peng, P (corresponding author), Chinese Acad Sci, State Key Lab Geodesy &amp; Earths Dynam, Inst Geodesy &amp; Geophys, Wuhan 430077, Peoples R China.</t>
  </si>
  <si>
    <t>ppthelion@gmail.com</t>
  </si>
  <si>
    <t>National Basic Research Program of China [2012CB957802]; National Natural Science Foundation of China [41504066, 41474064, 41321063, 41374087]</t>
  </si>
  <si>
    <t>National Basic Research Program of China(National Basic Research Program of China); National Natural Science Foundation of China(National Natural Science Foundation of China (NSFC))</t>
  </si>
  <si>
    <t>This research is supported by research projects of National Basic Research Program of China (2012CB957802), the National Natural Science Foundation of China (Grant nos. 41504066, 41474064, 41321063 and 41374087)</t>
  </si>
  <si>
    <t>10.1080/01490419.2016.1145609</t>
  </si>
  <si>
    <t>DJ9UR</t>
  </si>
  <si>
    <t>WOS:000374559000004</t>
  </si>
  <si>
    <t>Silvi, S; Barghini, P; Gorrasi, S; Selbmann, L; Fenice, M</t>
  </si>
  <si>
    <t>Silvi, S.; Barghini, P.; Gorrasi, S.; Selbmann, L.; Fenice, M.</t>
  </si>
  <si>
    <t>STUDY OF THE BACTERIAL BIODIVERSITY OF SEA WATER SAMPLES FROM ROSS SEA, ANTARCTICA</t>
  </si>
  <si>
    <t>JOURNAL OF ENVIRONMENTAL PROTECTION AND ECOLOGY</t>
  </si>
  <si>
    <t>Antarctic ocean; Ross Sea; biodiversity; bacteria; PCR-DGGE</t>
  </si>
  <si>
    <t>DIVERSITY; FINGERPRINTS; COMMUNITIES; SOIL</t>
  </si>
  <si>
    <t>Antarctica is the coldest, driest, and windiest continent. The Southern Ocean has the largest microbial biodiversity of the entire Antarctica. Isolated by the Antarctic Convergence, with temperatures hovering around 0 degrees C, the region poses great physiological challenges to marine life. As a result, it has developed a peculiar endemic biodiversity. In the past, Antarctic Ocean microbial communities were generally assumed to be species poor but recent results suggested that it may contain more substantial microbial diversity. In order to have a complete overview of the bacterial community structure of Ross Sea waters, total DNA was extracted from samples and the bacteria biodiversity was studied by Polymerase chain reaction and deraturing gradient electrophoresis (PCR-DGGE) fingerprinting. The genetic target used was the hypervariable region V3 of the 16S rDNA. DGGE analysis was conducted on water samples obtained from different sites of the Ross Sea and sampled in different periods during the 2010-2011 Italia Antarctic expedition. To evaluate the structure of the bacterial community a cluster analysis was performed. Community structure and richness were estimated with various statistical indices. Almost all samples were quite heterogeneous with scarce correlation with sampling site and period. Most of samples showed rather high richness and communities had a well-defined structure with scarce presence of dominant species. Principal bands were excised from the gel, sequenced and compared with National Centre for Biotechnology Information (NCBI) GenBank database. A dendrogram was built to understand the relationships between the sequences. The comparison in the database showed that 67% of the sequences were close to unclassified species or uncultured bacteria.</t>
  </si>
  <si>
    <t>[Silvi, S.; Barghini, P.; Gorrasi, S.; Selbmann, L.; Fenice, M.] Univ Tuscia, Dipartimento Sci Ecol &amp; Biol DEB, CONISMA, I-01100 Viterbo, Italy; [Fenice, M.] Univ Tuscia, CONISMA, Lab Appl Marine Microbiol, I-01100 Viterbo, Italy</t>
  </si>
  <si>
    <t>Tuscia University; CoNISMa; Tuscia University; CoNISMa</t>
  </si>
  <si>
    <t>Fenice, M (corresponding author), Univ Tuscia, Dipartimento Sci Ecol &amp; Biol DEB, CONISMA, I-01100 Viterbo, Italy.;Fenice, M (corresponding author), Univ Tuscia, CONISMA, Lab Appl Marine Microbiol, I-01100 Viterbo, Italy.</t>
  </si>
  <si>
    <t>fenice@unitus.it</t>
  </si>
  <si>
    <t>Fenice, Massimiliano/L-9195-2014; Barghini, Paolo/AAA-5865-2020; Gorrasi, Susanna/AAR-7488-2021</t>
  </si>
  <si>
    <t>Gorrasi, Susanna/0000-0003-2225-2586</t>
  </si>
  <si>
    <t>Italian 'Programma Nazionale Ricerche Antartiche (PNRA)'</t>
  </si>
  <si>
    <t>The work has been partially financed by the Italian 'Programma Nazionale Ricerche Antartiche (PNRA)'.</t>
  </si>
  <si>
    <t>SCIBULCOM LTD</t>
  </si>
  <si>
    <t>PO BOX 249, 1113 SOFIA, BULGARIA</t>
  </si>
  <si>
    <t>1311-5065</t>
  </si>
  <si>
    <t>J ENVIRON PROT ECOL</t>
  </si>
  <si>
    <t>J. Environ. Prot. Ecol.</t>
  </si>
  <si>
    <t>Environmental Sciences</t>
  </si>
  <si>
    <t>DL2ZI</t>
  </si>
  <si>
    <t>WOS:000375503300024</t>
  </si>
  <si>
    <t>Hausner, MB; Kobs, S</t>
  </si>
  <si>
    <t>Hausner, Mark B.; Kobs, Scott</t>
  </si>
  <si>
    <t>Identifying and Correcting Step Losses in Single-Ended Fiber-Optic Distributed Temperature Sensing Data</t>
  </si>
  <si>
    <t>JOURNAL OF SENSORS</t>
  </si>
  <si>
    <t>ANTARCTIC ICE SHELF; TOOL</t>
  </si>
  <si>
    <t>Fiber-optic distributed temperature sensing (DTS) makes it possible to observe temperatures on spatial scales as fine as centimeters and at frequencies up to 1 Hz. Over the past decade, fiber-optic DTS instruments have increasingly been employed to monitor environmental temperatures, from oceans to atmospheric monitoring. Because of the nature of environmental deployments, optical fibers deployed for research purposes often encounter step losses in the Raman spectra signal. Whether these phenomena occur due to cable damage or impingements, sharp bends in the deployed cable, or connections and splices, the step losses are usually not adequately addressed by the calibration routines provided by instrument manufacturers and can be overlooked in postprocessing calibration routines as well. Here we provide a method to identify and correct for the effects of step losses in raw Raman spectra data. The utility of the correction is demonstrated with case studies, including synthetic and laboratory data sets.</t>
  </si>
  <si>
    <t>[Hausner, Mark B.] Desert Res Inst, Div Hydrol Sci, 755 East Flamingo Rd, Las Vegas, NV 89119 USA; [Kobs, Scott] Univ Nevada, Dept Geol Sci &amp; Engn, MS 172, Reno, NV 89557 USA</t>
  </si>
  <si>
    <t>Nevada System of Higher Education (NSHE); Desert Research Institute NSHE; Nevada System of Higher Education (NSHE); University of Nevada Reno</t>
  </si>
  <si>
    <t>Hausner, MB (corresponding author), Desert Res Inst, Div Hydrol Sci, 755 East Flamingo Rd, Las Vegas, NV 89119 USA.</t>
  </si>
  <si>
    <t>mark.hausner@dri.edu</t>
  </si>
  <si>
    <t>Hausner, Mark B./G-8356-2012</t>
  </si>
  <si>
    <t>Sulo and Aileen Maki Endowment; Directorate For Geosciences; Division Of Earth Sciences [1440596] Funding Source: National Science Foundation; Division Of Earth Sciences; Directorate For Geosciences [1440506] Funding Source: National Science Foundation</t>
  </si>
  <si>
    <t>Sulo and Aileen Maki Endowment; Directorate For Geosciences; Division Of Earth Sciences(National Science Foundation (NSF)NSF - Directorate for Geosciences (GEO)); Division Of Earth Sciences; Directorate For Geosciences(National Science Foundation (NSF)NSF - Directorate for Geosciences (GEO))</t>
  </si>
  <si>
    <t>This work was made possible by CTEMPs (NSF EAR-1128999) and by the generosity and support of the Sulo and Aileen Maki Endowment.</t>
  </si>
  <si>
    <t>1687-725X</t>
  </si>
  <si>
    <t>1687-7268</t>
  </si>
  <si>
    <t>J SENSORS</t>
  </si>
  <si>
    <t>J. Sens.</t>
  </si>
  <si>
    <t>10.1155/2016/7073619</t>
  </si>
  <si>
    <t>Engineering, Electrical &amp; Electronic; Instruments &amp; Instrumentation</t>
  </si>
  <si>
    <t>Engineering; Instruments &amp; Instrumentation</t>
  </si>
  <si>
    <t>DL4HQ</t>
  </si>
  <si>
    <t>WOS:000375595400001</t>
  </si>
  <si>
    <t>Lopes, RM; Marcolin, CR; Brandini, FP</t>
  </si>
  <si>
    <t>Lopes, Rubens M.; Marcolin, Catarina R.; Brandini, Frederico P.</t>
  </si>
  <si>
    <t>Influence of oceanic fronts on mesozooplankton abundance and grazing during spring in the south-western Atlantic</t>
  </si>
  <si>
    <t>distribution; feeding; metabolism; standing-stock</t>
  </si>
  <si>
    <t>ANTARCTIC CIRCUMPOLAR CURRENT; ZOOPLANKTON DISPLACEMENT VOLUME; EUPHAUSIID EUPHAUSIA-PACIFICA; SUBTROPICAL CONVERGENCE; MERIDIONAL TRANSECT; PLANKTON COMMUNITIES; CONTINENTAL-SHELF; CHLOROPHYLL-A; WET WEIGHT; DRY-WEIGHT</t>
  </si>
  <si>
    <t>We investigated the influence of oceanic fronts on mesozooplankton distribution and grazing activity in the south-west Atlantic. Sampling was conducted during late spring 1993 along a north-south transect between subtropical waters off Brazil and Antarctic waters. Mesozooplankton abundance and biomass were, similar to 10-fold higher in the Subtropical Confluence Zone (SCZ) and in the Antarctic Polar Front (APF) relative to subtropical and subantarctic waters beyond the influence of those frontal systems. Mesozooplankton was dominated by calanoid and cyclopoid copepods. Community ingestion rates ranged between 0.1 and 0.3 mg chlorophyll-a m(-2) day(-1) in interfrontal areas, increasing to 2.0 and 9.0 mg chlorophyll-a m(-2) day(-1) in the APF and SCZ respectively. Mesozooplankton grazing removed up to 40% of the total chlorophyll stock in the SCZ, and 22% in the APF, on a daily basis. These estimates suggest that mesozooplankton exert a significant grazing impact on phytoplankton over much of the frontal areas studied. Recent investigations have shown that the geographic position of oceanic fronts and plankton biomass maxima in the study area have remained basically the same from the time of our sampling effort to date, meaning that our results apply to present conditions.</t>
  </si>
  <si>
    <t>[Lopes, Rubens M.; Marcolin, Catarina R.; Brandini, Frederico P.] Univ Sao Paulo, Inst Oceanog, Praca Oceanog 191, BR-05508120 Sao Paulo, Brazil</t>
  </si>
  <si>
    <t>Universidade de Sao Paulo</t>
  </si>
  <si>
    <t>Lopes, RM (corresponding author), Univ Sao Paulo, Inst Oceanog, Praca Oceanog 191, BR-05508120 Sao Paulo, Brazil.</t>
  </si>
  <si>
    <t>rubens@usp.br</t>
  </si>
  <si>
    <t>Marcolin, Catarina R/I-7317-2013; Brandini, Frederico/C-9402-2012; Lopes, Rubens/C-6335-2012</t>
  </si>
  <si>
    <t>Marcolin, Catarina R/0000-0003-3701-3772; Brandini, Frederico/0000-0002-3177-4274; Lopes, Rubens/0000-0002-9709-073X</t>
  </si>
  <si>
    <t>CNPq/PROANTAR Grant [670001/93]; CNPq [311936/2013-0]</t>
  </si>
  <si>
    <t>CNPq/PROANTAR Grant; CNPq(Conselho Nacional de Desenvolvimento Cientifico e Tecnologico (CNPQ))</t>
  </si>
  <si>
    <t>We thank M. Serafim Jr and J. D. B. Netto for technical assistance in the field and laboratory respectively. U. Bathmann provided valuable comments on an earlier version of the manuscript, and two anonymous reviewers contributed to improve the final version. This research was in part conducted within the framework of the CNPq/PROANTAR Grant number 670001/93. The first author was additionally supported by the CNPq Grant number 311936/2013-0.</t>
  </si>
  <si>
    <t>10.1071/MF14357</t>
  </si>
  <si>
    <t>DK7GW</t>
  </si>
  <si>
    <t>WOS:000375094200010</t>
  </si>
  <si>
    <t>Safont, JMB</t>
  </si>
  <si>
    <t>Bonet Safont, Juan Marcos</t>
  </si>
  <si>
    <t>SCIENCE IN VERNE AND POE THE PYM CASE</t>
  </si>
  <si>
    <t>METODE SCIENCE STUDIES JOURNAL</t>
  </si>
  <si>
    <t>Poe; Verne; science and literature; Pym; South Pole</t>
  </si>
  <si>
    <t>In 1897, Jules Verne's novel An antarctic mystery was published both in periodical form and as a complete book. It is a continuation of Edgar Allan Poe's story The narrative of Arthur Gordon Pym of Nantucket (1838). In this article, we will use the plots of both novels to show the different images of science and technology presented by the two authors. We address both Verne's and Poe's approach to science, as conveyed through their fictional stories. We also discuss how Verne's scientific descriptions are much more extensive than Poe's, a testament to Verne's rational and learned character, as opposed to Poe's more fantastic and imaginative approach to science.</t>
  </si>
  <si>
    <t>[Bonet Safont, Juan Marcos] Univ Valencia, Lopez Pinero Inst, E-46003 Valencia, Spain</t>
  </si>
  <si>
    <t>Consejo Superior de Investigaciones Cientificas (CSIC); CSIC-UV - Instituto de Historia de la Medicina y de la Ciencia Lopez Pinero; University of Valencia</t>
  </si>
  <si>
    <t>Safont, JMB (corresponding author), Univ Valencia, Hist &amp; Social Studies Sci Med &amp; Commun, E-46003 Valencia, Spain.</t>
  </si>
  <si>
    <t>Safont, Juan Marcos Bonet/AAT-9929-2021</t>
  </si>
  <si>
    <t>UNIV VALENCIA, BOTANICAL GARDEN UV</t>
  </si>
  <si>
    <t>VALENCIA</t>
  </si>
  <si>
    <t>C/QUART, 80, VALENCIA, 46008, SPAIN</t>
  </si>
  <si>
    <t>2174-3487</t>
  </si>
  <si>
    <t>2174-9221</t>
  </si>
  <si>
    <t>METODE SCI STUD J</t>
  </si>
  <si>
    <t>Metode Sci. Stud. J.</t>
  </si>
  <si>
    <t>10.7203/metode.85.3315</t>
  </si>
  <si>
    <t>History &amp; Philosophy Of Science</t>
  </si>
  <si>
    <t>History &amp; Philosophy of Science</t>
  </si>
  <si>
    <t>DK5OE</t>
  </si>
  <si>
    <t>WOS:000374968400003</t>
  </si>
  <si>
    <t>McLoughlin, S; Bomfleur, B; Mörs, T; Reguero, M</t>
  </si>
  <si>
    <t>McLoughlin, Stephen; Bomfleur, Benjamin; Mors, Thomas; Reguero, Marcelo</t>
  </si>
  <si>
    <t>Fossil clitellate annelid cocoons and their microbiological inclusions from the Eocene of Seymour Island, Antarctica</t>
  </si>
  <si>
    <t>PALAEONTOLOGIA ELECTRONICA</t>
  </si>
  <si>
    <t>branchiobdellids; new genus; new species; spermatozoa; La Meseta Formation; Antarctic Peninsula</t>
  </si>
  <si>
    <t>LA-MESETA FORMATION; THEROMYZON-TESSULATUM ANNELIDA; FRESH-WATER; GLOBAL DIVERSITY; EARLY OLIGOCENE; TRACE FOSSILS; INSECT EGGS; 18S RDNA; HIRUDINEA; MORPHOLOGY</t>
  </si>
  <si>
    <t>Clitellate annelids have a meagre body fossil record but they secrete proteinaceous cocoons for the protection of eggs that, after hardening, are readily fossilized and offer a largely untapped resource for assessing the evolutionary history of this group. We describe three species of clitellate cocoons (viz., Burejospermum seymourense sp. nov., B. punctatum sp. nov. and Pegmatothylakos manumii gen. et sp. nov.) from the lower Eocene La Meseta Formation, Seymour Island, Antarctica. The cocoons probably derive from continental settings and were transported to, and preserved within, nearshore marine to estuarine environments. The cocoons provide the first evidence of commensal or parasitic relationships in the Eocene continental ecosystems of Antarctica. Moreover, numerous micro-organisms and the oldest fossilized examples of animal spermatozoa are preserved as moulds within the consolidated walls of the cocoons. Fossil annelid cocoons offer potential for enhanced palaeoenvironmental interpretation of sediments, correlation between continental and shallowmarine strata, and improved understanding of the development of clitellate annelid reproductive traits and the evolutionary history of soft-bodied micro-organisms in general.</t>
  </si>
  <si>
    <t>[McLoughlin, Stephen; Bomfleur, Benjamin; Mors, Thomas] Swedish Museum Nat Hist, Dept Palaeobiol, POB 50007, S-10405 Stockholm, Sweden; [Reguero, Marcelo] Museo La Plata, Div Paleontol &amp; Vertebrados, Paseo Bosque S-N,B1900FWA La Plata, La Plata, Buenos Aires, Argentina</t>
  </si>
  <si>
    <t>Swedish Museum of Natural History; National University of La Plata; Museo La Plata</t>
  </si>
  <si>
    <t>McLoughlin, S; Bomfleur, B; Mörs, T (corresponding author), Swedish Museum Nat Hist, Dept Palaeobiol, POB 50007, S-10405 Stockholm, Sweden.;Reguero, M (corresponding author), Museo La Plata, Div Paleontol &amp; Vertebrados, Paseo Bosque S-N,B1900FWA La Plata, La Plata, Buenos Aires, Argentina.</t>
  </si>
  <si>
    <t>steve.mcloughlin@nrm.se; Benjamin.Bomfleur@nrm.se; Thomas.Mors@nrm.se; mreguero@dna.gov.ar</t>
  </si>
  <si>
    <t>Swedish Research Council (VR) [2014-5234, 2014-5232, 2009-4447]; Wenner-Gren Foundation; Consejo Nacional de Investigaciones Cientificas y Tecnicas CONICET [PIP 0462]; Argentine National Agency for Promotion of Science and Technology (ANPCyT) [PICTO-2010-0093]</t>
  </si>
  <si>
    <t>Swedish Research Council (VR)(Swedish Research Council); Wenner-Gren Foundation; Consejo Nacional de Investigaciones Cientificas y Tecnicas CONICET(Consejo Nacional de Investigaciones Cientificas y Tecnicas (CONICET)); Argentine National Agency for Promotion of Science and Technology (ANPCyT)(ANPCyT)</t>
  </si>
  <si>
    <t>We dedicate this paper to Professor S. Manum (deceased September 30, 2015) who pioneered work on fossil clitellate annelid cocoons. MR and TM are indebted to the Argentine Antarctic Institute (IAA-DNA) and to the Argentine Air Force, which provided logistical support for fieldwork on Seymour Island. TM thanks the Swedish Polar Research Secretariat (SPFS) for logistical support. We thank M. de los Reyes (Museo de La Plata) for screening and picking samples, E.M. Friis (Swedish Museum of Natural History), F. Marone and M. Stampanoni (Villigen) for providing access to, and assistance with, synchrotron imaging with the Tomcat Beamline at the Swiss Light Source, P. Scherrer Institute. We thank J. Bouchal and J. Cunningham (Swedish Museum of Natural History) for assistance with SEM analyses and computed tomography using the Avizo software, respectively. V. Belivanova kindly segmented the tomographic images for Supplementary Animation 4. Financial support from the Swedish Research Council (VR grants 2014-5234 to S.M., 2014-5232 to B.B., and 2009-4447 to T.M.), the Wenner-Gren Foundation (guest researcher fellowship to B.B.), the Consejo Nacional de Investigaciones Cientificas y Tecnicas CONICET grant PIP 0462 to M.A.R.), and the Argentine National Agency for Promotion of Science and Technology (ANPCyT grant PICTO-2010-0093 to M.A.R.) is gratefully acknowledged. We thank two anonymous reviewers and the editors for their constructive comments.</t>
  </si>
  <si>
    <t>COQUINA PRESS</t>
  </si>
  <si>
    <t>AMHERST</t>
  </si>
  <si>
    <t>C/O WHITEY HAGADORN, EXECUTIVE EDITOR, AMHERST COLLEGE, DEPT GEOLOGY, AMHERST, MA 01002 USA</t>
  </si>
  <si>
    <t>1935-3952</t>
  </si>
  <si>
    <t>1094-8074</t>
  </si>
  <si>
    <t>PALAEONTOL ELECTRON</t>
  </si>
  <si>
    <t>Palaeontol. electron.</t>
  </si>
  <si>
    <t>11A</t>
  </si>
  <si>
    <t>DK9CB</t>
  </si>
  <si>
    <t>WOS:000375226600007</t>
  </si>
  <si>
    <t>González, Y; Schneider, M; Dyroff, C; Rodríguez, S; Christner, E; García, OE; Cuevas, E; Bustos, JJ; Ramos, R; Guirado-Fuentes, C; Barthlott, S; Wiegele, A; Sepúlveda, E</t>
  </si>
  <si>
    <t>Gonzalez, Yenny; Schneider, Matthias; Dyroff, Christoph; Rodriguez, Sergio; Christner, Emanuel; Elena Garcia, Omaira; Cuevas, Emilio; Jose Bustos, Juan; Ramos, Ramon; Guirado-Fuentes, Carmen; Barthlott, Sabine; Wiegele, Andreas; Sepulveda, Eliezer</t>
  </si>
  <si>
    <t>Detecting moisture transport pathways to the subtropical North Atlantic free troposphere using paired H2O-δD in situ measurements</t>
  </si>
  <si>
    <t>WATER-VAPOR; DEUTERIUM EXCESS; AEROSOL CHARACTERIZATION; MEDITERRANEAN BASIN; RELATIVE-HUMIDITY; ISOTOPE-RATIO; AERONET; DUST; VALIDATION; DYNAMICS</t>
  </si>
  <si>
    <t>We present two years of in situ measurements of water vapour (H2O) and its isotopologue ratio (delta D, the standardized ratio between (H2O)-O-16 and (HDO)-O-16), made at two remote mountain sites on Tenerife in the subtropical North Atlantic. We show that the data - if measured during night-time - are well representative for the lower/middle free troposphere. We use the measured H2O-delta D pairs, together with dust measurements and back trajectory modelling for analysing the moisture pathways to this region. We can identify four principally different transport pathways. The air mass transport from high altitudes and high latitudes shows two different scenarios. The first scenario brings dry air masses to the stations, as the result of condensation events occurring at low temperatures. The second scenario brings humid air masses to the stations, due to cross-isentropic mixing with lower-level and more humid air during transport since last condensation (LC). The third pathway is transportation from lower latitudes and lower altitudes, whereby we can identify rain re-evaporation as an occasional source of moisture. The fourth pathway is linked to the African continent, where during summer, dry convection processes over the Sahara very effectively inject humidity from the boundary layer to higher altitudes. This so-called Saharan Air Layer (SAL) is then advected westward over the Atlantic and contributes to moisten the free troposphere. We demonstrate that the different pathways leave distinct fingerprints on the measured H2O-delta D pairs.</t>
  </si>
  <si>
    <t>[Gonzalez, Yenny] Sieltec Canarias SL, Habitat 2, Santa Cruz De Tenerife 38204, Canary Islands, Spain; [Gonzalez, Yenny; Rodriguez, Sergio; Elena Garcia, Omaira; Cuevas, Emilio; Jose Bustos, Juan; Ramos, Ramon; Guirado-Fuentes, Carmen; Sepulveda, Eliezer] Agencia Estatal Meteorol AEMET, Izana Atmospher Res Ctr, Santa Cruz De Tenerife, Canary Islands, Spain; [Schneider, Matthias; Dyroff, Christoph; Christner, Emanuel; Barthlott, Sabine; Wiegele, Andreas] Karlsruhe Inst Technol, Inst Meteorol &amp; Climate Res IMK ASF, D-76021 Karlsruhe, Germany; [Gonzalez, Yenny] MIT, Dept Earth Atmospher &amp; Planetary Sci, 77 Massachusetts Ave, Cambridge, MA 02139 USA; [Dyroff, Christoph] Aerodyne Res Inc, 45 Manning Rd, Billerica, MA 01821 USA</t>
  </si>
  <si>
    <t>Agencia Estatal de Meteorologia (AEMET); Centro de Investigacion Atmosferica de Izana (CIAI); Helmholtz Association; Karlsruhe Institute of Technology; Massachusetts Institute of Technology (MIT); Aerodyne Research</t>
  </si>
  <si>
    <t>González, Y (corresponding author), Sieltec Canarias SL, Habitat 2, Santa Cruz De Tenerife 38204, Canary Islands, Spain.;González, Y (corresponding author), Agencia Estatal Meteorol AEMET, Izana Atmospher Res Ctr, Santa Cruz De Tenerife, Canary Islands, Spain.;González, Y (corresponding author), MIT, Dept Earth Atmospher &amp; Planetary Sci, 77 Massachusetts Ave, Cambridge, MA 02139 USA.</t>
  </si>
  <si>
    <t>yglezram@mit.edu</t>
  </si>
  <si>
    <t>Schneider, Matthias/B-1441-2013; García, Omaira/M-2896-2014; Guirado-Fuentes, Carmen/K-9085-2014; Rodríguez, Sergio/J-5365-2015; Guirado-Fuentes, Carmen/JAO-0770-2023; Barthlott, Sabine/B-1439-2013; Cuevas, Emilio/L-2109-2013; Guirado-Fuentes, Carmen/HLX-3243-2023; GONZALEZ RAMOS, YENNY/ABE-8211-2021</t>
  </si>
  <si>
    <t>García, Omaira/0000-0002-8395-6440; Guirado-Fuentes, Carmen/0000-0002-4578-8204; Rodríguez, Sergio/0000-0002-1727-3107; Barthlott, Sabine/0000-0003-0258-9421; Cuevas, Emilio/0000-0003-1843-8302; GONZALEZ RAMOS, YENNY/0000-0001-5153-3972; Christner, Emanuel/0000-0002-0058-9906</t>
  </si>
  <si>
    <t>European Research Council under the European Community's Seventh Framework Programme (FP7/ERC) [256961]; project POLLINDUST [CGL2011-26259]; Minister of Economy and Competitiveness of Spain; European Community Research Infrastructure Action under the FP7 Capacities programme for Integrating Activities, ACTRIS grant [262254]; NOVIA project (Ministerio de Economia y Competitividad of Spain) [CGL2012-37505]</t>
  </si>
  <si>
    <t>European Research Council under the European Community's Seventh Framework Programme (FP7/ERC)(European Research Council (ERC)); project POLLINDUST; Minister of Economy and Competitiveness of Spain; European Community Research Infrastructure Action under the FP7 Capacities programme for Integrating Activities, ACTRIS grant; NOVIA project (Ministerio de Economia y Competitividad of Spain)</t>
  </si>
  <si>
    <t>This study has been conducted in the framework of the project MUSICA (MUlti-platform remote Sensing of Isotopologues for investigating the Cycle of Atmospheric water), funded by the European Research Council under the European Community's Seventh Framework Programme (FP7/2007-2013/ERC Grant agreement number 256961). We thank Dan Smale (NIWA, New Zealand) and the staff of Arrival Heights/Scott Base for providing the Antarctic ice water probes we used for preparing our isotopologue standards. The isotopologue composition of the probes was kindly determined by LSCE-CEA, France. Aerosol measurements are part of the project POLLINDUST (CGL2011-26259), funded by the Minister of Economy and Competitiveness of Spain. The AERONET sun photometer at Izana (PI: Emilio Cuevas) has been calibrated within AERONET EUROPE TNA supported by the European Community Research Infrastructure Action under the FP7 Capacities programme for Integrating Activities, ACTRIS grant agreement number 262254. Eliezer Sepulveda is supported by the NOVIA project (Ministerio de Economia y Competitividad of Spain, CGL2012-37505). We thank the editor and the three anonymous referees for their very constructive input and their help in improving the presentation of our results.</t>
  </si>
  <si>
    <t>10.5194/acp-16-4251-2016</t>
  </si>
  <si>
    <t>DK1VM</t>
  </si>
  <si>
    <t>WOS:000374703000003</t>
  </si>
  <si>
    <t>Yasui, R; Sato, K; Tsutsumi, M</t>
  </si>
  <si>
    <t>Yasui, Ryosuke; Sato, Kaoru; Tsutsumi, Masaki</t>
  </si>
  <si>
    <t>Seasonal and Interannual Variation of Mesospheric Gravity Waves Based on MF Radar Observations over 15 Years at Syowa Station in the Antarctic</t>
  </si>
  <si>
    <t>MIDDLE ATMOSPHERE; MU RADAR; MODEL; 69-DEGREES-S; CIRCULATION; CLIMATOLOGY; DAVIS</t>
  </si>
  <si>
    <t>The seasonal and interannual variations of the gravity waves (GWs) in the Antarctic mesosphere were examined using horizontal wind data at altitudes of 50-100 km above the medium frequency (MF) radar at Syowa Station (69.0 degrees S, 39.6 degrees E). The climatology of the GW variance reached a maximum in winter over a wide altitude range of 64-90 km, and the interannual variability was large below 80 km in spring and autumn. These features are consistent with observations from previous studies. In addition, we detected a weak but significant maximum in the GW variance in summer from 70-78 km as well as large interannual variability. Moreover, we examined three possible mechanisms underlying the GW interannual variability observed in summer. The first mechanism was modulation by stratospheric sudden warmings in the Arctic through inter-hemispheric coupling, and it was not clearly observed at Syowa Station. The second mechanism was modulation of the vertical filtering of GWs in association with the breakdown of the polar vortex in the Southern Hemisphere, and it was identified as a potential mechanism. The third mechanism was tropical convection and propagation to the Antarctic region, and it was identified as another likely mechanism of interannual variability in the GWs. This result was supported by the consistency between years with strong tropical precipitation and years with large GW variances at Syowa Station.</t>
  </si>
  <si>
    <t>[Yasui, Ryosuke; Sato, Kaoru] Univ Tokyo, Dept Earth &amp; Planetary Sci, Tokyo, Japan; [Tsutsumi, Masaki] Natl Inst Polar Res, Tokyo, Japan; [Tsutsumi, Masaki] Grad Univ Adv Studies SOKENDAI, Tokyo, Japan</t>
  </si>
  <si>
    <t>Yasui, R (corresponding author), Univ Tokyo, Dept Earth &amp; Planetary Sci, Bunkyo Ku, Hongo 7-3-1, Tokyo 1130033, Japan.</t>
  </si>
  <si>
    <t>yasui.ryosuke@eps.s.u-tokyo.ac.jp</t>
  </si>
  <si>
    <t>; Sato, Kaoru/E-1693-2012</t>
  </si>
  <si>
    <t>Yasui, Ryosuke/0000-0001-8717-7439; Sato, Kaoru/0000-0002-6225-6066</t>
  </si>
  <si>
    <t>JSPS (Japan) [25247075]; Grants-in-Aid for Scientific Research [25610145, 25247075] Funding Source: KAKEN</t>
  </si>
  <si>
    <t>JSPS (Japan)(Ministry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</si>
  <si>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supported by a JSPS Grant-in-Aid for Scientific Research (25247075) (Japan). The figures were prepared using the GFD-DENNOU library.</t>
  </si>
  <si>
    <t>10.2151/sola.2016-010</t>
  </si>
  <si>
    <t>DK2LK</t>
  </si>
  <si>
    <t>WOS:000374745800001</t>
  </si>
  <si>
    <t>Massini, JG; Escapa, IH; Guido, DM; Channing, A</t>
  </si>
  <si>
    <t>Garcia Massini, Juan; Escapa, Ignacio H.; Guido, Diego M.; Channing, Alan</t>
  </si>
  <si>
    <t>FIRST GLIMPSE OF THE SILICIFIED HOT SPRING BIOTA FROM A NEW JURASSIC CHERT DEPOSIT IN THE DESEADO MASSIF, PATAGONIA, ARGENTINA</t>
  </si>
  <si>
    <t>Geothermal deposits; Chert; Silicification; Fossil microorganisms; Paleoecosystem reconstruction; Deseado Massif; Patagonia</t>
  </si>
  <si>
    <t>FRESH-WATER; FECAL PELLETS; FOSSIL RECORD; CHIRONOMIDAE DIPTERA; ANTARCTIC PENINSULA; PLANT INTERACTIONS; GEOTHERMAL SOILS; SAN AGUSTIN; LA MARCIANA; YELLOWSTONE</t>
  </si>
  <si>
    <t>Jurassic hot-spring chert deposits in the Deseado Massif, Patagonia, Argentina, have been known for over two decades, but the associated biota has only begun to be documented recently, and thus far only from a small number of localities. Here we report the discovery of a large complex of well-exposed Upper Jurassic epithermal siliceous deposits represented by organic-rich cherts preserved within the geothermal system from La Bajada, Santa Cruz, Argentina. The chert samples analyzed so far contain exceptionally well-preserved, in situ and transported, tri-dimensionally silicified plants, animals and microorganisms. Plants include equisetaleans (Equisetum thermale), ferns and gymnosperms. Among them, well-preserved in situ osmundaceous rhizomes in different developmental stages are the dominant component of the taphoflora. Conifers are represented by wood, seeds, leaves and pollen tentatively assigned to the families Araucariaceae and Cheirolepidiaceae. The assemblage also contains vegetative and reproductive structures of fungi, oomycetes, cyanobacteria, algae, testate amoebas, ciliates and numerous remains of unresolved taxonomic affinity. Microorganisms are preserved isolated in the chert matrix or directly associated with plants and other organic remains in mutualistic, parasitic and saprotrophic engagements. Also present are numerous coprolites and arthropod remains that, along with the named microorganisms, are indicative of trophic relationships in the ecosystem. Altogether, this fossil assemblage suggests that distal paleoenvironments within the geothermal system are preserved at La Bajada. The diversity, abundance, and exceptional preservation of fossils in the La Bajada ecosystem provides a unique window into the geological past that offers a substantial contribution to the reconstruction of middle Mesozoic terrestrial ecosystems.</t>
  </si>
  <si>
    <t>[Garcia Massini, Juan] CONICET Ctr Reg Invest Cient &amp; Transferencia Tecn, Entre Rios &amp; Mendoza S-N, RA-5301 La Rioja, Argentina; [Escapa, Ignacio H.] Museo Paleontol Egidio Feruglio, Ave Fontana 140, Trelew, Chubut, Argentina; [Guido, Diego M.] Inst Recursos Minerales, CONICET UNLP, Calle 64 Esquina 120,B1900FWA, Buenos Aires, DF, Argentina; [Channing, Alan] Cardiff Univ, Sch Earth &amp; Ocean Sci, Cardiff CF10 3AT, S Glam, Wales</t>
  </si>
  <si>
    <t>Consejo Nacional de Investigaciones Cientificas y Tecnicas (CONICET); National University of La Plata; Cardiff University</t>
  </si>
  <si>
    <t>Massini, JG (corresponding author), CONICET Ctr Reg Invest Cient &amp; Transferencia Tecn, Entre Rios &amp; Mendoza S-N, RA-5301 La Rioja, Argentina.</t>
  </si>
  <si>
    <t>massini112@yahoo.com.ar</t>
  </si>
  <si>
    <t>Guido, Diego/0000-0003-4696-5644; Escapa, Ignacio/0000-0002-7042-7750</t>
  </si>
  <si>
    <t>Consejo Nacional de Investigaciones Cientificas y Tecnicas (CONICET) [202, 173]; Ministerio de Ciencia y Tecnica [PICt 2104-3496]; Culture Bureau of Santa Cruz Province</t>
  </si>
  <si>
    <t>Consejo Nacional de Investigaciones Cientificas y Tecnicas (CONICET)(Consejo Nacional de Investigaciones Cientificas y Tecnicas (CONICET)); Ministerio de Ciencia y Tecnica; Culture Bureau of Santa Cruz Province</t>
  </si>
  <si>
    <t>This contribution is dedicated to A. Zamuner, colleague and friend, who dedicated part of her academic career to the study of the Jurassic floras of Santa Cruz province. We thank the Culture Bureau of Santa Cruz Province for supporting our research and granting us the research permits to study the geothermal deposits in the Deseado Massif. Our acknowledgements are extended to the authorities and personnel of Patagonian Gold and local people for invaluable logistic support. We are also grateful to G. Poinar Jr. and B. Whitton for their help with fossil identification, to T. Echelle and I. Davie for their help with language issues, to S. De La Vega for technical assistance with samples preparation and to B. Bomfleur and S. McLoughlin for their critical review of the ms. Partial funding for this project comes from the Consejo Nacional de Investigaciones Cientificas y Tecnicas (CONICET, P. 202 &amp; 173) and Ministerio de Ciencia y Tecnica (PICt 2104-3496) (to JLGM &amp; DG).</t>
  </si>
  <si>
    <t>10.5710/AMGH.26.01.2016.2916</t>
  </si>
  <si>
    <t>DI6HD</t>
  </si>
  <si>
    <t>WOS:000373598900007</t>
  </si>
  <si>
    <t>Hamsher, S; Kopalová, K; Kociolek, JP; Zidarova, R; Van De Vijver, B</t>
  </si>
  <si>
    <t>Hamsher, Sarah; Kopalova, Katerina; Kociolek, J. Patrick; Zidarova, Ralitsa; Van De Vijver, Bart</t>
  </si>
  <si>
    <t>The genus Nitzschia on the South Shetland Islands and James Ross Island</t>
  </si>
  <si>
    <t>FOTTEA</t>
  </si>
  <si>
    <t>Nitzschia; Bacillariophyta; Maritime Antarctic Region; new species; taxonomy</t>
  </si>
  <si>
    <t>MARITIME ANTARCTIC REGION; FRESH-WATER LAKES; LIVINGSTON ISLAND; MUELLERIA BACILLARIOPHYTA; PSEUDO-NITZSCHIA; EAST ANTARCTICA; BYERS PENINSULA; DIATOMS; LANCEOLATAE; MORPHOLOGY</t>
  </si>
  <si>
    <t>The purpose of this study was to present LM and SEM observations of Nitzschia taxa encountered on the South Shetland Islands and James Ross Island. During the ongoing taxonomical revision of the freshwater and limno-terrestrial diatom flora on the South Shetland Islands and James Ross Island (Maritime Antarctic Region) eight unknown taxa belonging to the genus Nitzschia were found. These taxa were previously force-fitted into European names such as N. commutata or N. perminuta, but detailed light and scanning electron microscopical observations allowed their separation from the already known taxa and resulted in the description of eight new species. The paper discusses all twelve Nitzschia taxa found in the Maritime Antarctic Region. New taxa are compared to the morphologically most similar taxa and their ecology and biogeography are discussed. Although the genus Nitzschia is present worldwide, a large number of Nitzschia taxa have a restricted distribution within the Antarctic Region, showing a clear bioregionalism.</t>
  </si>
  <si>
    <t>[Hamsher, Sarah; Kociolek, J. Patrick] Univ Colorado, Museum Nat Hist, Boulder, CO 80309 USA; [Hamsher, Sarah; Kociolek, J. Patrick] Univ Colorado, Dept Ecol &amp; Evolutionary Biol, Boulder, CO 80309 USA; [Kopalova, Katerina] Charles Univ Prague, Fac Sci, Dept Ecol, Vinicna 7, CZ-12844 Prague 2, Czech Republic; [Kopalova, Katerina] Acad Sci Czech Republic, Inst Bot, Ctr Phycol, Dukelska 135, CS-37982 Trebon, Czech Republic; [Zidarova, Ralitsa] Sofia Univ St Kliment Ohridski, Fac Biol, Dept Bot, 8 Dragan Tzankov Blvd, Sofia 1164, Bulgaria; [Van De Vijver, Bart] Bot Garden Meise, Dept Bryophyta &amp; Thallophyta, Nieuwelaan 38, B-1860 Meise, Belgium; [Van De Vijver, Bart] Univ Antwerp, Dept Biol ECOBE, Univ Pl 1, B-2610 Antwerp, Belgium</t>
  </si>
  <si>
    <t>University of Colorado System; University of Colorado Boulder; University of Colorado System; University of Colorado Boulder; Charles University Prague; Czech Academy of Sciences; Institute of Botany of the Czech Academy of Sciences; University of Sofia; University of Antwerp</t>
  </si>
  <si>
    <t>Van De Vijver, B (corresponding author), Bot Garden Meise, Dept Bryophyta &amp; Thallophyta, Nieuwelaan 38, B-1860 Meise, Belgium.;Van De Vijver, B (corresponding author), Univ Antwerp, Dept Biol ECOBE, Univ Pl 1, B-2610 Antwerp, Belgium.</t>
  </si>
  <si>
    <t>bart.vandevijver@plantentuinmeise.be</t>
  </si>
  <si>
    <t>Zidarova, Ralitsa/I-3793-2017; Kopalova, Katerina/M-6207-2017</t>
  </si>
  <si>
    <t>Kopalova, Katerina/0000-0002-7905-4268; Zidarova, Ralitsa/0000-0002-6451-0099</t>
  </si>
  <si>
    <t>long-term research development project RVO [67985939]; FWO project [G.0533.07]; BELSPO project CCAMBIO; Bulgarian Science Fund [(sic)MY 03-63]</t>
  </si>
  <si>
    <t>long-term research development project RVO; FWO project(FWO); BELSPO project CCAMBIO; Bulgarian Science Fund(National Science Fund of Bulgaria)</t>
  </si>
  <si>
    <t>This study was supported as a long-term research development project RVO no. 67985939. Samples on Byers Peninsula were taken in the framework of the IPY-Limnopolar Project POL2006-06635 (Ministerio de Ciencia y Tecnologia, Spain). Sampling and/or observations on Dart Island, Deception Island, King George Island and Nelson Island were done within (sic)MY 03-63 (Bulgarian Science Fund). Dr. B. UZUNOV (University of Sofia), the staff of Decepcion Base on Deception Island and Bellingshausen Station on King George Island are thanked for their help during the field work. Part of this research was funded within the FWO project G.0533.07 and by the BELSPO project CCAMBIO. Dr. ALEX BALL and the staff of the IAC laboratory at the Natural History Museum are thanked for their help with the scanning electron microscopy.</t>
  </si>
  <si>
    <t>CZECH PHYCOLOGICAL SOC</t>
  </si>
  <si>
    <t>PRAHA 2</t>
  </si>
  <si>
    <t>BENATSKA 2,, PRAHA 2, CZ-128 01, CZECH REPUBLIC</t>
  </si>
  <si>
    <t>1802-5439</t>
  </si>
  <si>
    <t>Fottea</t>
  </si>
  <si>
    <t>10.5507/fot.2015.023</t>
  </si>
  <si>
    <t>DI6BW</t>
  </si>
  <si>
    <t>WOS:000373585200007</t>
  </si>
  <si>
    <t>Ivanova, EV; Murdmaa, IO; Emelyanov, EM; Seitkalieva, EA; Radionova, EP; Alekhina, GN; Sloistov, SM</t>
  </si>
  <si>
    <t>Ivanova, E. V.; Murdmaa, I. O.; Emelyanov, E. M.; Seitkalieva, E. A.; Radionova, E. P.; Alekhina, G. N.; Sloistov, S. M.</t>
  </si>
  <si>
    <t>Postglacial paleoceanographic environments in the Barents and Baltic seas</t>
  </si>
  <si>
    <t>OCEANOLOGY</t>
  </si>
  <si>
    <t>RADIOCARBON AGE CALIBRATION; QUATERNARY ICE-SHEET; HIGH-RESOLUTION; ATLANTIC WATER; LAST DEGLACIATION; NORTHERN BARENTS; NORDIC SEAS; SVALBARD; RECONSTRUCTION; CLIMATE</t>
  </si>
  <si>
    <t>This paper presents reconstructions of ice sheet boundaries, lacustrine and marine paleobasins, as well as the connections of the Barents and Baltic seas with the North Atlantic from the Last Glacial Maximum to the Holocene. The reconstructions are based on original and published data obtained from the northern and western parts of the Barents Sea and Baltic depressions with account for the available regional schematic maps of deglaciation. The early deglaciation of the Scandinavian-Barents ice sheet culminated with the Bolling-Allerod interstadial (14.5-12.9 cal ka BP), which was characterized by a more vigorous Atlantic meridional overturning circulation (AMOC) and a corresponding increase in surface Atlantic water inflow into the Barents Sea through deep troughs. The Baltic Ice Lake (BIL) remained a dammed-up isolated basin during deglaciation from 16.0 to 11.7 cal ka BP. In the Younger Dryas (YD), the lake drained into the North Sea and was replaced by a brackish Yoldia Sea (YS) at the beginning of the Holocene (Preboreal, 11.7-10.7 cal ka BP), due to a limited connection between two basins through the Narke Strait. In the Barents Sea, the next increase in the Atlantic water influx into the deep basins corresponded to terminal YD and Preboreal events with a culmination in the Early Holocene. The Yoldia Sea became a lake again during the next stage, the Ancylus (similar to 10.7-8.8 cal ka BP). Atlantic water inflow both into the Barents and Baltic seas varied during the Holocene, with a maximum contribution in the Early Holocene, when the Littorina Sea (LS, 8-4 cal ka BP) connection with the North Sea via the Danish Straits was formed to replace the Ancylus Lake. The recent, post-Littorina stage (PS, the last 4 cal ka) of the Baltic Sea evolution began in the Late Holocene.</t>
  </si>
  <si>
    <t>[Ivanova, E. V.; Murdmaa, I. O.; Seitkalieva, E. A.; Alekhina, G. N.; Sloistov, S. M.] Russian Acad Sci, Shirshov Inst Oceanol, Moscow, Russia; [Emelyanov, E. M.] Russian Acad Sci, Inst Oceanol, Atlantic Dept, Kaliningrad, Russia; [Seitkalieva, E. A.] Moscow MV Lomonosov State Univ, Dept Geol, Moscow, Russia; [Radionova, E. P.] Russian Acad Sci, Inst Geol, Moscow V71, Russia</t>
  </si>
  <si>
    <t>Russian Academy of Sciences; Shirshov Institute of Oceanology; Russian Academy of Sciences; Lomonosov Moscow State University; Russian Academy of Sciences; Geological Institute, Russian Academy of Sciences</t>
  </si>
  <si>
    <t>Ivanova, EV (corresponding author), Russian Acad Sci, Shirshov Inst Oceanol, Moscow, Russia.</t>
  </si>
  <si>
    <t>e_v_ivanova@ocean.ru</t>
  </si>
  <si>
    <t>Ivanova, Elena V/B-3775-2016; Emelyanov, Emelyan/I-6104-2016; Murdmaa, Ivar/T-3538-2017; Ivanova, Elena/AAW-2881-2020</t>
  </si>
  <si>
    <t>Ivanova, Elena/0000-0003-3926-0590</t>
  </si>
  <si>
    <t>Russian Science Foundation [14-50-00095]; Otto Schmidt Laboratory for Marine and Polar Research of the Arctic and Antarctic Research Institute, St. Petersburg [OSL 1409, OSL 15-08, S-2519]</t>
  </si>
  <si>
    <t>Russian Science Foundation(Russian Science Foundation (RSF)); Otto Schmidt Laboratory for Marine and Polar Research of the Arctic and Antarctic Research Institute, St. Petersburg</t>
  </si>
  <si>
    <t>We thank T.L. Rasmussen for the discussion of results and E.I. Polyakova for her useful recommendations. This work was supported by the Russian Science Foundation (grant no. 14-50-00095) (E.V. Ivanova, I.O. Murdmaa) and Otto Schmidt Laboratory for Marine and Polar Research of the Arctic and Antarctic Research Institute, St. Petersburg (grant nos. OSL 1409 and OSL 15-08; micropaleontological, lithological, and petrographic study of the Core S-2519).</t>
  </si>
  <si>
    <t>0001-4370</t>
  </si>
  <si>
    <t>1531-8508</t>
  </si>
  <si>
    <t>OCEANOLOGY+</t>
  </si>
  <si>
    <t>Oceanology</t>
  </si>
  <si>
    <t>10.1134/S0001437016010057</t>
  </si>
  <si>
    <t>Oceanography</t>
  </si>
  <si>
    <t>DI6XK</t>
  </si>
  <si>
    <t>WOS:000373643300016</t>
  </si>
  <si>
    <t>Demina, LL; Oskina, NS; Galkin, SV</t>
  </si>
  <si>
    <t>Demina, L. L.; Oskina, N. S.; Galkin, S. V.</t>
  </si>
  <si>
    <t>Trace metal accumulation in carbonate biominerals of the Atlantic Ocean</t>
  </si>
  <si>
    <t>GEOCHEMICAL MIGRATION; HYDROTHERMAL FIELD; VENT FIELDS; BIOACCUMULATION; COMMUNITIES; HABITATS; RIDGE; ZN; CD; FE</t>
  </si>
  <si>
    <t>New data on trace metal (As, Cd, Co, Cr, Cu, Fe, Mn, Ni, Pb) distribution in carbonate biominerals formed in geochemically different oceanic environments are discussed. Calcite shells of shelf and deepwater hydrothermal vent mussels as well as planktic foraminifers and pteropods from the central Atlantic Ocean have been studied. The variability in concentrations of most trace elements between different groups of calcifying organisms are usually within one order of magnitude, except for Fe and Mn, the elevated contents of which in microfossils are caused by post-sedimentation interaction. Different groups of calcifying organisms demonstrate a biogeochemical uniformity in trace metal accumulation during the biomineralization processes.</t>
  </si>
  <si>
    <t>[Demina, L. L.; Oskina, N. S.; Galkin, S. V.] Russian Acad Sci, Shirshov Inst Oceanol, Moscow, Russia</t>
  </si>
  <si>
    <t>Russian Academy of Sciences; Shirshov Institute of Oceanology</t>
  </si>
  <si>
    <t>Demina, LL; Oskina, NS; Galkin, SV (corresponding author), Russian Acad Sci, Shirshov Inst Oceanol, Moscow, Russia.</t>
  </si>
  <si>
    <t>l_demina@mail.ru; nsoskina@mail.ru; galkin@ocean.ru</t>
  </si>
  <si>
    <t>Galkin, Sergey/ABB-9941-2020</t>
  </si>
  <si>
    <t>Russian Science Foundation [14-50-00095]</t>
  </si>
  <si>
    <t>Russian Science Foundation(Russian Science Foundation (RSF))</t>
  </si>
  <si>
    <t>This work was performed in the framework of State Assignment no. 0149-2014-0026 Systematic Study of Sedimentation Processes in the Russian Seas, Arctic, and Antarctic Oceans. Processing of materials collected previously was financially supported by the Russian Science Foundation (project no. 14-50-00095).</t>
  </si>
  <si>
    <t>10.1134/S0001437016010033</t>
  </si>
  <si>
    <t>WOS:000373643300017</t>
  </si>
  <si>
    <t>Ding, MH; Xiao, CD; Yang, YD; Wang, YT; Li, CJ; Yuan, NM; Shi, GT; Sun, WJ; Ming, J</t>
  </si>
  <si>
    <t>Ding, Minghu; Xiao, Cunde; Yang, Yuande; Wang, Yetang; Li, Chuanjin; Yuan, Naiming; Shi, Guitao; Sun, Weijun; Ming, Jing</t>
  </si>
  <si>
    <t>Re-assessment of recent (2008-2013) surface mass balance over Dome Argus, Antarctica</t>
  </si>
  <si>
    <t>Snow accumulation; Kunlun Station; CHINARE; digital elevation model; deep ice core sites; East Antarctic Ice Sheet</t>
  </si>
  <si>
    <t>LAMBERT GLACIER BASIN; EAST ANTARCTICA; SNOW ACCUMULATION; ZHONGSHAN STATION; SPATIAL VARIABILITY; ISOTOPE COMPOSITION; VOSTOK STATION; TRAVERSE ROUTE; ICE-SHEET; TOPOGRAPHY</t>
  </si>
  <si>
    <t>At Dome Argus, East Antarctica, the surface mass balance (SMB) from 2008 to 2013 was evaluated using 49 stakes installed across a 30 x 30 km area. Spatial analysis showed that at least 12 and 20 stakes are needed to obtain reliable estimates of SMB at local scales (a few hundred square metres) and regional scales (tens of square kilometres), respectively. The estimated annual mean SMB was 22.9 +/- 5.9 kg m(-2) yr(-1), including a net loss by sublimation of -2.2 +/- 0.02 kg m(-2) yr(-1) and a mass gain by deposition of 1.37 +/- 0.01 kg m(-2) yr(-1). Therefore, ca. 14.3% of precipitation was modified after deposition, which should be considered when interpreting snow or ice core records produced by future drilling projects. The surface snow density and SMB in the western portion of Dome Argus are higher than in other areas, and these differences are likely related to the katabatic wind, which is strengthened by topography in this sector. A new digital elevation model (DEM) of Dome Argus was generated, confirming that both peaks of the dome can be considered as the summit of the East Antarctic Ice Sheet. Findings from this study should be valuable for validating SMB estimates obtained from regional climate models and DEMs established using remote-sensing data.</t>
  </si>
  <si>
    <t>[Ding, Minghu; Xiao, Cunde; Yuan, Naiming] Chinese Acad Meteorol Sci, Inst Climate Syst, Beijing 100081, Peoples R China; [Ding, Minghu; Xiao, Cunde; Li, Chuanjin; Ming, Jing] Chinese Acad Sci, State Key Lab Cryospher Sci, Cold &amp; Arid Reg Environm &amp; Engn Res Inst, Lanzhou 730000, Peoples R China; [Yang, Yuande] Wuhan Univ, Chinese Antarctic Ctr Surveying &amp; Mapping, 129 Luoyu Rd, Wuhan 430079, Peoples R China; [Wang, Yetang; Sun, Weijun] Shandong Normal Univ, Coll Populat Resources &amp; Environm, Jinan 250014, Peoples R China; [Shi, Guitao] Polar Res Inst China, Shanghai 200136, Peoples R China</t>
  </si>
  <si>
    <t>China Meteorological Administration; Chinese Academy of Meteorological Sciences (CAMS); Chinese Academy of Sciences; Cold &amp; Arid Regions Environmental &amp; Engineering Research Institute, CAS; Wuhan University; Shandong Normal University; Polar Research Institute of China</t>
  </si>
  <si>
    <t>Xiao, CD (corresponding author), Chinese Acad Meteorol Sci, Inst Climate Syst, Beijing 100081, Peoples R China.</t>
  </si>
  <si>
    <t>cdxiao@lzb.ac.cn</t>
  </si>
  <si>
    <t>Ding, Minghu/AFU-3600-2022; Ming, Jing/C-2975-2008; sun, weijun/GZB-2595-2022</t>
  </si>
  <si>
    <t>Ding, Minghu/0000-0002-1142-6598; Ming, Jing/0000-0001-5527-3768;</t>
  </si>
  <si>
    <t>National Key Basic Research Program of China [2013CBA01804]; National Science Foundation of China [41425003, 41576182, 41206179]; State Oceanic Administration [CHINARE2016]</t>
  </si>
  <si>
    <t>National Key Basic Research Program of China(National Basic Research Program of China); National Science Foundation of China(National Natural Science Foundation of China (NSFC)); State Oceanic Administration</t>
  </si>
  <si>
    <t>This study is funded by National Key Basic Research Program of China (2013CBA01804), the National Science Foundation of China (41425003; 41576182; 41206179) and the State Oceanic Administration (CHINARE2016).</t>
  </si>
  <si>
    <t>10.3402/polar.v35.26133</t>
  </si>
  <si>
    <t>DJ0RR</t>
  </si>
  <si>
    <t>WOS:000373912600001</t>
  </si>
  <si>
    <t>Humphries, RS; Klekociuk, AR; Schofield, R; Keywood, M; Ward, J; Wilson, SR</t>
  </si>
  <si>
    <t>Humphries, R. S.; Klekociuk, A. R.; Schofield, R.; Keywood, M.; Ward, J.; Wilson, S. R.</t>
  </si>
  <si>
    <t>Unexpectedly high ultrafine aerosol concentrations above East Antarctic sea ice</t>
  </si>
  <si>
    <t>NUMBER SIZE DISTRIBUTIONS; EXTRATROPICAL CYCLONE BEHAVIOR; EXPERIMENT ACE 1; PARTICLE FORMATION; BOUNDARY-LAYER; CONDENSATION NUCLEI; SULFUR EMISSIONS; COASTAL; STATION; OCEAN</t>
  </si>
  <si>
    <t>Better characterisation of aerosol processes in pristine, natural environments, such as Antarctica, have recently been shown to lead to the largest reduction in uncertainties in our understanding of radiative forcing. Our understanding of aerosols in the Antarctic region is currently based on measurements that are often limited to boundary layer air masses at spatially sparse coastal and continental research stations, with only a handful of studies in the vast sea-ice region. In this paper, the first observational study of sub-micron aerosols in the East Antarctic sea ice region is presented. Measurements were conducted aboard the icebreaker Aurora Australis in spring 2012 and found that boundary layer condensation nuclei (CN3) concentrations exhibited a fivefold increase moving across the polar front, with mean polar cell concentrations of 1130 cm(-3) - higher than any observed elsewhere in the Antarctic and Southern Ocean region. The absence of evidence for aerosol growth suggested that nucleation was unlikely to be local. Air parcel trajectories indicated significant influence from the free troposphere above the Antarctic continent, implicating this as the likely nucleation region for surface aerosol, a similar conclusion to previous Antarctic aerosol studies. The highest aerosol concentrations were found to correlate with low-pressure systems, suggesting that the passage of cyclones provided an accelerated pathway, delivering air masses quickly from the free troposphere to the surface. After descent from the Antarctic free troposphere, trajectories suggest that sea-ice boundary layer air masses travelled equatorward into the low-albedo Southern Ocean region, transporting with them emissions and these aerosol nuclei which, after growth, may potentially impact on the region's radiative balance. The high aerosol concentrations and their transport pathways described here, could help reduce the discrepancy currently present between simulations and observations of cloud and aerosol over the Southern Ocean.</t>
  </si>
  <si>
    <t>[Humphries, R. S.; Wilson, S. R.] Univ Wollongong, Ctr Atmospher Chem, Wollongong, NSW, Australia; [Klekociuk, A. R.] Australian Antarctic Div, Hobart, Tas, Australia; [Klekociuk, A. R.] Antarctic Climate &amp; Ecosyst Cooperat Res Ctr, Hobart, Tas, Australia; [Schofield, R.] Univ Melbourne, Sch Earth Sci, Melbourne, Vic, Australia; [Schofield, R.] Univ New S Wales, ARC Ctr Excellence Climate Syst Sci, Sydney, NSW, Australia; [Humphries, R. S.; Keywood, M.; Ward, J.] CSIRO Oceans &amp; Atmosphere Business Unit, Aspendale, Vic, Australia</t>
  </si>
  <si>
    <t>University of Wollongong; Australian Antarctic Division; Antarctic Climate &amp; Ecosystems Cooperative Research Centre (ACE CRC); University of Melbourne; Melbourne Bioinformatics; ARC Centre of Excellence for Climate System Science; University of New South Wales Sydney; Commonwealth Scientific &amp; Industrial Research Organisation (CSIRO)</t>
  </si>
  <si>
    <t>Humphries, RS (corresponding author), Univ Wollongong, Ctr Atmospher Chem, Wollongong, NSW, Australia.;Humphries, RS (corresponding author), CSIRO Oceans &amp; Atmosphere Business Unit, Aspendale, Vic, Australia.</t>
  </si>
  <si>
    <t>rsh615@uowmail.edu.au</t>
  </si>
  <si>
    <t>Wilson, Stephen R/O-6151-2018; Humphries, Ruhi S/M-4074-2018; Schofield, Robyn/A-4062-2010; Wilson, Stephen R/B-8541-2008; keywood, melita/C-5139-2011; Klekociuk, Andrew/A-4498-2015</t>
  </si>
  <si>
    <t>Wilson, Stephen R/0000-0003-4546-2527; Humphries, Ruhi S/0000-0002-4864-5321; Schofield, Robyn/0000-0002-4230-717X; Wilson, Stephen R/0000-0003-4546-2527; keywood, melita/0000-0001-9953-6806; Klekociuk, Andrew/0000-0003-3335-0034</t>
  </si>
  <si>
    <t>Australian Antarctic Science Grant Program (AAS Project) [4032]; CSIRO OCE Postgraduate Top-Up Scholarship</t>
  </si>
  <si>
    <t>Australian Antarctic Science Grant Program (AAS Project); CSIRO OCE Postgraduate Top-Up Scholarship</t>
  </si>
  <si>
    <t>This research was funded by the Australian Antarctic Science Grant Program (AAS Project 4032). Additional support was also provided by the CSIRO OCE Postgraduate Top-Up Scholarship.</t>
  </si>
  <si>
    <t>10.5194/acp-16-2185-2016</t>
  </si>
  <si>
    <t>DH7KC</t>
  </si>
  <si>
    <t>WOS:000372971500021</t>
  </si>
  <si>
    <t>Sioris, CE; Zou, J; McElroy, CT; Boone, CD; Sheese, PE; Bernath, PF</t>
  </si>
  <si>
    <t>Sioris, Christopher E.; Zou, Jason; McElroy, C. Thomas; Boone, Chris D.; Sheese, Patrick E.; Bernath, Peter F.</t>
  </si>
  <si>
    <t>Water vapour variability in the high-latitude upper troposphere - Part 2: Impact of volcanic eruptions</t>
  </si>
  <si>
    <t>MAY 2010 ERUPTION; MOUNT-PINATUBO; ASH; EYJAFJALLAJOKULL; PROFILES; SYSTEM; APRIL; SO2; TEMPERATURE; DEPOSITION</t>
  </si>
  <si>
    <t>The impact of volcanic eruptions on water vapour in the high-latitude upper troposphere is studied using deseasonalized time series based on observations by the Atmospheric Chemistry Experiment (ACE) water vapour sensors, namely MAESTRO (Measurements of Aerosol Extinction in the Stratosphere and Troposphere Retrieved by Occultation) and the Fourier Transform Spectrometer (ACE-FTS). The two eruptions with the greatest impact on the high-latitude upper troposphere during the time frame of this satellitebased remote sensing mission are chosen. The PuyehueCordOn Caulle volcanic eruption in June 2011 was the most explosive in the past 24 years and is shown to be able to account for the observed (50 +/- 12)% increase in water vapour in the southern high-latitude upper troposphere in July 2011 after a minor adjustment for the simultaneous influence of the Antarctic oscillation. Eyjafjallajkull erupted in the spring of 2010, increasing water vapour in the upper troposphere at northern high latitudes significantly for a period of similar to 1 month. These findings imply that extratropical volcanic eruptions in windy environments can lead to significant perturbations to high-latitude upper tropospheric humidity mostly due to entrainment of lower tropospheric moisture by windblown plumes. The Puyehue-Cordn Caulle eruption must be taken into account to properly determine the magnitude of the trend in southern high-latitude upper tropospheric water vapour over the last decade.</t>
  </si>
  <si>
    <t>[Sioris, Christopher E.; McElroy, C. Thomas] York Univ, Dept Earth &amp; Space Sci &amp; Engn, 4700 Keele St, Toronto, ON M3J 1P3, Canada; [Zou, Jason; Sheese, Patrick E.] Univ Toronto, Dept Phys, 60 St George St, Toronto, ON M5S 1A7, Canada; [Boone, Chris D.; Bernath, Peter F.] Univ Waterloo, Dept Chem, 200 Univ Ave W, Waterloo, ON N2L 3G1, Canada; [Bernath, Peter F.] Old Dominion Univ, Dept Chem &amp; Biochem, 4541 Hampton Blvd, Norfolk, VA 23529 USA</t>
  </si>
  <si>
    <t>York University - Canada; University of Toronto; University of Waterloo; Old Dominion University</t>
  </si>
  <si>
    <t>Bernath, Peter F/0000-0002-1255-396X; Sioris, Christopher/0000-0003-1168-8755</t>
  </si>
  <si>
    <t>The ACE mission is supported primarily by the Canadian Space Agency. David Plummer (Environment and Climate Change Canada) is acknowledged for his encouragement to perform cooling rate simulations for the Cordon Caulle eruption. The authors appreciate the availability of the AO and AAO indices from the National Oceanic and Atmospheric Administration (NOAA). The authors gratefully acknowledge the NOAA Air Resources Laboratory for the provision of the HYSPLIT transport and dispersion model used in this publication.</t>
  </si>
  <si>
    <t>10.5194/acp-16-2207-2016</t>
  </si>
  <si>
    <t>WOS:000372971500022</t>
  </si>
  <si>
    <t>Pendred, S; Fischer, A; Fischer, S</t>
  </si>
  <si>
    <t>Pendred, Sarah; Fischer, Andrew; Fischer, Sarah</t>
  </si>
  <si>
    <t>Improved Management Effectiveness of a Marine Protected Area through Prioritizing Performance Indicators</t>
  </si>
  <si>
    <t>COASTAL MANAGEMENT</t>
  </si>
  <si>
    <t>management; MPAs; performance indicators; priorities; success</t>
  </si>
  <si>
    <t>ANALYTIC HIERARCHY PROCESS; ECOSYSTEM-BASED MANAGEMENT; KEY INFORMANT TECHNIQUE; GREAT-BARRIER-REEF; DECISION-MAKING; STAKEHOLDER PREFERENCES; MOVEMENT PATTERNS; MPA MANAGEMENT; PROCESS AHP; SUSTAINABILITY</t>
  </si>
  <si>
    <t>The management success of a marine protected area (MPA) is essentially a social construct because people have differing views on what defines success. Conflicting opinions between stakeholders need to be identified and resolved to ensure these factors do not interfere with successful functioning of MPAs. This study looked at developing and prioritizing performance indicators for Maria Island Marine Nature Reserve (MIMNR), Australia. Performance indicators were developed for MIMNR based on an expert-led, structured framework and then prioritized using the Analytic Hierarchy Process (AHP), with respect to input from key informants of stakeholder groups. Results showed that all stakeholder groups agreed that management of MIMNR should first focus on abundance and size of native species, and that managers, fishers, and environmental nongovernmental organizations place a significantly higher priority on ecological over socioeconomic and governance performance indicators. Researchers placed even emphasis across all priorities. Results suggest that MIMNR should first focus on monitoring abundance and size of native species and demonstrates the capacity of the AHP to increase management effectiveness and improve the decision-making process. Furthermore, by identifying where discrepancies in preferences exist, the outcomes of this research can be used to enhance collaboration among stakeholders.</t>
  </si>
  <si>
    <t>[Pendred, Sarah; Fischer, Andrew; Fischer, Sarah] Univ Tasmania, Inst Marine &amp; Antarctic Studies, Locked Bag 1370, Launceston, Tas 7250, Australia</t>
  </si>
  <si>
    <t>Fischer, A (corresponding author), Univ Tasmania, Inst Marine &amp; Antarctic Studies, Locked Bag 1370, Launceston, Tas 7250, Australia.</t>
  </si>
  <si>
    <t>andy.fischer@utas.edu.au</t>
  </si>
  <si>
    <t>Fischer, Sarah/O-9572-2017</t>
  </si>
  <si>
    <t>Fischer, Sarah/0000-0002-3514-4122; Fischer, Andrew/0000-0001-5284-6428</t>
  </si>
  <si>
    <t>University of Tasmania; National Centre for Marine Conservation and Resource Sustainability</t>
  </si>
  <si>
    <t>The University of Tasmania and the National Centre for Marine Conservation and Resource Sustainability are thanked for their generous support of this project.</t>
  </si>
  <si>
    <t>0892-0753</t>
  </si>
  <si>
    <t>1521-0421</t>
  </si>
  <si>
    <t>COAST MANAGE</t>
  </si>
  <si>
    <t>Coast. Manage.</t>
  </si>
  <si>
    <t>10.1080/08920753.2016.1135272</t>
  </si>
  <si>
    <t>Environmental Sciences; Environmental Studies</t>
  </si>
  <si>
    <t>DH9PH</t>
  </si>
  <si>
    <t>WOS:000373127600001</t>
  </si>
  <si>
    <t>Marzloff, MP; Little, LR; Johnson, CR</t>
  </si>
  <si>
    <t>Marzloff, Martin Pierre; Little, L. Richard; Johnson, Craig R.</t>
  </si>
  <si>
    <t>Building Resilience Against Climate-Driven Shifts in a Temperate Reef System: Staying Away from Context-Dependent Ecological Thresholds</t>
  </si>
  <si>
    <t>ECOSYSTEMS</t>
  </si>
  <si>
    <t>alternative community states; climate-driven range extension; phase shift; trophic cascade; ecosystem effects of fishing; temperate rocky reef; community dynamics; seaweed bed; sea urchin barrens; southern rock lobster; ecological modelling</t>
  </si>
  <si>
    <t>NEW-SOUTH-WALES; REGIME SHIFTS; SENSITIVITY-ANALYSIS; WARNING SIGNALS; KELP BEDS; ECOSYSTEM; URCHIN; MANAGEMENT; STATES; REPRODUCTION</t>
  </si>
  <si>
    <t>As climate-driven environmental changes and anthropogenic perturbations increasingly affect ecological systems, the number of abrupt phase shifts in ecosystem dynamics is rising, with far-reaching ecological, economic and social effects. These shifts are notoriously difficult to study, anticipate and manage. Although indicators of impending phase shifts in ecosystems have been described theoretically, they have only been observed empirically either after the fact or under controlled experiments. Here we demonstrate the usefulness of case-specific simulation models to estimate tipping points in the dynamics of real ecological systems, characterise how these thresholds may vary depending on local conditions and derive safe management targets associated with low risk of undesirable phase shifts. Under the combined effects of ocean changes and fishing, inshore rocky reefs in eastern Tasmania can transition from dense seaweed beds to sea urchin 'barrens' habitat, realising severe local loss of habitat, productivity and valuable fisheries. Using Monte-Carlo simulations with a validated model that realistically captures reef dynamics, we characterise the hysteresis in community dynamics and the variability in ecological thresholds along the gradient of environmental conditions. Simulation suggests that prevention of ongoing sea urchin destructive grazing of macroalgal beds is achievable but the yet-to-be-observed restoration of seaweed beds from extensive sea urchin barrens is highly unlikely. To guide management against undesirable phase shifts, we define target points associated with low risk of widespread barrens formation and show that, along with sea urchin culling, recognising the role of lobsters in mitigating sea urchin destructive grazing through predation is key to maintain reef productivity.</t>
  </si>
  <si>
    <t>[Marzloff, Martin Pierre; Johnson, Craig R.] Univ Tasmania, Inst Marine &amp; Antarctic Studies, Private Bag 129, Hobart, Tas 7001, Australia; [Little, L. Richard] CSIRO Wealth Ocean Flagship, CSIRO Marine &amp; Atmospher Res, Hobart, Tas 7000, Australia</t>
  </si>
  <si>
    <t>University of Tasmania; Commonwealth Scientific &amp; Industrial Research Organisation (CSIRO)</t>
  </si>
  <si>
    <t>Marzloff, MP (corresponding author), Univ Tasmania, Inst Marine &amp; Antarctic Studies, Private Bag 129, Hobart, Tas 7001, Australia.</t>
  </si>
  <si>
    <t>Martin.Marzloff@utas.edu.au</t>
  </si>
  <si>
    <t>Marzloff, Martin/AAY-3833-2020; Little, Rich/E-7578-2011; Johnson, Craig/E-1788-2013</t>
  </si>
  <si>
    <t>Marzloff, Martin/0000-0002-8152-4273; Little, Rich/0000-0002-5650-7391; Johnson, Craig/0000-0002-9511-905X</t>
  </si>
  <si>
    <t>joint CSIRO-University of Tasmania program in Quantitative Marine Science (QMS); CSIRO Wealth from Ocean flagship; Endeavour International Postgraduate Research (EIPR) scholarship; Tasmanian Marine Science fellowship; FRDC; NRM scheme</t>
  </si>
  <si>
    <t>MPM was supported by a PhD scholarship co-funded by the joint CSIRO-University of Tasmania program in Quantitative Marine Science (QMS) and the CSIRO Wealth from Ocean flagship. MPM was also the recipient of an Endeavour International Postgraduate Research (EIPR) scholarship and a Tasmanian Marine Science fellowship to collaborate with Jean-Christophe Soulie. Parameterisation of the TRITON model was based largely on empirical observations made possible through funding to CRJ from the FRDC and NRM scheme. We are grateful to two anonymous reviewers for their constructive comments.</t>
  </si>
  <si>
    <t>233 SPRING ST, NEW YORK, NY 10013 USA</t>
  </si>
  <si>
    <t>1432-9840</t>
  </si>
  <si>
    <t>1435-0629</t>
  </si>
  <si>
    <t>Ecosystems</t>
  </si>
  <si>
    <t>10.1007/s10021-015-9913-6</t>
  </si>
  <si>
    <t>Ecology</t>
  </si>
  <si>
    <t>DH8BH</t>
  </si>
  <si>
    <t>WOS:000373017800001</t>
  </si>
  <si>
    <t>Boullot, N; Rabier, F; Langland, R; Gelaro, R; Cardinali, C; Guidard, V; Bauer, P; Doerenbecher, A</t>
  </si>
  <si>
    <t>Boullot, Nathalie; Rabier, Florence; Langland, Rolf; Gelaro, Ron; Cardinali, Carla; Guidard, Vincent; Bauer, Peter; Doerenbecher, Alexis</t>
  </si>
  <si>
    <t>Observation impact over the southern polar area during the Concordiasi field campaign</t>
  </si>
  <si>
    <t>QUARTERLY JOURNAL OF THE ROYAL METEOROLOGICAL SOCIETY</t>
  </si>
  <si>
    <t>dropsondes; forecast sensitivity to observations; observing-system experiment; forecast score</t>
  </si>
  <si>
    <t>RADIATION DRY BIAS</t>
  </si>
  <si>
    <t>The impact of observations on analysis uncertainty and forecast performance was investigated for austral spring 2010 over the southern polar area for four different systems (NRL, GMAO, ECMWF and Meteo-France) at the time of the Concordiasi field experiment. The largest multi-model variance in 500 hPa height analyses is found in the southern sub-Antarctic oceanic region, where there are rapidly evolving weather systems, rapid forecast-error growth, and fewer upper-air wind observation data to constrain the analyses. The total impact of all observations on the model forecast was computed using the 24 h forecast sensitivity-to-observations diagnostic. Observation types that contribute most to the reduction of the forecast error are shown to be AMSU, IASI, AIRS, GPS-RO, radiosonde, surface and atmospheric motion vector observations. For sounding data, radiosondes and dropsondes, one can note a large impact on the analysis and forecasts of temperature at low levels and a large impact of wind at high levels. Observing system experiments using the Concordiasi dropsondes show a large impact of the observations over the Antarctic plateau extending to lower latitudes with the forecast range, with the largest impact around 50-70 degrees S. These experiments indicate there is a potential benefit from using radiance data better over land and sea-ice and from innovative atmospheric motion vectors obtained from a combination of various satellites to fill the current data gaps and improve numerical weather prediction analyses in this region.</t>
  </si>
  <si>
    <t>[Boullot, Nathalie; Rabier, Florence; Guidard, Vincent; Doerenbecher, Alexis] Meteo France, CNRS, GAME, CNRM, 42 Ave Coriolis, F-31057 Toulouse 1, France; [Rabier, Florence; Cardinali, Carla; Bauer, Peter] European Ctr Medium Range Weather Forecasts, Reading, Berks, England; [Langland, Rolf] US Navy, Res Lab, Monterey, CA USA; [Gelaro, Ron] NASA, Goddard Space Flight Ctr, Global Modeling &amp; Assimilat Off, Greenbelt, MD USA</t>
  </si>
  <si>
    <t>Centre National de la Recherche Scientifique (CNRS); Meteo France; European Centre for Medium-Range Weather Forecasts (ECMWF); National Aeronautics &amp; Space Administration (NASA); NASA Goddard Space Flight Center</t>
  </si>
  <si>
    <t>Boullot, N (corresponding author), Meteo France, CNRM GMAP, 42 Ave Coriolis, F-31057 Toulouse 1, France.</t>
  </si>
  <si>
    <t>nathalie.boullot@meteo.fr</t>
  </si>
  <si>
    <t>GUIDARD, Vincent/X-3762-2019; Bauer, Peter/AAN-7317-2020</t>
  </si>
  <si>
    <t>GUIDARD, Vincent/0000-0002-4136-3962; Bauer, Peter/0000-0002-3205-6055; Rabier, Florence/0000-0002-3222-6712</t>
  </si>
  <si>
    <t>Meteo-France; CNES; CNRS/INSU; NSF; NCAR; University of Wyoming; Purdue University; University of Colorado; Alfred Wegener Institute; Met Office; ECMWF; IPEV; PNRA; USAP; BAS</t>
  </si>
  <si>
    <t>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 IPEV; PNRA; USAP; BAS</t>
  </si>
  <si>
    <t>Concordiasi is an international project, supported by the following agencies: Meteo-France, CNES, CNRS/INSU, NSF, NCAR, University of Wyoming, Purdue University, University of Colorado, the Alfred Wegener Institute, the Met Office and ECMWF. Concordiasi also benefits from logistic or financial support of the operational polar agencies IPEV, PNRA, USAP and BAS, and from BSRN measurements at Concordia. Concordiasi is part of the THORPEX-IPY cluster within the International Polar Year effort. The authors would like to acknowledge Cihan Sahin (ECMWF) for providing the singular vectors optimised over the southern polar area during the Concordiasi experiment.</t>
  </si>
  <si>
    <t>WILEY</t>
  </si>
  <si>
    <t>HOBOKEN</t>
  </si>
  <si>
    <t>111 RIVER ST, HOBOKEN 07030-5774, NJ USA</t>
  </si>
  <si>
    <t>0035-9009</t>
  </si>
  <si>
    <t>1477-870X</t>
  </si>
  <si>
    <t>Q J ROY METEOR SOC</t>
  </si>
  <si>
    <t>Q. J. R. Meteorol. Soc.</t>
  </si>
  <si>
    <t>10.1002/qj.2470</t>
  </si>
  <si>
    <t>DH7DJ</t>
  </si>
  <si>
    <t>Green Published, hybrid</t>
  </si>
  <si>
    <t>WOS:000372951300007</t>
  </si>
  <si>
    <t>Sterk, HAM; Steeneveld, GJ; Bosveld, FC; Vihma, T; Anderson, PS; Holtslag, AAM</t>
  </si>
  <si>
    <t>Sterk, H. A. M.; Steeneveld, G. J.; Bosveld, F. C.; Vihma, T.; Anderson, P. S.; Holtslag, A. A. M.</t>
  </si>
  <si>
    <t>Clear-sky stable boundary layers with low winds over snow-covered surfaces. Part 2: Process sensitivity</t>
  </si>
  <si>
    <t>stable boundary layer; modelling; WRF; snow-surface; low wind speeds; surface coupling; long-wave radiation; turbulent mixing</t>
  </si>
  <si>
    <t>ENERGY-BALANCE CLOSURE; LONGWAVE RADIATION; LAND-SURFACE; ATMOSPHERIC MODELS; CLIMATE MODELS; DIURNAL CYCLES; LATENT-HEAT; WRF MODEL; SEA-ICE; TURBULENCE</t>
  </si>
  <si>
    <t>This study evaluates the relative impact of snow-surface coupling, long-wave radiation, and turbulent mixing on the development of the stable boundary layer over snow. Observations at three sites are compared to WRF single-column model (SCM) simulations. All three sites have snow-covered surfaces but are otherwise contrasting: Cabauw (Netherlands, grass), Sodankyla (Finland, needle-leaf forest) and Halley (Antarctica, ice shelf). All cases are characterized by stable, clear-sky, and calm conditions. Part 1 of this study determined the optimal SCM forcing strategy. In this study, the process intensities from that reference are perturbed to study their relative significance and to assess which process could be responsible for the most optimal agreement between model and observation. The analysis reveals a large variability in the modelled atmospheric state and surface parameters. Overall, the modelled gradients of temperature and moisture are underestimated but decreasing the process intensities improves this. The impact is strongest with reduced mixing, though this then causes the model to overestimate the near-surface wind speed. To study the surface energy balance terms, we use so-called process diagrams'. The achieved variation between the sensitivity runs indicates the model sensitivity to each process. The overall sensitivity is similar for the three sites but the relative offsets in the position of the sensitivity runs with respect to the observations differ, hampering general recommendations for model improvement. Furthermore, sometimes a meaningful interpretation of observations is troublesome, which hampers the comparison with model results. Radiation is relatively more important at Cabauw and Sodankyla, whilst coupling plays a more important role at Halley. The sensitivity analysis is performed with two boundary-layer schemes (MYJ, YSU). YSU generates larger, more accurate gradients of atmospheric temperature and humidity, while wind speeds are predicted better with MYJ. The behaviour of an increase in 2 m temperature with decreased mixing is most obvious with YSU.</t>
  </si>
  <si>
    <t>[Sterk, H. A. M.; Steeneveld, G. J.; Holtslag, A. A. M.] Wageningen Univ, Meteorol &amp; Air Qual Sect, POB 47, NL-6700 AA Wageningen, Netherlands; [Bosveld, F. C.] Royal Netherlands Meteorol Inst, POB 201, NL-3730 AE De Bilt, Netherlands; [Vihma, T.] Finnish Meteorol Inst, FIN-00101 Helsinki, Finland; [Anderson, P. S.] Scottish Assoc Marine Sci, Oban, Argyll, Scotland</t>
  </si>
  <si>
    <t>Wageningen University &amp; Research; Royal Netherlands Meteorological Institute; Finnish Meteorological Institute; UHI Millennium Institute</t>
  </si>
  <si>
    <t>Sterk, HAM (corresponding author), Wageningen Univ, Meteorol &amp; Air Qual Sect, POB 47, NL-6700 AA Wageningen, Netherlands.</t>
  </si>
  <si>
    <t>sterk.ham@gmail.com</t>
  </si>
  <si>
    <t>Holtslag, Bert/HCH-1861-2022; Holtslag, Albert A.M./B-7842-2010; Bosveld, Fred/AAE-8790-2020; Vihma, Timo/ABC-9771-2020; Steeneveld, Gert-Jan/B-2816-2010</t>
  </si>
  <si>
    <t>Holtslag, Albert A.M./0000-0003-0995-2481; Steeneveld, Gert-Jan/0000-0002-5922-8179</t>
  </si>
  <si>
    <t>NWO [829.09.005, 863.10.010]; Academy of Finland [263918, 283101]</t>
  </si>
  <si>
    <t>NWO(Netherlands Organization for Scientific Research (NWO)); Academy of Finland(Research Council of Finland)</t>
  </si>
  <si>
    <t>We thank Dr Reinder Ronda (Wageningen University) for his valuable discussions regarding WRF-related issues. Furthermore, we would like to thank the Royal Netherlands Meteorological Institute, the Finnish Meteorological Institute and the British Antarctic Survey for the observational data used in this study. We thank the ECMWF for the boundary conditions that were used in the WRF-3D simulations. We acknowledge the support from NWO with grant 829.09.005 and 863.10.010 and the Academy of Finland (grants 263918 and 283101).</t>
  </si>
  <si>
    <t>10.1002/qj.2684</t>
  </si>
  <si>
    <t>WOS:000372951300025</t>
  </si>
  <si>
    <t>Montero, E; González, LM; Chaparro, A; Benzal, J; Bertellotti, M; Masero, JA; Colominas-Ciuró, R; Vidal, V; Barbosa, A</t>
  </si>
  <si>
    <t>Montero, Estrella; Miguel Gonzalez, Luis; Chaparro, Alberto; Benzal, Jesus; Bertellotti, Marcelo; Masero, Jose A.; Colominas-Ciuro, Roger; Vidal, Virginia; Barbosa, Andres</t>
  </si>
  <si>
    <t>First record of Babesia sp in Antarctic penguins</t>
  </si>
  <si>
    <t>TICKS AND TICK-BORNE DISEASES</t>
  </si>
  <si>
    <t>Antarctica; Babesia sp.; Deception Island; Pygoscelis antarctica (Chinstrap penguin); Vapour Col penguin rookery</t>
  </si>
  <si>
    <t>LYME-DISEASE; IXODES-URIAE; TICK</t>
  </si>
  <si>
    <t>This is the first reported case of Babesia sp. in Antarctic penguins, specifically a population of Chinstrap penguins (Pygoscelis antarctica) in the Vapour Col penguin rookery in Deception Island, South Shetlands, Antarctica. We collected peripheral blood from 50 adult and 30 chick Chinstrap penguins. Examination of the samples by microscopy showed intraerythrocytic forms morphologically similar to other avian Babesia species in 12 Chinstrap penguin adults and seven chicks. The estimated parasitaemias ranged from 0.25 x 10(-2)% to 0.75 x 10(-2)%. Despite the low number of parasites found in blood smears, semi-nested PCR assays yielded a 274 bp fragment in 12 of the 19 positive blood samples found by microscopy. Sequencing revealed that the fragment was 97% similar to Babesia sp. 18S rRNA from Australian Little Penguins (Eudyptula minor) confirming presence of the parasite. Parasite prevalence estimated by microscopy in adults and chicks was higher (24% vs. 23.3%, respectively) than found by semi-nested PCR (16% vs. 13.3% respectively). Although sampled penguins were apparently healthy, the effect of Babesia infection in these penguins is unknown. The identification of Babesia sp. in Antarctic penguins is an important finding. Ixodes uriae, as the only tick species present in the Antarctic Peninsula, is the key to understanding the natural history of this parasite. Future work should address the transmission dynamics and pathogenicity of Babesia sp. in Chinstrap penguin as well as in other penguin species, such as Gentoo penguin (Pygoscelis papua) and Adelie penguin (Pygoscelis adeliae), present within the tick distribution range in the Antarctic Peninsula. (C) 2016 Elsevier GmbH. All rights reserved.</t>
  </si>
  <si>
    <t>[Montero, Estrella; Miguel Gonzalez, Luis; Chaparro, Alberto] Inst Salud Carlos III, Ctr Nacl Microbiol, Serv Parasitol, Carretera Majadahonda Pozuelo Km 2,2, Madrid 28220, Spain; [Benzal, Jesus] Estn Expt Zonas Aridas CSIC, Dept Funct &amp; Evolutionary Ecol, Carretera Sacramento S-N, La Canada De San Urbano 04120, Almeria, Spain; [Bertellotti, Marcelo] Ctr Estudios Sistemas Marinos CENPAT CONICET, Bvd Almirante Brown 2915,U9120ACD, Puerto Madryn, Chubut, Argentina; [Masero, Jose A.] Univ Extremadura, Fac Ciencias, Zool, Av Elvas S-N, E-06071 Badajoz, Spain; [Colominas-Ciuro, Roger; Vidal, Virginia; Barbosa, Andres] CSIC, Museo Nacl Ciencias Nat, Dept Ecol Evolut, Jose Gutierrez Abascal 2, E-28006 Madrid, Spain</t>
  </si>
  <si>
    <t>Instituto de Salud Carlos III; Centro Nacional de Microbiologia (CNM); Consejo Superior de Investigaciones Cientificas (CSIC); CSIC - Estacion Experimental de Zonas Aridas (EEZA); Centro Nacional Patagonico (CENPAT); Universidad de Extremadura; Consejo Superior de Investigaciones Cientificas (CSIC); CSIC - Museo Nacional de Ciencias Naturales (MNCN)</t>
  </si>
  <si>
    <t>Montero, E (corresponding author), Inst Salud Carlos III, Ctr Nacl Microbiol, Serv Parasitol, Carretera Majadahonda Pozuelo Km 2,2, Madrid 28220, Spain.</t>
  </si>
  <si>
    <t>estrella.montero@isciii.es</t>
  </si>
  <si>
    <t>Gonzalez Martinez, Luis Miguel/O-6377-2018; Barbosa, Andrés/C-3208-2008; Bertellotti, Marcelo/GQZ-7950-2022; Benzal, Jesús/T-4555-2017; Masero, Jose A./P-3418-2019; Montero, Estrella/M-3648-2018; Chaparro, Alberto/D-8701-2018; Colominas-Ciuro, Roger/ADL-7809-2022</t>
  </si>
  <si>
    <t>Gonzalez Martinez, Luis Miguel/0000-0002-9107-2450; Barbosa, Andrés/0000-0001-8434-3649; Masero, Jose A./0000-0001-5318-4833; Montero, Estrella/0000-0002-3852-960X; Bertellotti, Marcelo/0000-0002-1834-7788; Chaparro, Alberto/0000-0002-9290-305X; Colominas-Ciuro, Roger/0000-0001-6312-0702</t>
  </si>
  <si>
    <t>Spanish Ministry of Economy and Competitiveness [BES-2012-059299, CTM2011-24427, AGL2010-21774]</t>
  </si>
  <si>
    <t>Spanish Ministry of Economy and Competitiveness(Spanish Government)</t>
  </si>
  <si>
    <t>We thank the Spanish Antarctic Base Gabriel de Castilla, the Spanish polar ship Hesperides and the Marine Technology Unit (CSIC) for hospitality and logistic support. Permission to work in the study area and for penguin handling was granted by the Spanish Polar Committee. RCC was supported by a PhD grant from the Spanish Ministry of Economy and Competitiveness (BES-2012-059299). This study was funded by the Spanish Ministry of Economy and Competitiveness projects (CTM2011-24427 and AGL2010-21774). This is a contribution to the PINGUCLIM project. We very much appreciate the help of Annie Machordom for the phylogenetic analyses. We thank Aurelio Velasco and Deborah Fuldauer for reviewing the manuscript.</t>
  </si>
  <si>
    <t>1877-959X</t>
  </si>
  <si>
    <t>1877-9603</t>
  </si>
  <si>
    <t>TICKS TICK-BORNE DIS</t>
  </si>
  <si>
    <t>Ticks Tick-Borne Dis.</t>
  </si>
  <si>
    <t>10.1016/j.ttbdis.2016.02.006</t>
  </si>
  <si>
    <t>Infectious Diseases; Microbiology; Parasitology</t>
  </si>
  <si>
    <t>DH6ZT</t>
  </si>
  <si>
    <t>WOS:000372941300016</t>
  </si>
  <si>
    <t>Elburg, MA; Andersen, T; Jacobs, J; Läufer, A; Ruppel, A; Krohne, N; Damaske, D</t>
  </si>
  <si>
    <t>Elburg, Marlina A.; Andersen, Tom; Jacobs, Joachim; Laeufer, Andreas; Ruppel, Antonia; Krohne, Nicole; Damaske, Detlef</t>
  </si>
  <si>
    <t>One Hundred Fifty Million Years of Intrusive Activity in the Sor Rondane Mountains (East Antarctica): Implications for Gondwana Assembly</t>
  </si>
  <si>
    <t>JOURNAL OF GEOLOGY</t>
  </si>
  <si>
    <t>DRONNING MAUD LAND; GRENVILLE-AGE METAMORPHISM; U-PB; TECTONIC EVOLUTION; CRUSTAL EVOLUTION; AFRICAN OROGEN; ZIRCON; CONSTRAINTS; WESTERN; HF</t>
  </si>
  <si>
    <t>New U-Pb zircon ages for the younger phase of magmatism in the Sor Rondane Mountains (East Antarctica) are combined with published igneous and metamorphic zircon ages and show evidence for at least four thermal pulses: at 650-600 Ma, 580-550 Ma, ca. 530 Ma, and a magmatic tail between 510 and 500 Ma. No igneous U-Pb ages younger than 500 Ma have been found, in contrast to the situation in central and western Dronning Maud Land. Zircon Lu-Hf isotopic data are best explained as reflecting both crustal reworking and juvenile input, with the latter more obvious during the 580-550 Ma period. The Hf isotopic data, together with the presence of mafic and silica-undersaturated intrusives, argue against purely intracrustal melting as a petrogenetic process. Apart from the observed temporal trend, there is also a geographic trend in Hf isotopic compositions, with lower initial epsilon Hf values toward the northeast. However, the Hf isotopic shifts are gradual and do not show evidence for a dramatic change between the two previously defined metamorphic terranes. This observation, together with the long duration of magmatism, suggests that the Sor Rondane Mountains may be a collage of several different (sub-)terranes that were amalgamated over a longer period of time.</t>
  </si>
  <si>
    <t>[Elburg, Marlina A.; Andersen, Tom] Univ Johannesburg, Dept Geol, Auckland Pk, ZA-2006 Johannesburg, South Africa; [Andersen, Tom] Univ Oslo, Dept Geosci, POB 1047, N-0316 Oslo, Norway; [Jacobs, Joachim] Univ Bergen, Dept Earth Sci, PB 7803, N-5020 Bergen, Norway; [Jacobs, Joachim] Norwegian Polar Res Inst, Fram Ctr, N-9296 Tromso, Norway; [Laeufer, Andreas; Ruppel, Antonia; Damaske, Detlef] Bundesanstalt Geowissensch &amp; Rohstoffe, Stilleweg 2, D-30655 Hannover, Germany; [Krohne, Nicole] Univ Bremen, Dept Geosci, PF 330 440, D-28334 Bremen, Germany</t>
  </si>
  <si>
    <t>University of Johannesburg; University of Oslo; University of Bergen; Norwegian Polar Institute; University of Bremen</t>
  </si>
  <si>
    <t>Elburg, MA (corresponding author), Univ Johannesburg, Dept Geol, Auckland Pk, ZA-2006 Johannesburg, South Africa.</t>
  </si>
  <si>
    <t>marlinae@uj.ac.za</t>
  </si>
  <si>
    <t>Läufer, Andreas/ABC-1465-2020</t>
  </si>
  <si>
    <t>Läufer, Andreas/0000-0003-2219-0450; Elburg, Marlina/0000-0001-7154-1910; Ruppel, Antonia/0000-0001-5101-411X</t>
  </si>
  <si>
    <t>South African National Research Foundation [90036]; Deutsche Forschungsgemeinschaft [LA 1080/9, LI 745/15]; Norges Forskningsrad-Norwegian Antarctic Research Expeditions</t>
  </si>
  <si>
    <t>South African National Research Foundation(National Research Foundation - South Africa); Deutsche Forschungsgemeinschaft(German Research Foundation (DFG)); Norges Forskningsrad-Norwegian Antarctic Research Expeditions</t>
  </si>
  <si>
    <t>The Geodynamic Evolution of East Antarctica II team would like to thank the helicopter pilots K. Wagner, F. Tauber, and J. Hergenroder of Sky Heli, Germany, for their flying skills and A. Hubert, G. Johnson-Amin, and the crew of the Belgian Princess Elisabeth Antarctica Station for their hospitality and support during the field season. The analytical work was funded by grant 90036 from the South African National Research Foundation to M. A. Elburg. C. Ramchurran and J. Reinhardt are thanked for their help with the analytical work at the University of KwaZulu-Natal, and we also thank S. L. Simonsen at Oslo University. J. Jacobs, N. Krohne, and M. A. Elburg are indebted to the Bundesanstalt fur Geowissenschaften und Rohstoffe (BGR) for the invitation to participate at the Geodynamic Evolution of East Antarctica expeditions. J. Jacobs wishes to thank the Alfred-Wegener-Institute for Helmholtz Centre for Polar and Marine Research, and M. A. Elburg acknowledges the International Polar Foundation, the Belgian Federal Science Policy Office, and the Belgian Antarctic Research Expedition. The study was partly supported by the Deutsche Forschungsgemeinschaft (grants LA 1080/9 to A. Laufer, BGR, and LI 745/15 to F. Lisker, University of Bremen) in the framework of the priority program Antarctic Research with Comparative Investigations in Arctic Ice Areas. J. Jacobs's work was funded in part by Norges Forskningsrad-Norwegian Antarctic Research Expeditions. Helpful reviews by T. Adachi and A. Kamei are gratefully acknowledged.</t>
  </si>
  <si>
    <t>UNIV CHICAGO PRESS</t>
  </si>
  <si>
    <t>CHICAGO</t>
  </si>
  <si>
    <t>1427 E 60TH ST, CHICAGO, IL 60637-2954 USA</t>
  </si>
  <si>
    <t>0022-1376</t>
  </si>
  <si>
    <t>1537-5269</t>
  </si>
  <si>
    <t>J GEOL</t>
  </si>
  <si>
    <t>J. Geol.</t>
  </si>
  <si>
    <t>10.1086/684052</t>
  </si>
  <si>
    <t>DG8LS</t>
  </si>
  <si>
    <t>WOS:000372336200001</t>
  </si>
  <si>
    <t>Bourgois, J; Cisternas, ME; Braucher, R; Bourlès, D; Frutos, J</t>
  </si>
  <si>
    <t>Bourgois, Jacques; Eugenia Cisternas, Maria; Braucher, Regis; Bourles, Didier; Frutos, Jose</t>
  </si>
  <si>
    <t>Geomorphic Records along the General Carrera (Chile)-Buenos Aires (Argentina) Glacial Lake (46°-48°S), Climate Inferences, and Glacial Rebound for the Past 7-9 ka</t>
  </si>
  <si>
    <t>NORTH PATAGONIAN ICEFIELD; BE-10 PRODUCTION-RATE; LAGO BUENOS-AIRES; LATE PLEISTOCENE; MANTLE VISCOSITY; SOUTHERN PATAGONIA; PRODUCTION-RATES; YOUNGER DRYAS; HALF-LIFE; HOLOCENE</t>
  </si>
  <si>
    <t>We present geomorphic, stratigraphic, and chronological data acquired along theGeneral Carrera-Buenos Aires (GCBA) glacial lake located along a major morphological incision across the Andes. Complementing relevant available data, relative chronology of morphoclimatic records together with 18 Be-10 cosmic ray exposure ages allow constraining the timing of the Patagonian ice sheet fluctuations since the last glacialmaximum. It improves the knowledge of Patagonia climate evolution in the 46 degrees-48 degrees S area and allows documenting the uplift rates (glacial rebound) for the past similar to 7-9 ka. The first major ice lobe retreat occurred after 17.3 +/- 0.6 ka and has likely continued during the Antarctic cold reversal from similar to 12.9 to 14.5 ka. Between similar to 12.9 and similar to 10.9 +/- 1.3 ka, the General Carrera Lake evolved as an endorheic basin. Terraces T4-T1 (top to bottom) have recorded abrupt lake regressions likely controlled by rainfall deficit. They have accumulated in the time interval similar to 17.3-12.3 ka (maximum limits). Two glacial re-advances at similar to 10.9 +/- 1.3 and similar to 7.9 +/- 1.1 ka marked a major climate change that led the lake to be ice dammed again. A major transgression occurred that subsequently flooded the previously accumulated terraces. Since then, a pervasive regression has steered the GCBA Lake to the situation at present. The highest shoreline of the transgression is used as a passive marker in order to quantify the magnitude and character of the regional deformation. At long 72 degrees 30'W, the GCBA Lake area uplifted (glacial rebound) at a rate between 15 and 33.5mm yr(-1) during the past similar to 7.9 +/- 1.1 ka. We infer that the high uplift rate mainly originates from the North Patagonian icefield ice loss.</t>
  </si>
  <si>
    <t>[Bourgois, Jacques] Univ Paris 06, Sorbonne Univ, UMR 7193, Inst Sci Terre Paris, Paris, France; [Bourgois, Jacques] CNRS, UMR 7193, Paris, France; [Eugenia Cisternas, Maria] Univ Concepcion, Inst Geol Econ Aplicada, Concepcion, Chile; [Braucher, Regis; Bourles, Didier] Aix Marseille Univ, CNRS,Inst Rech &amp; Dev,Coll France, Ctr Europeen Rech &amp; Enseignement Geosci Environm, Technopole Environm Arbois Mediterranee,Unite Mix, BP80, Aix En Provence, France; [Frutos, Jose] San Juan de Luz 4060, Santiago, Chile</t>
  </si>
  <si>
    <t>Sorbonne Universite; Centre National de la Recherche Scientifique (CNRS); CNRS - National Institute for Earth Sciences &amp; Astronomy (INSU); Centre National de la Recherche Scientifique (CNRS); CNRS - National Institute for Earth Sciences &amp; Astronomy (INSU); Sorbonne Universite; Universidad de Concepcion; Institut de Recherche pour le Developpement (IRD); Aix-Marseille Universite; Universite PSL; College de France; Centre National de la Recherche Scientifique (CNRS)</t>
  </si>
  <si>
    <t>Bourgois, J (corresponding author), Univ Paris 06, Sorbonne Univ, UMR 7193, Inst Sci Terre Paris, Paris, France.;Bourgois, J (corresponding author), CNRS, UMR 7193, Paris, France.</t>
  </si>
  <si>
    <t>jacques.bourgois@upmc.fr</t>
  </si>
  <si>
    <t>, Braucher/Q-5971-2017; , B/HZK-8896-2023; Bourgois, Jacques/AAE-4703-2019</t>
  </si>
  <si>
    <t>, Braucher/0000-0002-4637-4302; Bourles, Didier/0000-0001-5991-6126</t>
  </si>
  <si>
    <t>Evaluation-Orientation de la Cooperation Scientifique-Comision Nacional de Investigacion Cientifica y Tecnologia program [C96U01]; Institut National des Sciences de l'Univers</t>
  </si>
  <si>
    <t>Evaluation-Orientation de la Cooperation Scientifique-Comision Nacional de Investigacion Cientifica y Tecnologia program; Institut National des Sciences de l'Univers</t>
  </si>
  <si>
    <t>The Evaluation-Orientation de la Cooperation Scientifique-Comision Nacional de Investigacion Cientifica y Tecnologia program has funded this work through the project C96U01. We are grateful to the Universite Pierre et Marie Curie (UPMC, Paris 6) and the Centre National de la Recherche Scientifique (France). The Institut National des Sciences de l'Univers has provided support at the initiation of the project. SERNAGEOMIN (Villarrica) and the Universidad de Concepcion (GEA) have provided logistical support for fieldwork. We thank David B. Rowley and an anonymous reviewer for their helpful reviews that greatly improved the original manuscript.</t>
  </si>
  <si>
    <t>10.1086/684252</t>
  </si>
  <si>
    <t>WOS:000372336200002</t>
  </si>
  <si>
    <t>Student, J; Amelung, B; Lamers, M</t>
  </si>
  <si>
    <t>Student, Jillian; Amelung, Bas; Lamers, Machiel</t>
  </si>
  <si>
    <t>Towards a tipping point? Exploring the capacity to self-regulate Antarctic tourism using agent-based modelling</t>
  </si>
  <si>
    <t>JOURNAL OF SUSTAINABLE TOURISM</t>
  </si>
  <si>
    <t>IAATO; agent-based modelling (ABM); self-regulation; Antarctic tourism; simulation; scenario analysis</t>
  </si>
  <si>
    <t>PROTOCOL; LESSONS; FUTURE</t>
  </si>
  <si>
    <t>Antarctica attracts tourists who want to explore its unique nature and landscapes. Antarctic tourism has rapidly grown since 1991 and is currently picking up again after the recent global economic downturn. Tourism activities are subject to the rules of the Antarctic Treaty System (ATS) and the decisions made by the Antarctic Treaty Consultative Parties (ATCPs), but within this context, the industry has considerable freedom to self-organise. The industry is self-regulated by a voluntary member-based group, the International Association of Antarctica Tour Operators (IAATO). Researchers and policy-makers express concern about IAATO's ability to deal with further tourism development and the environmental consequences. This study applies a new approach to understand what affects self-regulation, consisting of a literature review and agent-based modelling (ABM). The review identifies four challenges for self-regulation: operator commitment, tourism growth, operator diversification, and accidents. The ABM simulations help conceptualise the complex concepts and theories surrounding self-regulation. Self-regulation is measured by the capacity of the simulated self-regulatory system to maintain a majority membership at the end of 20years. The model suggests that a number of the challenges are nonlinear and have tipping points. This approach provides insights that industry officials and policy-makers can use to proactively regulate Antarctic tourism.</t>
  </si>
  <si>
    <t>[Student, Jillian; Amelung, Bas] Wageningen Univ, Environm Syst Anal Grp, NL-6700 AP Wageningen, Netherlands; [Student, Jillian; Lamers, Machiel] Wageningen Univ, Environm Policy Grp, NL-6700 AP Wageningen, Netherlands</t>
  </si>
  <si>
    <t>Wageningen University &amp; Research; Wageningen University &amp; Research</t>
  </si>
  <si>
    <t>Student, J (corresponding author), Wageningen Univ, Environm Syst Anal Grp, NL-6700 AP Wageningen, Netherlands.;Student, J (corresponding author), Wageningen Univ, Environm Policy Grp, NL-6700 AP Wageningen, Netherlands.</t>
  </si>
  <si>
    <t>jillian.student@wur.nl</t>
  </si>
  <si>
    <t>Amelung, Bas/A-2965-2012; Amelung, Bas/AAD-4323-2019</t>
  </si>
  <si>
    <t>Amelung, Bas/0000-0001-8501-9787; Lamers, Machiel/0000-0002-4189-3066; Student, Jillian/0000-0002-2859-3691</t>
  </si>
  <si>
    <t>CHANNEL VIEW PUBLICATIONS</t>
  </si>
  <si>
    <t>CLEVEDON</t>
  </si>
  <si>
    <t>FRANKFURT LODGE, CLEVEDON HALL, VICTORIA ROAD, CLEVEDON, BS21 7HH, ENGLAND</t>
  </si>
  <si>
    <t>0966-9582</t>
  </si>
  <si>
    <t>1747-7646</t>
  </si>
  <si>
    <t>J SUSTAIN TOUR</t>
  </si>
  <si>
    <t>J. Sustain. Tour.</t>
  </si>
  <si>
    <t>10.1080/09669582.2015.1107079</t>
  </si>
  <si>
    <t>Green &amp; Sustainable Science &amp; Technology; Hospitality, Leisure, Sport &amp; Tourism</t>
  </si>
  <si>
    <t>Science &amp; Technology - Other Topics; Social Sciences - Other Topics</t>
  </si>
  <si>
    <t>DG9OV</t>
  </si>
  <si>
    <t>hybrid</t>
  </si>
  <si>
    <t>WOS:000372414300006</t>
  </si>
  <si>
    <t>Leal, PP; Hurd, CL; Sander, SG; Kortner, B; Roleda, MY</t>
  </si>
  <si>
    <t>Leal, Pablo P.; Hurd, Catriona L.; Sander, Sylvia G.; Kortner, Birthe; Roleda, Michael Y.</t>
  </si>
  <si>
    <t>Exposure to chronic and high dissolved copper concentrations impedes meiospore development of the kelps Macrocystis pyrifera and Undaria pinnatifida (Ochrophyta)</t>
  </si>
  <si>
    <t>Dissolved concentration; Effective concentration; Gametophyte; Germination; Invasive kelp; Nominal concentration</t>
  </si>
  <si>
    <t>TREATED SEWAGE EFFLUENT; EARLY-LIFE STAGES; GIANT-KELP; NEW-ZEALAND; MICROSCOPIC STAGES; HORMOSIRA-BANKSII; MINE TAILINGS; HEAVY-METALS; MARINE-ALGAE; LAMINARIALES</t>
  </si>
  <si>
    <t>Copper in low natural concentrations is essential for cell metabolism but in excess it becomes extremely toxic to aquatic life, including to the early life stages of marine macroalgae. This work determined the effects of copper exposure on meiospore development of two kelp species, the native Macrocystis pyrifera and invasive Undaria pinnatifida. After settlement, meiospores were exposed to nominal copper concentrations of control (no added copper), 100, 200, 300 and 400 mu g L-1 Cu for 9 days. Inductively coupled plasma mass spectrometry of total dissolved copper (Cu-T) concentrations in the blanks showed that nominal copper concentrations were reduced to 54, 91, 131 and 171 mu g L-1 Cu-T, respectively, indicating that &gt; 50% of the dissolved copper was adsorbed onto the culture vessel walls. In the media with meiospores, the dissolved copper concentrations decreased to 39, 86, 97 and 148 mu g L-1 Cu-T in M. pyrifera and to 39, 65, 97 and 146 mu g L-1 Cu-T in U. pinnatifida, indicating that 6-15% of the dissolved copper was adsorbed by the cells. For both species, meiospores germinated in all copper treatments, with germination decreasing with increasing copper concentration. However, gametophyte growth and sexual differentiation were arrested under all copper treatments. The effective copper concentration causing 50% of arrested germination (Cu-EC50) was 157 and 231 mu g L-1 Cu-T for M. pyrifera and U. pinnatifida, respectively. The higher Cu-EC50 for U. pinnatifida suggests ecological success for the invasive species in copper-polluted environments; however, the subsequent inhibition of gametogenesis under all copper treatments indicated no difference in copper tolerance between both kelp early life stages. We compare our results with the literature available on the effects of copper on the development of early life stages of brown seaweed (Laminariales and Fucales) and discuss the importance of reporting actual experimental dissolved copper concentrations and the necessity of standardizing the response variables measured in macroalgal copper ecotoxicology.</t>
  </si>
  <si>
    <t>[Leal, Pablo P.; Hurd, Catriona L.; Roleda, Michael Y.] Univ Otago, Dept Bot, 479 Great King St, Dunedin 9016, New Zealand; [Hurd, Catriona L.] Univ Tasmania, Inst Marine &amp; Antarctic Studies, 20 Castray Esplanade, Hobart, Tas 7004, Australia; [Sander, Sylvia G.] Univ Otago, Res Ctr Oceanog, NIWA, Union Pl West, Dunedin 9016, New Zealand; [Sander, Sylvia G.; Kortner, Birthe] Univ Otago, Dept Chem, Marine &amp; Freshwater Chem, Union Pl West, Dunedin 9016, New Zealand; [Roleda, Michael Y.] Norwegian Inst Bioecon Res, Kudalsveien 6, N-8049 Bodo, Norway</t>
  </si>
  <si>
    <t>University of Otago; University of Tasmania; University of Otago; University of Otago; Norwegian Institute of Bioeconomy Research</t>
  </si>
  <si>
    <t>Leal, PP (corresponding author), Univ Otago, Dept Bot, 479 Great King St, Dunedin 9016, New Zealand.</t>
  </si>
  <si>
    <t>Sander, Sylvia/AAC-3559-2022; Leal, Pablo P./N-3927-2019; Roleda, Michael Y./H-9645-2019; Hurd, Catriona/J-2411-2013</t>
  </si>
  <si>
    <t>Sander, Sylvia/0000-0001-9581-9737; Leal, Pablo P./0000-0002-7616-1850; Roleda, Michael Y./0000-0003-0568-9081; Hurd, Catriona/0000-0001-9965-4917</t>
  </si>
  <si>
    <t>BECASCHILE-CONICYT; Royal Society of New Zealand Mardsen grant [UOO0914]; New Zealand MBIE programme [C01X1005]; New Zealand Ministry of Business, Innovation &amp; Employment (MBIE) [C01X1005] Funding Source: New Zealand Ministry of Business, Innovation &amp; Employment (MBIE)</t>
  </si>
  <si>
    <t>BECASCHILE-CONICYT; Royal Society of New Zealand Mardsen grant(Royal Society of New Zealand); New Zealand MBIE programme(New Zealand Ministry of Business, Innovation and Employment (MBIE)); New Zealand Ministry of Business, Innovation &amp; Employment (MBIE)(New Zealand Ministry of Business, Innovation and Employment (MBIE))</t>
  </si>
  <si>
    <t>We thank BECASCHILE-CONICYT, the Royal Society of New Zealand Mardsen grant (UOO0914) and the New Zealand MBIE programme C01X1005 for funding. We thank Pamela Fernandez and Rocio Suarez for the assistance during field sampling. We thank the two anonymous reviewers for their thoughtful and constructive comments.</t>
  </si>
  <si>
    <t>10.2216/15-87.1</t>
  </si>
  <si>
    <t>DH2FS</t>
  </si>
  <si>
    <t>WOS:000372600200002</t>
  </si>
  <si>
    <t>Lin, SM; Hommersand, MH</t>
  </si>
  <si>
    <t>Lin, Show-Mei; Hommersand, Max H.</t>
  </si>
  <si>
    <t>Developmental morphology and phylogeny of Paraglossum amsleri sp nov. (Delesseriaceae, Rhodophyta), a species from Antarctica previously known as Delesseria lancifolia</t>
  </si>
  <si>
    <t>Antarctica; Delesseria; Delesseriaceae; Developmental morphology; Paraglossum; Paraglossum amsleri sp nov.; Phylogeny; rbcL; Red algae; Rhodophyta</t>
  </si>
  <si>
    <t>CERAMIALES; APOGLOSSUM</t>
  </si>
  <si>
    <t>Paraglossum amsleri S.-M. Lin &amp; Hommersand sp. nov. (Delesseriaceae, Rhodophyta), a species previously reported as Delesseria lancifolia from the Antarctic Peninsula and associated Antarctic Islands, was investigated based on rbcL sequence analysis and morphological evidence. The genetic distance between the type species, Paraglossum lancifolium and 'D. lancifolia' from Antarctica was 3.8% (52 pairwise differences); whereas, the interspecific genetic divergence within the genus Paraglossum ranged from 0.95% to 6.96% (13-95 pairwise base differences). Procarps and cystocarps were formed in bladelets with broad bases borne along the margins of the midrib and macroscopic veins or scattered over the thallus surface in P. lancifolium; whereas, they were formed in bladelets with short stalks borne along the midrib and macroscopic veins in P. amsleri. Tetrasporangia were formed in bladelets initiated from surface cells in P. lancifolium but were produced in cells in linear files alongside the margins and from the surfaces of the midrib and macroscopic veins in P. amsleri. Intercalary cell divisions were absent in primary cell rows that formed the midrib in all species of Paraglossum but occurred frequently in second and higher orders of cell rows. Fourth-order cell rows were produced both abaxially and adaxially in P. lancifolium but were formed only adaxially in rapidly growing tips of P. amsleri. Paraglossum salicifolium, the only other species of this genus known from Antarctica, exhibited a pattern of vegetative growth similar to that seen in P. amsleri. The formation of uniseriate filaments from the pericarps of P. salicifolium was a character that that clearly distinguished this species from P. amsleri, in which the pericarps were smooth. New species combinations were proposed as Paraglossum for Delesseria crozetii Levring, Delesseria macloviana Skottsberg in Kylin &amp; Skottsberg and Delesseria minor Baardseth.</t>
  </si>
  <si>
    <t>[Lin, Show-Mei] Natl Taiwan Ocean Univ, Inst Marine Biol, Keelung 20224, Taiwan; [Hommersand, Max H.] Univ N Carolina, Dept Biol, CB 3280, Chapel Hill, NC 27599 USA</t>
  </si>
  <si>
    <t>National Taiwan Ocean University; University of North Carolina; University of North Carolina Chapel Hill</t>
  </si>
  <si>
    <t>Lin, SM (corresponding author), Natl Taiwan Ocean Univ, Inst Marine Biol, Keelung 20224, Taiwan.</t>
  </si>
  <si>
    <t>LINSM@ntou.edu.tw</t>
  </si>
  <si>
    <t>Ministry of Technology and Science (Taiwan) [MOST 102-2628-B-019-002-MY3]; NSF [DEB0937978]</t>
  </si>
  <si>
    <t>Ministry of Technology and Science (Taiwan); NSF(National Science Foundation (NSF))</t>
  </si>
  <si>
    <t>This project was supported mainly by a research grant from Ministry of Technology and Science (Taiwan) (MOST 102-2628-B-019-002-MY3) to S.-M. Lin. Hommersand was supported by NSF grant DEB0937978 to J.M. Lopez Bautista, M.H. Hommersand and S. Fredericq. We thank Charles and Margaret Amsler for providing material from the Antarctic Peninsula and Y.-S. Chiou and Yi-Chi Wang for helping with DNA sequencing and specimen processing. We thank M.J. Wynne and C. Schneider for their informative and helpful reviews of this paper.</t>
  </si>
  <si>
    <t>10.2216/15-85.1</t>
  </si>
  <si>
    <t>WOS:000372600200003</t>
  </si>
  <si>
    <t>Xu, XL; Liu, JH; Shi, Q; Mei, H; Zhao, YJ; Wu, HY</t>
  </si>
  <si>
    <t>Xu, Xinglian; Liu, Jianhua; Shi, Qi; Mei, Hong; Zhao, Yijun; Wu, Hongyan</t>
  </si>
  <si>
    <t>Ocean warming alters photosynthetic responses of diatom Phaeodactylum tricornutum to fluctuating irradiance</t>
  </si>
  <si>
    <t>Diatom; Ocean warming; Phaeodactylum tricornutum; Photoinactivation</t>
  </si>
  <si>
    <t>PHOTOSYSTEM-II PHOTOINACTIVATION; XANTHOPHYLL CYCLE; ANTARCTIC DIATOM; GROWTH; LIGHT; PHOTOINHIBITION; PHYTOPLANKTON; TEMPERATURE; ACIDIFICATION; RADIATION</t>
  </si>
  <si>
    <t>Little is known about the combined impacts of temperature increases and fluctuating radiation regimes on the photosynthetic capability of marine diatoms. We incubated Phaeodactylum tricornutum cells under normal (18 degrees C) vs elevated temperature (+6 degrees C) in semicontinuous cultures and exposed them to fixed and fluctuating radiation conditions. Photosynthetic performance was determined based on the effective quantum yield of open photosystem II (PSII; F'(V)/F'(M)), the maximum relative electron transport rate (rETR(max)), the light saturation parameter (E-k) and the photosynthetic efficiency parameter (alpha). These photophysiological parameters were affected more by irradiance than by the increase of temperature when P. tricornutum cells were exposed to fixed light regimes, and there was no significant difference between temperature treatments. In contrast, under fluctuating radiation regimes, the impact of temperature was clearly evident. Cells incubated at high temperature showed higher F'(V)/F'(M), rETRmax and a but lower Ek when exposed to fast cycling in irradiance (20 min per cycle). In addition, cells grown at high temperature possessed a smaller value of effective target size for photoinactivation of PSII (sigma(i)), particularly for cells exposed to fast cycling in irradiance. This indicated that they were more resistant to PSII photoinactivation. These results showed that the photosynthetic capacity of P. tricornutum cells could be favoured by the increase of temperature, and fast cycling in irradiance increased the ability of cells to use the light and provoked much less photoinactivation.</t>
  </si>
  <si>
    <t>[Xu, Xinglian; Liu, Jianhua; Shi, Qi; Mei, Hong; Zhao, Yijun; Wu, Hongyan] Hubei Univ Technol, Hubei Prov Cooperat Innovat Ctr Ind Fermentat, Key Lab Ecol Remediat Lakes &amp; Rivers &amp; Algal Util, Wuhan 430068, Peoples R China</t>
  </si>
  <si>
    <t>Hubei University of Technology</t>
  </si>
  <si>
    <t>Wu, HY (corresponding author), Hubei Univ Technol, Hubei Prov Cooperat Innovat Ctr Ind Fermentat, Key Lab Ecol Remediat Lakes &amp; Rivers &amp; Algal Util, Wuhan 430068, Peoples R China.</t>
  </si>
  <si>
    <t>why-z-z@hotmail.com</t>
  </si>
  <si>
    <t>Liu, Jianhua/I-6355-2012</t>
  </si>
  <si>
    <t>National Natural Science Foundation of China [31270452, 31300161]; Chinese Ministry of Education [213026A]; Special Program for National Key Basic Research of China [2014CB460601]; International S &amp; T cooperation program of China [2014DFE70070]; SRF for ROCS, SEM</t>
  </si>
  <si>
    <t>National Natural Science Foundation of China(National Natural Science Foundation of China (NSFC)); Chinese Ministry of Education(Ministry of Education, China); Special Program for National Key Basic Research of China; International S &amp; T cooperation program of China; SRF for ROCS, SEM(Scientific Research Foundation for the Returned Overseas Chinese Scholars)</t>
  </si>
  <si>
    <t>This research was supported by the National Natural Science Foundation of China (No. 31270452; 31300161) and the Research Project of Chinese Ministry of Education (No. 213026A), the Special Program for National Key Basic Research of China (No. 2014CB460601), the International S &amp; T cooperation program of China (No. 2014DFE70070), and the SRF for ROCS, SEM (to H.W.).</t>
  </si>
  <si>
    <t>10.2216/15-64.1</t>
  </si>
  <si>
    <t>DH2FZ</t>
  </si>
  <si>
    <t>WOS:000372601000003</t>
  </si>
  <si>
    <t>Gao, B; Mao, YZ; Zhang, LJ; He, L; Wei, DZ</t>
  </si>
  <si>
    <t>Gao, Bei; Mao, Youzhi; Zhang, Lujia; He, Lei; Wei, Dongzhi</t>
  </si>
  <si>
    <t>A novel saccharifying α-amylase of Antarctic psychrotolerant fungi Geomyces pannorum: Gene cloning, functional expression, and characterization</t>
  </si>
  <si>
    <t>STARCH-STARKE</t>
  </si>
  <si>
    <t>Geomyces pannorum; High-glucose-producing alpha-amylase; Pichia pastoris; Thermophilic</t>
  </si>
  <si>
    <t>RECOMBINANT ENZYME; PICHIA-PASTORIS; PURIFICATION; IDENTIFICATION; BACILLUS</t>
  </si>
  <si>
    <t>A DNA segment encoding a novel alpha-amylase was cloned from the Antarctic psychrotolerant fungi Geomyces pannorum. The gene has an open reading frame of 1761 bp, deduced 586 amino acids, revealing a relatively low homology to alpha-amylases from diverse fungal genera. The alpha-amylase gene was overexpressed in Pichia pastoris, and the recombinant alpha-amylase was purified and characterized. Enzymatic activity was optimal at pH 6.0 and 70 degrees C, and the specific activity was 9.78 x 10(3) U/mg when using soluble starch as substrate. Moreover, the enzyme retained more than 90% of its maximum activity over a wide pH range ( 6.0-9.0). Exceptionally, the main hydrolysis products of soluble starch catalyzed by the enzyme were glucose and maltose, of which glucose reached a concentration of 68.8% (w/w). This is the first report on identifying thermophilic fungal amylase from psychrotolerant fungi. Also, the preliminary study on the high-glucose-producing alpha-amylase with detailed enzymatic properties shows a potential application prospect in syrup industry.</t>
  </si>
  <si>
    <t>[Gao, Bei; Mao, Youzhi; Zhang, Lujia; He, Lei; Wei, Dongzhi] E China Univ Sci &amp; Technol, New World Inst Biotechnol, State Key Lab Bioreactor Engn, POB 311,130 Meilong Rd, Shanghai 200237, Peoples R China</t>
  </si>
  <si>
    <t>East China University of Science &amp; Technology</t>
  </si>
  <si>
    <t>Zhang, LJ (corresponding author), E China Univ Sci &amp; Technol, New World Inst Biotechnol, State Key Lab Bioreactor Engn, POB 311,130 Meilong Rd, Shanghai 200237, Peoples R China.</t>
  </si>
  <si>
    <t>Ljzhang@ecust.edu.cn</t>
  </si>
  <si>
    <t>Zhang, Lujia/ABI-3724-2020; Wei, Dongzhi/AAJ-3404-2021</t>
  </si>
  <si>
    <t>Zhang, Lujia/0000-0003-3566-917X;</t>
  </si>
  <si>
    <t>National Natural Foundation of China [31201296]; Fundamental Research Funds for the Central Universities; National High Technology Research and Development Program of China [2013AA102109]</t>
  </si>
  <si>
    <t>National Natural Foundation of China(National Natural Science Foundation of China (NSFC)); Fundamental Research Funds for the Central Universities(Fundamental Research Funds for the Central Universities); National High Technology Research and Development Program of China(National High Technology Research and Development Program of China)</t>
  </si>
  <si>
    <t>This work was funded by The National Natural Foundation of China (no. 31201296), the Fundamental Research Funds for the Central Universities, and the National High Technology Research and Development Program of China (no. 2013AA102109). We are grateful to Antarctic Institute of Malaysia Sabah University for offering strain G. pannorum.</t>
  </si>
  <si>
    <t>WILEY-V C H VERLAG GMBH</t>
  </si>
  <si>
    <t>WEINHEIM</t>
  </si>
  <si>
    <t>POSTFACH 101161, 69451 WEINHEIM, GERMANY</t>
  </si>
  <si>
    <t>0038-9056</t>
  </si>
  <si>
    <t>1521-379X</t>
  </si>
  <si>
    <t>Starch-Starke</t>
  </si>
  <si>
    <t>1-2</t>
  </si>
  <si>
    <t>10.1002/star.201500077</t>
  </si>
  <si>
    <t>DG8QH</t>
  </si>
  <si>
    <t>WOS:000372348200003</t>
  </si>
  <si>
    <t>Burke, M</t>
  </si>
  <si>
    <t>Burke, Maria</t>
  </si>
  <si>
    <t>Antarctic freezer</t>
  </si>
  <si>
    <t>CHEMISTRY &amp; INDUSTRY</t>
  </si>
  <si>
    <t>News Item</t>
  </si>
  <si>
    <t>WILEY PERIODICALS, INC</t>
  </si>
  <si>
    <t>SAN FRANCISCO</t>
  </si>
  <si>
    <t>ONE MONTGOMERY ST, SUITE 1200, SAN FRANCISCO, CA 94104 USA</t>
  </si>
  <si>
    <t>0009-3068</t>
  </si>
  <si>
    <t>2047-6329</t>
  </si>
  <si>
    <t>CHEM IND-LONDON</t>
  </si>
  <si>
    <t>Chem. Ind.</t>
  </si>
  <si>
    <t>Chemistry, Applied</t>
  </si>
  <si>
    <t>Chemistry</t>
  </si>
  <si>
    <t>DG8BS</t>
  </si>
  <si>
    <t>WOS:000372308000005</t>
  </si>
  <si>
    <t>Li, YX; Jiao, WJ; Liu, ZH; Jin, JH; Wang, DH; He, YX; Quan, C</t>
  </si>
  <si>
    <t>Li, Y. X.; Jiao, W. J.; Liu, Z. H.; Jin, J. H.; Wang, D. H.; He, Y. X.; Quan, C.</t>
  </si>
  <si>
    <t>Terrestrial responses of low-latitude Asia to the Eocene-Oligocene climate transition revealed by integrated chronostratigraphy</t>
  </si>
  <si>
    <t>MIDDLE EOCENE; ANTARCTIC GLACIATION; FOSSIL WOOD; BASIN; MONSOON; RECORD; CHINA; COMPENSATION; PREVALENCE; EXTINCTION</t>
  </si>
  <si>
    <t>The Paleogene sedimentary records from southern China hold important clues to the impacts of the Cenozoic climate changes on low latitudes. However, although there are extensive Paleogene terrestrial archives and some contain abundant fossils in this region, few are accurately dated or have a temporal resolution adequate to decipher climate changes. Here, we present a detailed stratigraphic and paleomagnetic study of a fossiliferous late Paleogene succession in the Maoming Basin, Guangdong Province. The succession consists of oil shale of the Youganwo Formation (Fm) in the lower part and the overlying sandstone-dominated Huangniuling Fm in the upper part. Fossil records indicate that the age of the succession possibly spans the late Eocene to the Oligocene. Both the Youganwo Fm and the overlying Huangniuling Fm exhibit striking sedimentary rhythms, and spectral analysis of the depth series of magnetic susceptibility of the Youganwo Fm reveals dominant sedimentary cycles at orbital frequency bands. The transition from the Youganwo oil shale to the overlying Huangniuling sandstones is conformable and represents a major depositional environmental change from a lacustrine to a deltaic environment. Integrating the magnetostratigraphic, lithologic, and fossil data allows establishing a substantially refined chronostratigraphic framework that places the major depositional environmental change at 33.88 Ma, coinciding with the Eocene-Oligocene climate transition (EOT) at similar to 33.7 to similar to 33.9 Ma. We suggest that the transition from a lacustrine to deltaic environment in the Maoming Basin represents terrestrial responses to the EOT and indicates prevailing drying conditions in lowlatitude regions during the global cooling at EOT.</t>
  </si>
  <si>
    <t>[Li, Y. X.; Jiao, W. J.] Sch Earth Sci &amp; Engn, Minist Educ, Key Lab Surficial Geochem, State Key Lab Mineral Deposits Res, Nanjing 210046, Jiangsu, Peoples R China; [Liu, Z. H.] Univ Hong Kong, Dept Earth Sci, Hong Kong, Hong Kong, Peoples R China; [Jin, J. H.] Sun Yat Sen Univ, State Key Lab Biocontrol, Guangzhou 510275, Guangdong, Peoples R China; [Jin, J. H.] Sun Yat Sen Univ, Sch Life Sci, Guangdong Prov Key Lab Plant Resources, Guangzhou 510275, Guangdong, Peoples R China; [Wang, D. H.] Jilin Univ, Coll Earth Sci, Changchun 130061, Peoples R China; [He, Y. X.] Zhejiang Univ, Dept Earth Sci, Hangzhou 310003, Zhejiang, Peoples R China; [Quan, C.] Jilin Univ, Res Ctr Paleontol &amp; Stratig, Changchun 130026, Peoples R China</t>
  </si>
  <si>
    <t>University of Hong Kong; Sun Yat Sen University; Sun Yat Sen University; Jilin University; Zhejiang University; Jilin University</t>
  </si>
  <si>
    <t>Li, YX (corresponding author), Sch Earth Sci &amp; Engn, Minist Educ, Key Lab Surficial Geochem, State Key Lab Mineral Deposits Res, Nanjing 210046, Jiangsu, Peoples R China.;Quan, C (corresponding author), Jilin Univ, Res Ctr Paleontol &amp; Stratig, Changchun 130026, Peoples R China.</t>
  </si>
  <si>
    <t>yxli@nju.edu.cn; quan@jlu.edu.cn</t>
  </si>
  <si>
    <t>li, yongxiang/GPW-6930-2022; li, yong/HDN-3885-2022; Liu, Zhonghui/D-3163-2009; Quan, Cheng/D-1963-2011</t>
  </si>
  <si>
    <t>Liu, Zhonghui/0000-0002-2168-8305; Jiao, Wenjun/0000-0001-8386-1620; Li, Yong-Xiang/0000-0002-7925-8949</t>
  </si>
  <si>
    <t>National Natural Science Foundation of China [41210001, 41372002, 41274071, 41230208, 41321062, 41528201]; National Basic Research Program of China [2012CB822000]; Fundamental Research Funds for the Central Universities [20620140389]</t>
  </si>
  <si>
    <t>National Natural Science Foundation of China(National Natural Science Foundation of China (NSFC)); National Basic Research Program of China(National Basic Research Program of China); Fundamental Research Funds for the Central Universities(Fundamental Research Funds for the Central Universities)</t>
  </si>
  <si>
    <t>This study was supported by the National Natural Science Foundation of China (nos. 41210001, 41372002, 41274071, 41230208, 41321062, 41528201), the National Basic Research Program of China (no. 2012CB822000), and the Fundamental Research Funds for the Central Universities (20620140389). We thank Shipeng Wang for field assistance, and Mike Jackson, Qingsong Liu, and Xiumian Hu for helpful discussions. Bin Wen, Congcong Gai, and Shuangchi Liu helped with rock magnetic experiments at the Paleomagnetism and Geochronlogy Laboratory, Chinese Academy of Sciences. We are grateful to reviewers Alexis Licht, Christian Rolf, and Luigi Jovane, whose comments were helpful in improving the manuscript.</t>
  </si>
  <si>
    <t>10.5194/cp-12-255-2016</t>
  </si>
  <si>
    <t>DF8RH</t>
  </si>
  <si>
    <t>WOS:000371625400006</t>
  </si>
  <si>
    <t>Lorrey, AM; Chappell, PR</t>
  </si>
  <si>
    <t>Lorrey, Andrew M.; Chappell, Petra R.</t>
  </si>
  <si>
    <t>The dirty weather diaries of Reverend Richard Davis: insights about early colonial-era meteorology and climate variability for northern New Zealand, 1839-1851</t>
  </si>
  <si>
    <t>SEA-SURFACE TEMPERATURE; REANALYSIS PROJECT; SOUTHERN ALPS; ICE-AGE; PACIFIC; AUSTRALIA; RECORD</t>
  </si>
  <si>
    <t>Reverend Richard Davis (1790-1863) was a colonial-era missionary stationed in the Far North of New Zealand who was a key figure in the early efforts of the Church Mission Society. He kept meticulous meteorological records for the early settlements of Waimate North and Kaikohe, and his observations are preserved in a two-volume set in the Sir George Grey Special Collections in the Auckland Central Library. The Davis diary volumes are significant because they constitute some of the earliest land-based meteorological measurements that were continually chronicled for New Zealand. The diary measurements cover nine years within the 1839-1851 time span that are broken into two parts: 1839-1844 and 1848-1851. Davis' meteorological recordings include daily 9 a.m. and noon temperatures and midday pressure measurements. Qualitative comments in the diary note prevailing wind flow, wind strength, cloud cover, climate variability impacts, bio-indicators suggestive of drought, and notes on extreme weather events. Dirty weather comments scattered throughout the diary describe disturbed conditions with strong winds and driving rainfall. The Davis diary entries coincide with the end of the Little Ice Age (LIA) and they indicate southerly and westerly circulation influences and cooler winter temperatures were more frequent than today. A comparison of climate field reconstructions derived from the Davis diary data and tree-ring-based winter temperature reconstructions are supported by tropical coral palaeotemperature evidence. Davis' pressure measurements were corroborated using ship log data from vessels associated with iconic Antarctic exploration voyages that were anchored in the Bay of Islands, and suggest the pressure series he recorded are robust and can be used as station data. The Reverend Davis meteorological data are expected to make a significant contribution to the Atmospheric Circulation Reconstructions across the Earth (ACRE) project, which feeds the major data requirements for the longest historical reanalysis - the 20th Century Reanalysis Project (20CR). Thus these new data will help extend surface pressure-based reanalysis reconstructions of past weather covering New Zealand within the data-sparse Southern Hemisphere.</t>
  </si>
  <si>
    <t>[Lorrey, Andrew M.; Chappell, Petra R.] Natl Inst Water &amp; Atmospher Res NIWA, Auckland, New Zealand</t>
  </si>
  <si>
    <t>National Institute of Water &amp; Atmospheric Research (NIWA) - New Zealand</t>
  </si>
  <si>
    <t>Lorrey, AM (corresponding author), Natl Inst Water &amp; Atmospher Res NIWA, Auckland, New Zealand.</t>
  </si>
  <si>
    <t>a.lorrey@niwa.co.nz</t>
  </si>
  <si>
    <t>NIWA [CAOA1501]</t>
  </si>
  <si>
    <t>NIWA</t>
  </si>
  <si>
    <t>We than Kate DeCourcy at Auckland Central Library for her assistance in allowing access to the Reverend Richard Davis diary in the rare manuscripts collection and for her invaluable help in facilitating permissions for the scanning the diary. Rob Allan, Philip Brohan, and Gil Compo are thanked for fruitful discussions about this work. Gregor Macara is thanked for supplying VCSN data from the NIWA climate database. Comparison pressure series from ship logs was obtained via the French Pacific Fund project Recovery, safeguarding and dissemination of historic French meteorological and climatological data: a Pacific component of the international ACRE programme of Atmospheric Circulation Reconstructions over the Earth (Recuperation, sauvegarde et diffusion des donnees historiques francaises de meteorologie et de climatologie: une composante Pacifique du programme international ACRE de reconstitution de la circulation atmospherique terrestre) This work was supported by the NIWA core funded project  Climate Present and Past CAOA1501.</t>
  </si>
  <si>
    <t>10.5194/cp-12-553-2016</t>
  </si>
  <si>
    <t>WOS:000371625400020</t>
  </si>
  <si>
    <t>Zhang, YM; Jiang, F; Chang, XL; Qiu, X; Ren, LZ; Qu, ZH; Deng, SS; Da, XY; Fang, CX; Peng, F</t>
  </si>
  <si>
    <t>Zhang, Yumin; Jiang, Fan; Chang, Xulu; Qiu, Xia; Ren, Lvzhi; Qu, Zhihao; Deng, Sangsang; Da, Xuyang; Fang, Chengxiang; Peng, Fang</t>
  </si>
  <si>
    <t>Flavobacterium collinsense sp nov., isolated from a till sample of an Antarctic glacier</t>
  </si>
  <si>
    <t>INTERNATIONAL JOURNAL OF SYSTEMATIC AND EVOLUTIONARY MICROBIOLOGY</t>
  </si>
  <si>
    <t>ALGICOLA SP NOV.; MICROBIAL MATS; GENUS FLAVOBACTERIUM; EMENDED DESCRIPTION; BACTERIUM; RECLASSIFICATION</t>
  </si>
  <si>
    <t>A novel rod-shaped, Gram-stain-negative, non-gliding and aerobic strain surrounded by a multilayer capsule, designated 4-1-2(T), was isolated from a till sample of Collins glacier front, Antarctica. The bacterium formed yellow, circular, convex and smooth colonies. Growth occurred at 4-28 degrees C (optimuml8-20 degrees C), at pH 7.0-10.0 (optimum pH 9.0) and with 0-1 % NaCI. Phylogenetic analysis based on 16S rRNA gene sequences indicated that strain 4-T-2(T) belonged to the genus Flavobacterium. Strain 4-T-2T shared the highest 16S rRNA gene sequence similarity with the type strain of Flavobacterium algicola (96.7 %). The DNA G + C content of strain 4-T-2(T) was 36.2 mol%. The only menaquinone was MK-6. The major cellular fatty acids were iso-C-15 (: 0,) iso-C-15 (:) (1), iso-C-16 (:) (0) and summed feature 9 (comprising iso-C-17 : (1)omega 9c and/or 10-methyl C-16 : 0). Polar lipid profile consisted phosphatidylethanolamine, one unidentified aminolipid, one unidentified aminophospholipid and one unidentified lipid. On the basis of phylogenetic, physiological and chemotaxonomic data, strain 4-T-2(T) is considered to represent a novel species of the genus Flavobacterium, for which the name Flavobacterium collinsense sp. nov. is proposed. The type strain is 4-T-2(T) (=CCTCC AB 2014004T=LMG 28257(T)).</t>
  </si>
  <si>
    <t>[Zhang, Yumin; Jiang, Fan; Chang, Xulu; Qiu, Xia; Ren, Lvzhi; Qu, Zhihao; Deng, Sangsang; Da, Xuyang; Fang, Chengxiang; Peng, Fang] Wuhan Univ, Coll Life Sci, CCTCC, Wuhan 430072, Peoples R China</t>
  </si>
  <si>
    <t>Peng, F (corresponding author), Wuhan Univ, Coll Life Sci, CCTCC, Wuhan 430072, Peoples R China.</t>
  </si>
  <si>
    <t>fangpeng2@aliyun.com</t>
  </si>
  <si>
    <t>da, xu/KFS-5133-2024; Zhang, Han/JMR-0670-2023</t>
  </si>
  <si>
    <t>Zhang, Yumin/0000-0003-0767-1221</t>
  </si>
  <si>
    <t>National Basic Research Program of China (973 Program) [2011CB808800]; National Infrastructure of Natural Resources for Science and Technology Program of China [NIMR-2015-8]; National Natural Science Foundation of China [31270538]; State Oceanic Administration, PR China [10/11YR06]</t>
  </si>
  <si>
    <t>National Basic Research Program of China (973 Program)(National Basic Research Program of China); National Infrastructure of Natural Resources for Science and Technology Program of China; National Natural Science Foundation of China(National Natural Science Foundation of China (NSFC)); State Oceanic Administration, PR China</t>
  </si>
  <si>
    <t>This work was supported by the National Basic Research Program of China (973 Program) (2011CB808800), National Infrastructure of Natural Resources for Science and Technology Program of China (no. NIMR-2015-8), National Natural Science Foundation of China (grant no. 31270538) and State Oceanic Administration, PR China (project no. 10/11YR06).</t>
  </si>
  <si>
    <t>MICROBIOLOGY SOC</t>
  </si>
  <si>
    <t>14-16 MEREDITH ST, LONDON, ENGLAND</t>
  </si>
  <si>
    <t>1466-5026</t>
  </si>
  <si>
    <t>1466-5034</t>
  </si>
  <si>
    <t>INT J SYST EVOL MICR</t>
  </si>
  <si>
    <t>Int. J. Syst. Evol. Microbiol.</t>
  </si>
  <si>
    <t>10.1099/ijsem.0.000688</t>
  </si>
  <si>
    <t>Microbiology</t>
  </si>
  <si>
    <t>DF6GC</t>
  </si>
  <si>
    <t>WOS:000371452900022</t>
  </si>
  <si>
    <t>Jansen, J; Pokorny, T; Schmitt, T</t>
  </si>
  <si>
    <t>Jansen, Jan; Pokorny, Tamara; Schmitt, Thomas</t>
  </si>
  <si>
    <t>Disentangling the effect of insemination and ovary development on the cuticular hydrocarbon profile in the bumblebee Bombus terrestris (Hymenoptera: Apidae)</t>
  </si>
  <si>
    <t>APIDOLOGIE</t>
  </si>
  <si>
    <t>breeding status; cuticular profile; fertility; mating; virgin queen</t>
  </si>
  <si>
    <t>DIVISION-OF-LABOR; REPRODUCTIVE STATUS; CHEMICAL ECOLOGY; QUEENLESS ANT; DOMINANCE; WORKER; PHEROMONES; FERTILITY; SIGNALS; AGE</t>
  </si>
  <si>
    <t>In many social insects, fertility of the reproductive caste is communicated via cuticular chemistry. Changes in cuticular profiles have been correlated to ovarian development. However, an effect of insemination has been neglected in the majority of studies so far. In Bombus terrestris, we stimulated virgin queens to found colonies without being inseminated and compared their cuticular hydrocarbon profile (CHC) to other females in different insemination and breeding statuses. The analysis of the CHC profiles showed an effect of both insemination and ovarian development on the cuticular profile. Thus, insemination besides ovarian development might be received by workers in bumblebees as a potential cue for fertility.</t>
  </si>
  <si>
    <t>[Jansen, Jan; Pokorny, Tamara; Schmitt, Thomas] Univ Freiburg, Fac Biol, Dept Evolutionary Biol &amp; Anim Ecol, Hauptstr 1, D-79104 Freiburg, Germany; [Jansen, Jan] Univ Tasmania, Inst Marine &amp; Antarct Studies, 20 Castray Esplanade, Battery Point 7004, Australia; [Jansen, Jan] Australian Antarctic Div, Dept Environm, 203 Channel Hwy, Kingston, Tas 7050, Australia; [Pokorny, Tamara] Univ Bochum, Fac Biol &amp; Biotechnol, Dept Evolutionary Ecol &amp; Anim Biodivers, Univ Str 150, D-44780 Bochum, Germany; [Schmitt, Thomas] Univ Wurzburg, Bioctr, Dept Anim Ecol &amp; Trop Biol, Hubland, D-97074 Wurzburg, Germany</t>
  </si>
  <si>
    <t>University of Freiburg; University of Tasmania; Australian Antarctic Division; Ruhr University Bochum; University of Wurzburg</t>
  </si>
  <si>
    <t>Jansen, J (corresponding author), Univ Freiburg, Fac Biol, Dept Evolutionary Biol &amp; Anim Ecol, Hauptstr 1, D-79104 Freiburg, Germany.;Jansen, J (corresponding author), Univ Tasmania, Inst Marine &amp; Antarct Studies, 20 Castray Esplanade, Battery Point 7004, Australia.;Jansen, J (corresponding author), Australian Antarctic Div, Dept Environm, 203 Channel Hwy, Kingston, Tas 7050, Australia.</t>
  </si>
  <si>
    <t>jan.jansen@utas.edu.au</t>
  </si>
  <si>
    <t>Jansen, Jan/O-8632-2014</t>
  </si>
  <si>
    <t>Jansen, Jan/0000-0001-5896-365X</t>
  </si>
  <si>
    <t>SPRINGER FRANCE</t>
  </si>
  <si>
    <t>22 RUE DE PALESTRO, PARIS, 75002, FRANCE</t>
  </si>
  <si>
    <t>0044-8435</t>
  </si>
  <si>
    <t>1297-9678</t>
  </si>
  <si>
    <t>Apidologie</t>
  </si>
  <si>
    <t>10.1007/s13592-015-0379-5</t>
  </si>
  <si>
    <t>DF2HJ</t>
  </si>
  <si>
    <t>WOS:000371162900010</t>
  </si>
  <si>
    <t>Dinh, T; Podglajen, A; Hertzog, A; Legras, B; Plougonven, R</t>
  </si>
  <si>
    <t>Dinh, T.; Podglajen, A.; Hertzog, A.; Legras, B.; Plougonven, R.</t>
  </si>
  <si>
    <t>Effect of gravity wave temperature fluctuations on homogeneous ice nucleation in the tropical tropopause layer</t>
  </si>
  <si>
    <t>WATER-VAPOR TRANSPORT; CIRRUS CLOUDS; UPPER TROPOSPHERE; MICROPHYSICAL PROPERTIES; LOWER STRATOSPHERE; SUBVISIBLE CIRRUS; AEROSOLS; DEHYDRATION; AIRCRAFT; BALLOONS</t>
  </si>
  <si>
    <t>The impact of high-frequency fluctuations of temperature on homogeneous nucleation of ice crystals in the vicinity of the tropical tropopause is investigated using a bin microphysics scheme for air parcels. The imposed temperature fluctuations come from measurements during isopycnic balloon flights near the tropical tropopause. The balloons collected data at high frequency, guaranteeing that gravity wave signals are well resolved. With the observed temperature time series, the numerical simulations with homogeneous freezing show a full range of ice number concentration (INC) as previously observed in the tropical upper troposphere. In particular, a low INC may be obtained if the gravity wave perturbations produce a non-persistent cooling rate (even with large magnitude) such that the absolute change in temperature remains small during nucleation. This result is explained analytically by a dependence of the INC on the absolute drop in temperature (and not on the cooling rate). This work suggests that homogeneous ice nucleation is not necessarily inconsistent with observations of low INCs.</t>
  </si>
  <si>
    <t>[Dinh, T.] Princeton Univ, Program Atmospher &amp; Ocean Sci, Princeton, NJ 08544 USA; [Podglajen, A.; Hertzog, A.; Plougonven, R.] Ecole Polytech, Lab Meteorol Dynam, Palaiseau, France; [Legras, B.] Ecole Normale Super, Lab Meteorol Dynam, 24 Rue Lhomond, F-75231 Paris, France</t>
  </si>
  <si>
    <t>National Oceanic Atmospheric Admin (NOAA) - USA; Princeton University; Sorbonne Universite; Institut Polytechnique de Paris; Universite PSL; Ecole Normale Superieure (ENS); Sorbonne Universite</t>
  </si>
  <si>
    <t>Dinh, T (corresponding author), Princeton Univ, Program Atmospher &amp; Ocean Sci, Princeton, NJ 08544 USA.</t>
  </si>
  <si>
    <t>tdinh@princeton.edu</t>
  </si>
  <si>
    <t>Legras, Bernard/AAE-1352-2019; Legras, Bernard/HNI-8473-2023; /L-5227-2013</t>
  </si>
  <si>
    <t>/0000-0002-0144-2762; Podglajen, Aurelien/0000-0001-9768-3511; Plougonven, Riwal/0000-0003-3310-8280; Legras, Bernard/0000-0002-3756-7794</t>
  </si>
  <si>
    <t>Meteo-France; CNES; CNRS/INSU; NSF [AGS-1417659]; NCAR; University of Wyoming; Purdue University; University of Colorado; Alfred Wegener Institute; Met Office; ECMWF; Institut polaire francais Paul Emile Victor (IPEV); Programma Nazionale di Ricerche in Antartide (PNRA); United States Antarctic Program (USAP); British Antarctic Survey (BAS); NOAA Climate and Global Change Postdoctoral Fellowship Program; Tropical Cirrus project of Ecole Polytechnique's Chaire pour le Developpement Durable; ANR project Stradyvarius [ANR-13-BS06-0011-01]; EU 7th Framework Program [603557]; Div Atmospheric &amp; Geospace Sciences; Directorate For Geosciences [1417659] Funding Source: National Science Foundation; Agence Nationale de la Recherche (ANR) [ANR-13-BS06-0011] Funding Source: Agence Nationale de la Recherche (ANR)</t>
  </si>
  <si>
    <t>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 Institut polaire francais Paul Emile Victor (IPEV); Programma Nazionale di Ricerche in Antartide (PNRA); United States Antarctic Program (USAP); British Antarctic Survey (BAS); NOAA Climate and Global Change Postdoctoral Fellowship Program(National Oceanic Atmospheric Admin (NOAA) - USA); Tropical Cirrus project of Ecole Polytechnique's Chaire pour le Developpement Durable; ANR project Stradyvarius(Agence Nationale de la Recherche (ANR)); EU 7th Framework Program(European Union (EU)); Div Atmospheric &amp; Geospace Sciences; Directorate For Geosciences(National Science Foundation (NSF)NSF - Directorate for Geosciences (GEO)); Agence Nationale de la Recherche (ANR)(Agence Nationale de la Recherche (ANR))</t>
  </si>
  <si>
    <t>The data used for simulations in this work were collected during the project Concordiasi, which is supported by the following agencies: Meteo-France, CNES, CNRS/INSU, NSF, NCAR, University of Wyoming, Purdue University, University of Colorado, Alfred Wegener Institute, Met Office, and ECMWF. Concordiasi also benefited from the logistic and financial support of the Institut polaire francais Paul Emile Victor (IPEV), Programma Nazionale di Ricerche in Antartide (PNRA), United States Antarctic Program (USAP), British Antarctic Survey (BAS), and from measurements by the Baseline Surface Radiation Network (BSRN) at Concordia.; Tra Dinh acknowledges support from the NOAA Climate and Global Change Postdoctoral Fellowship Program and NSF grant AGS-1417659. This collaborative research emerged from Tra Dinh's visit to the Laboratoire de Meteorologie Dynamique, which was supported by the Tropical Cirrus project of Ecole Polytechnique's Chaire pour le Developpement Durable. Aurelien Podglajen, Albert Hertzog, Bernard Legras, and Riwal Plougonven received support from the ANR project Stradyvarius (ANR-13-BS06-0011-01). Additional support was provided by the EU 7th Framework Program under grant 603557 (StratoClim).</t>
  </si>
  <si>
    <t>10.5194/acp-16-35-2016</t>
  </si>
  <si>
    <t>DF3YG</t>
  </si>
  <si>
    <t>WOS:000371283900003</t>
  </si>
  <si>
    <t>Asmi, E; Kondratyev, V; Brus, D; Laurila, T; Lihavainen, H; Backman, J; Vakkari, V; Aurela, M; Hatakka, J; Viisanen, Y; Uttal, T; Ivakhov, V; Makshtas, A</t>
  </si>
  <si>
    <t>Asmi, E.; Kondratyev, V.; Brus, D.; Laurila, T.; Lihavainen, H.; Backman, J.; Vakkari, V.; Aurela, M.; Hatakka, J.; Viisanen, Y.; Uttal, T.; Ivakhov, V.; Makshtas, A.</t>
  </si>
  <si>
    <t>Aerosol size distribution seasonal characteristics measured in Tiksi, Russian Arctic</t>
  </si>
  <si>
    <t>ZOTTO TALL TOWER; BLACK CARBON; PARTICLE FORMATION; ATMOSPHERIC AEROSOLS; EMISSIONS; MODEL; HYYTIALA; SITE; MASS; TEMPERATURE</t>
  </si>
  <si>
    <t>Four years of continuous aerosol number size distribution measurements from the Arctic Climate Observatory in Tiksi, Russia, are analyzed. Tiksi is located in a region where in situ information on aerosol particle properties has not been previously available. Particle size distributions were measured with a differential mobility particle sizer (in the diameter range of 7-500 nm) and with an aerodynamic particle sizer (in the diameter range of 0.5-10 mu m). Source region effects on particle modal features and number, and mass concentrations are presented for different seasons. The monthly median total aerosol number concentration in Tiksi ranges from 184 cm(-3) in November to 724 cm(-3) in July, with a local maximum in March of 481 cm(-3). The total mass concentration has a distinct maximum in February-March of 1.72-2.38 mu gm(-3) and two minimums in June (0.42 mu gm(-3)) and in September-October (0.36-0.57 mu gm(-3)). These seasonal cycles in number and mass concentrations are related to isolated processes and phenomena such as Arctic haze in early spring, which increases accumulation and coarse-mode numbers, and secondary particle formation in spring and summer, which affects the nucleation and Aitken mode particle concentrations. Secondary particle formation was frequently observed in Tiksi and was shown to be slightly more common in marine, in comparison to continental, air flows. Particle formation rates were the highest in spring, while the particle growth rates peaked in summer. These results suggest two different origins for secondary particles, anthropogenic pollution being the important source in spring and biogenic emissions being significant in summer. The impact of temperature-dependent natural emissions on aerosol and cloud condensation nuclei numbers was significant: the increase in both the particle mass and the CCN (cloud condensation nuclei) number with temperature was found to be higher than in any previous study done over the boreal forest region. In addition to the precursor emissions of biogenic volatile organic compounds, the frequent Siberian forest fires, although far away, are suggested to play a role in Arctic aerosol composition during the warmest months. Five fire events were isolated based on clustering analysis, and the particle mass and cloud condensation nuclei number were shown to be somewhat affected by these events. In addition, during calm and cold months, aerosol concentrations were occasionally increased by local aerosol sources in trapping inversions. These results provide valuable information on interannual cycles and sources of Arctic aerosols.</t>
  </si>
  <si>
    <t>[Asmi, E.; Kondratyev, V.; Brus, D.; Laurila, T.; Lihavainen, H.; Backman, J.; Vakkari, V.; Aurela, M.; Hatakka, J.; Viisanen, Y.] Finnish Meteorol Inst, Atmospher Composit Res, FIN-00101 Helsinki, Finland; [Kondratyev, V.] Yakutian Serv Hydrometeorol &amp; Environm Monitoring, Tiksi, Russia; [Uttal, T.] NOAA, Boulder, CO USA; [Ivakhov, V.] Voeikov Main Geophys Observ, St Petersburg, Russia; [Makshtas, A.] Arctic &amp; Antarctic Res Inst, St Petersburg 199226, Russia</t>
  </si>
  <si>
    <t>Finnish Meteorological Institute; National Oceanic Atmospheric Admin (NOAA) - USA; Arctic &amp; Antarctic Research Institute</t>
  </si>
  <si>
    <t>Asmi, E (corresponding author), Finnish Meteorol Inst, Atmospher Composit Res, FIN-00101 Helsinki, Finland.</t>
  </si>
  <si>
    <t>eija.asmi@fmi.fi</t>
  </si>
  <si>
    <t>Backman, John/AAG-9028-2020; Lihavainen, Heikki/IAQ-5287-2023; Viisanen, Yrjö/CAG-3818-2022; Ivakhov, Viktor M/B-4333-2018; Brus, David/A-8296-2011; Backman, John/P-4308-2014; Aurela, Mika/L-4724-2014</t>
  </si>
  <si>
    <t>Backman, John/0000-0002-4444-8777; Lihavainen, Heikki/0000-0002-6135-4473; Viisanen, Yrjö/0000-0002-9660-3281; Ivakhov, Viktor M/0000-0003-4572-4734; Brus, David/0000-0002-8766-7873; Backman, John/0000-0002-4444-8777; Aurela, Mika/0000-0002-4046-7225; Asmi, Eija/0000-0002-9226-2360</t>
  </si>
  <si>
    <t>Academy of Finland project Greenhouse gas, aerosol and albedo variations in the changing Arctic [269095]; Academy of Finland Center of Excellence program [272041]; KONE foundation [46-6817]; Magnus Ehrnooth foundation; Roshydromet Arctic and Antarctic Research institute; NOAA Earth Systems Research Laboratory Physical Science Division</t>
  </si>
  <si>
    <t>Academy of Finland project Greenhouse gas, aerosol and albedo variations in the changing Arctic; Academy of Finland Center of Excellence program(Research Council of Finland); KONE foundation; Magnus Ehrnooth foundation; Roshydromet Arctic and Antarctic Research institute; NOAA Earth Systems Research Laboratory Physical Science Division(National Oceanic Atmospheric Admin (NOAA) - USA)</t>
  </si>
  <si>
    <t>This work was supported by the Academy of Finland project Greenhouse gas, aerosol and albedo variations in the changing Arctic (project number 269095) and the Academy of Finland Center of Excellence program (project number 272041), the KONE foundation (grant number 46-6817), and a Magnus Ehrnooth foundation grant for Natural climate feedbacks of aerosols in the Arctic. Data collection, acquisition, transfer, and archiving was supported by the Roshydromet Arctic and Antarctic Research institute and the NOAA Earth Systems Research Laboratory Physical Science Division. We would also like to thank E. D. Volkov and O. V. Dmitrieva for maintaining the measurements in Tiksi year-round.</t>
  </si>
  <si>
    <t>10.5194/acp-16-1271-2016</t>
  </si>
  <si>
    <t>DF3YI</t>
  </si>
  <si>
    <t>WOS:000371284100005</t>
  </si>
  <si>
    <t>Hiraike, Y; Tanaka, Y; Hasumi, H</t>
  </si>
  <si>
    <t>Hiraike, Yuri; Tanaka, Yukio; Hasumi, Hiroyasu</t>
  </si>
  <si>
    <t>Subduction of Pacific Antarctic Intermediate Water in an eddy-resolving model</t>
  </si>
  <si>
    <t>JOURNAL OF GEOPHYSICAL RESEARCH-OCEANS</t>
  </si>
  <si>
    <t>subduction; eddy; Antarctic Intermediate Water; eddy-resolving model</t>
  </si>
  <si>
    <t>MIXED-LAYER EDDIES; PART II; CIRCUMPOLAR CURRENT; MESOSCALE EDDIES; SUBPOLAR FRONT; CIRCULATION; PARAMETERIZATION; DESTRUCTION; VARIABILITY; VENTILATION</t>
  </si>
  <si>
    <t>The subduction process of Pacific Antarctic Intermediate Water (PAAIW) in the Pacific is investigated using output from an eddy-resolving ocean model. Focus is on contribution of eddies to the subduction process. To separate the subduction rate into contributions by eddies and mean flows, the temporal residual mean (TRM) velocity is used. In the mean subduction rate, lateral induction caused by the strong eastward flow of the Antarctic Circumpolar Current (ACC) is dominant. The largest rate is located in the Drake Passage. The estimated eddy-induced subduction rate is comparable with the mean subduction rate, and it tends to cancel the vertical mean component in many regions. In the west of the Drake Passage, however, the eddy-induced subduction is larger than the vertical mean component, and this eddy-induced subduction was not detected in previous studies using the thickness diffusion parameterization and an eddy-permitting model. Results of idealized sensitivity studies to model resolution suggest that the subduction rate would be larger using a model with higher vertical resolution. Therefore, the vertical resolution should be paid more attention in model studies investigating eddy-induced subduction, and not just the horizontal resolution.</t>
  </si>
  <si>
    <t>[Hiraike, Yuri; Hasumi, Hiroyasu] Univ Tokyo, Atmosphere &amp; Ocean Res Inst, Chiba, Japan; [Tanaka, Yukio] Japan Agcy Marine Earth Sci &amp; Technol, Yokohama, Kanagawa, Japan</t>
  </si>
  <si>
    <t>University of Tokyo; Japan Agency for Marine-Earth Science &amp; Technology (JAMSTEC)</t>
  </si>
  <si>
    <t>Tanaka, Y (corresponding author), Japan Agcy Marine Earth Sci &amp; Technol, Yokohama, Kanagawa, Japan.</t>
  </si>
  <si>
    <t>ytanaka@jamstec.go.jp</t>
  </si>
  <si>
    <t>Innovative Program of Climate Change Projection for the 21st Century of Ministry of Education, Culture, Sports, Science and Technology (MEXT); Grants-in-Aid for Scientific Research [15H05825, 15H02131] Funding Source: KAKEN</t>
  </si>
  <si>
    <t>Innovative Program of Climate Change Projection for the 21st Century of Ministry of Education, Culture, Sports, Science and Technology (MEXT); Grants-in-Aid for Scientific Research(Ministry of Education, Culture, Sports, Science and Technology, Japan (MEXT)Japan Society for the Promotion of ScienceGrants-in-Aid for Scientific Research (KAKENHI))</t>
  </si>
  <si>
    <t>We thank the anonymous reviewers for providing helpful suggestions to improve the manuscript. This research was supported by Innovative Program of Climate Change Projection for the 21st Century of the Ministry of Education, Culture, Sports, Science and Technology (MEXT). The numerical experiments were performed on the Earth Simulator. Please contact the corresponding author, Yukio Tanaka (ytanaka@jamstec.go.jp), for access to the data used in this paper.</t>
  </si>
  <si>
    <t>2169-9275</t>
  </si>
  <si>
    <t>2169-9291</t>
  </si>
  <si>
    <t>J GEOPHYS RES-OCEANS</t>
  </si>
  <si>
    <t>J. Geophys. Res.-Oceans</t>
  </si>
  <si>
    <t>10.1002/2015JC010802</t>
  </si>
  <si>
    <t>DF5ZH</t>
  </si>
  <si>
    <t>WOS:000371432200008</t>
  </si>
  <si>
    <t>Tournadre, J; Bouhier, N; Girard-Ardhuin, F; Rémy, F</t>
  </si>
  <si>
    <t>Tournadre, J.; Bouhier, N.; Girard-Ardhuin, F.; Remy, F.</t>
  </si>
  <si>
    <t>Antarctic icebergs distributions 1992-2014</t>
  </si>
  <si>
    <t>iceberg; altimetry; Southern Ocean</t>
  </si>
  <si>
    <t>ICE SHELVES; SEA; OCEAN; SIZE; GYRE</t>
  </si>
  <si>
    <t>Basal melting of floating ice shelves and iceberg calving constitute the two almost equal paths of freshwater flux between the Antarctic ice cap and the Southern Ocean. The largest icebergs (&gt;100 km(2)) transport most of the ice volume but their basal melting is small compared to their breaking into smaller icebergs that constitute thus the major vector of freshwater. The archives of nine altimeters have been processed to create a database of small icebergs (&lt;8 km(2)) within open water containing the positions, sizes, and volumes spanning the 1992-2014 period. The intercalibrated monthly ice volumes from the different altimeters have been merged in a homogeneous 23 year climatology. The iceberg size distribution, covering the 0.1-10,000 km(2) range, estimated by combining small and large icebergs size measurements follows well a power law of slope -1.520.32 close to the -3/2 laws observed and modeled for brittle fragmentation. The global volume of ice and its distribution between the ocean basins present a very strong interannual variability only partially explained by the number of large icebergs. Indeed, vast zones of the Southern Ocean free of large icebergs are largely populated by small iceberg drifting over thousands of kilometers. The correlation between the global small and large icebergs volumes shows that small icebergs are mainly generated by large ones breaking. Drifting and trapping by sea ice can transport small icebergs for long period and distances. Small icebergs act as an ice diffuse process along large icebergs trajectories while sea ice trapping acts as a buffer delaying melting.</t>
  </si>
  <si>
    <t>[Tournadre, J.; Bouhier, N.; Girard-Ardhuin, F.] IFREMER, Lab Oceanog Spatiale, Plouzane, France; [Remy, F.] CNRS, Lab Etud Geophys &amp; Oceanog Spatiales, Toulouse, France</t>
  </si>
  <si>
    <t>Ifremer; Universite de Toulouse; Universite Toulouse III - Paul Sabatier; Centre National de la Recherche Scientifique (CNRS); Institut de Recherche pour le Developpement (IRD); Laboratoire d'Etudes en Geophysique et oceanographie spatiales</t>
  </si>
  <si>
    <t>Tournadre, J (corresponding author), IFREMER, Lab Oceanog Spatiale, Plouzane, France.</t>
  </si>
  <si>
    <t>jean.tournadre@ifremer.fr</t>
  </si>
  <si>
    <t>Girard-Ardhuin, Fanny/L-4153-2015; Girard-Ardhuin, Fanny/AAE-9430-2019; Tournadre, Jean/F-8402-2010</t>
  </si>
  <si>
    <t>Girard-Ardhuin, Fanny/0000-0001-7819-7665; Girard-Ardhuin, Fanny/0000-0001-7819-7665; Tournadre, Jean/0000-0003-1159-4388</t>
  </si>
  <si>
    <t>NASA Jet Propulsion Laboratory; Centre National d'Etudes Spatiales under the TOSCA program</t>
  </si>
  <si>
    <t>NASA Jet Propulsion Laboratory(National Aeronautics &amp; Space Administration (NASA)); Centre National d'Etudes Spatiales under the TOSCA program</t>
  </si>
  <si>
    <t>The ERS-1, ERS-2, Envisat, and Cryosat altimeter data were provided by the European Space Agency. The Jason-1, Jason-2, and SARAL/AltiKa data were made available by the AVISO center, while the Topex data were provided by NASA Jet Propulsion Laboratory. The HY2A data were provides by the Chinese National Satellite Ocean Application Service (NSOAS). The study was partially funded by the Centre National d'Etudes Spatiales under the TOSCA program. The authors would like to thank the anonymous reviewers whose comments greatly help to improve the article.</t>
  </si>
  <si>
    <t>10.1002/2015JC011178</t>
  </si>
  <si>
    <t>Green Published, Bronze, Green Submitted</t>
  </si>
  <si>
    <t>WOS:000371432200020</t>
  </si>
  <si>
    <t>Purac, J; Kojic, D; Petri, E; Popovic, ZD; Grubor-Lajsic, G; Blagojevic, DP</t>
  </si>
  <si>
    <t>Raman, C; Goldsmith, MR; Agunbiade, TA</t>
  </si>
  <si>
    <t>Purac, Jelena; Kojic, Danijela; Petri, Edward; Popovic, Zeljko D.; Grubor-Lajsic, Gordana; Blagojevic, Dusko P.</t>
  </si>
  <si>
    <t>Cold Adaptation Responses in Insects and Other Arthropods: An Omics Approach</t>
  </si>
  <si>
    <t>SHORT VIEWS ON INSECT GENOMICS AND PROTEOMICS, VOL 2: INSECT PROTEOMICS</t>
  </si>
  <si>
    <t>Entomology in Focus</t>
  </si>
  <si>
    <t>BORER OSTRINIA-NUBILALIS; MEGAPHORURA-ARCTICA TULLBERG; FREEZE-TOLERANT INSECT; DROSOPHILA-MELANOGASTER; FLESH FLY; CRYOPROTECTIVE DEHYDRATION; SARCOPHAGA-CRASSIPALPIS; GENE-EXPRESSION; ANTARCTIC MIDGE; BELGICA-ANTARCTICA</t>
  </si>
  <si>
    <t>In this chapter, we review recent genomic, proteomic, and metabolomic studies that link several gene and protein products involved in cold adaptation in insects and other arthropods to energy metabolism and cellular protection mechanisms. Organisms have evolved various mechanisms for survival at subfreezing temperatures. In general, cold hardy invertebrates utilize four main strategies to survive cold temperatures: (1) freeze tolerance, (2) freeze avoidance, (3) cryoprotective dehydration, and (4) vitrification. In addition, many insects in temperate regions overwinter in an arrested developmental state known as diapause, during which they are cold hardy. Major alterations occur during winter diapause, with respect to both total metabolic flux and the relative activities of different metabolic pathways. In these organisms, one such metabolic adaptation to unfavorably cold environmental conditions is the synthesis of cryoprotectants/anhydroprotectants. The metabolic changes and metabolic paths involved in cold adaptation suggest involvement of specific enzymes and key regulatory proteins. These mechanisms of cold adaptation require precise scheduling of the expression of specific genes. Thus, we discuss here the evidence researchers have recently begun to gather supporting a relationship between the genes and proteins of the cold adaptation response and mechanisms of cellular protection and energy metabolism using an omics approach.</t>
  </si>
  <si>
    <t>[Purac, Jelena; Kojic, Danijela; Petri, Edward; Popovic, Zeljko D.; Grubor-Lajsic, Gordana] Univ Novi Sad, Fac Sci, Dept Biol &amp; Ecol, Novi Sad 21000, Serbia; [Blagojevic, Dusko P.] Univ Belgrade, Inst Biol Res, Dept Physiol, Bulevar Despota Stefana 142, Belgrade 11060, Serbia</t>
  </si>
  <si>
    <t>University of Novi Sad; University of Belgrade</t>
  </si>
  <si>
    <t>Blagojevic, DP (corresponding author), Univ Belgrade, Inst Biol Res, Dept Physiol, Bulevar Despota Stefana 142, Belgrade 11060, Serbia.</t>
  </si>
  <si>
    <t>dblagoje@ibiss.bg.ac.rs</t>
  </si>
  <si>
    <t>Blagojević, Duško P/A-7739-2018; Popović, Željko/F-8257-2010; Kojić, Danijela/AGJ-5146-2022</t>
  </si>
  <si>
    <t>Blagojević, Duško P/0000-0001-6338-2833; Popović, Željko/0000-0003-2961-8093; Kojić, Danijela/0000-0002-6422-9790</t>
  </si>
  <si>
    <t>2405-8548</t>
  </si>
  <si>
    <t>978-3-319-24244-6; 978-3-319-24242-2</t>
  </si>
  <si>
    <t>ENTOMOL FOCUS</t>
  </si>
  <si>
    <t>10.1007/978-3-319-24244-6_4</t>
  </si>
  <si>
    <t>10.1007/978-3-319-24244-6</t>
  </si>
  <si>
    <t>BE3XK</t>
  </si>
  <si>
    <t>WOS:000371340300005</t>
  </si>
  <si>
    <t>Toro, F; Vilina, YA; Capella, JJ; Gibbons, J</t>
  </si>
  <si>
    <t>Toro, Frederick; Vilina, Yerko A.; Capella, Juan J.; Gibbons, Jorge</t>
  </si>
  <si>
    <t>Novel Coastal Feeding Area for Eastern South Pacific Fin Whales (Balaenoptera physalus) in Mid-Latitude Humboldt Current Waters off Chile</t>
  </si>
  <si>
    <t>fin whale; Balaenoptera physalus; Chile; eastern South Pacific; feeding ground; Humboldt Current; seasonal occurrence</t>
  </si>
  <si>
    <t>HUMPBACK WHALES; EUPHAUSIA-MUCRONATA; ABUNDANCE; MOVEMENTS; NORTHERN; STRAIT; GULF; SEA</t>
  </si>
  <si>
    <t>Southern Hemisphere feeding grounds for fin whales (Balaenoptera physalus) are known to be located in Antarctic and subantarctic waters. Specific feeding areas outside of these waters were unknown. Fin whales were first reported from inshore Chilean waters in 1993. New spatial and temporal distribution records of these whales in coastal waters of northern Chile are reported for a 28-y study period from 1988 to 2015. Records of a total of 519 animals comprise 179 sightings of which 170 are new and nine are previous reports from the region obtained since 1993. Fin whales were sighted either solitarily or in groups of up to 14 individuals. They have been observed throughout the year, though more often in summer than winter months. Photographic databases reveal repeated observation of certain unique individuals among years, and residence of several individuals over summer months for periods up to 3 mo. The occurrence and re-sighting of fin whale feeding in this area identifies this habitat as a coastal foraging area for these whales, which is the first documented feeding ground for the eastern South Pacific in waters north of the Antarctic. Individuals recorded in Chilean waters are primarily adults; very few juveniles and no calves have been reported. Fin whale presence in coastal areas maximizes vulnerability to human activities like increasing nonregulated whale watching and collisions with vessels transiting the close maritime route to Coquimbo harbor.</t>
  </si>
  <si>
    <t>[Toro, Frederick; Vilina, Yerko A.] Univ Santo Tomas, Fac Med Vet, Santiago, Chile; [Toro, Frederick] Univ Andres Bello, Fac Ecol &amp; Recursos Nat, PhD Programme Conservat Med, Santiago, Chile; [Vilina, Yerko A.; Capella, Juan J.] Whalesound Ltda, Punta Arenas, Chile; [Capella, Juan J.] Fdn Yubarta, Cali, Colombia; [Gibbons, Jorge] Univ Magallanes, Punta Arenas, Chile</t>
  </si>
  <si>
    <t>Universidad Santo Tomas; Universidad Andres Bello; Universidad de Magallanes</t>
  </si>
  <si>
    <t>Vilina, YA (corresponding author), Univ Santo Tomas, Fac Med Vet, Santiago, Chile.;Vilina, YA (corresponding author), Whalesound Ltda, Punta Arenas, Chile.</t>
  </si>
  <si>
    <t>yvilina@santotomas.cl</t>
  </si>
  <si>
    <t>Comite pro Defensa de Flora y Fauna (CODEFF); Frankfurt Zoological Society; Departamento de Investigacion y Postgrado; Escuela de Medicina Veterinaria of the Universidad Santo Tomas; Fundacion Yubarta; Proyectos Exploratorios - Ministerio de Bienes Nacionales; Gaia project - Universidad de Magallanes; Compania Minera del Pacifico (CMP)</t>
  </si>
  <si>
    <t>funded partially by Comite pro Defensa de Flora y Fauna (CODEFF), Frankfurt Zoological Society, Departamento de Investigacion y Postgrado and Escuela de Medicina Veterinaria of the Universidad Santo Tomas, Fundacion Yubarta, Proyectos Exploratorios - Ministerio de Bienes Nacionales, Gaia project - Universidad de Magallanes, and Compania Minera del Pacifico (CMP). We thank especially Antonio Larrea, Alberto Maffei, Juan Carlos Gedda, Manuel Gedda, Gian Paolo Sanino, Agnes Kuester, Humberto Mieres, Memo Rus, Barbara Toro, Marcela Ramirez, Natacha del Pino, and Karen Plaza for their support with fieldwork, to Emiliano Mendez for review of draft, to Maria Paulina Godoy for hospitality, and to Pablo Valenzuela for his photographic contributions. We extend our gratitude to Pedro Alvarez, Undalicio Alvarez, Fernando Alvarez, and Patricio Ortiz from Chanaral Cove and to G. Barrera and J. M. Lobos from Punta de Choros Cove. This work is dedicated to the memory of the late Godofredo Stutzin (CODEFF-Chile) and Dr. Richard Faust (FZS-Germany) for their support of this research from the beginning. We also wish to thank two anonymous reviewers for their insightful suggestions and useful comments.</t>
  </si>
  <si>
    <t>10.1578/AM.42.1.2016.47</t>
  </si>
  <si>
    <t>DE9GA</t>
  </si>
  <si>
    <t>WOS:000370943200007</t>
  </si>
  <si>
    <t>Hughes, L</t>
  </si>
  <si>
    <t>Glikson, AY; Groves, C</t>
  </si>
  <si>
    <t>Hughes, Lesley</t>
  </si>
  <si>
    <t>Phanerozoic Life and Mass Extinctions of Species</t>
  </si>
  <si>
    <t>CLIMATE, FIRE AND HUMAN EVOLUTION: THE DEEP TIME DIMENSIONS OF THE ANTHROPOCENE</t>
  </si>
  <si>
    <t>Modern Approaches in Solid Earth Sciences</t>
  </si>
  <si>
    <t>Early conflicts between uniformitarian and gradual theories of evolution (James Hutton 1726-1797; Charles Lyell 1797-1875) and catastrophic theory (Georges Cuvier 1769-1832) have been progressively resolved by advanced paleontological, sedimentary, volcanic and asteroid impact studies and by paleo-climate studies coupled with precise isotopic age determinations, indicating periods of gradual evolution were interrupted by abrupt events which have transformed the habitat of plants and organisms and resulted in mass extinction of species. Detailed investigations of the carbon, oxygen and sulphur cycles using a range of proxies, including leaf pore stomata, delta C-13, delta S-34 and Sr-87/86 isotopes, as well as geochemical mass balance modeling, provide detailed evidence of major trends as well as distinct events in the atmosphere-ocean-land system during the Paleozoic and Mesozoic eras (542-65 Ma), including greenhouse Earth periods (CO2 similar to 2,000-5,000 ppm) and glacial phases (CO2 &lt; 500 ppm), with implications for biological evolution. The Cenozoic era includes four components (A) post K-T impact warming culminating with the Paleocene-Eocene hyperthermal at similar to 55 Ma; (B) long term cooling ending with a sharp temperature plunge toward formation of the Antarctic ice sheet from 32 Ma; (C) a post-32 Ma era dominated by the Antarctic ice sheet, including limited thermal rises in the end-Oligocene, mid-Miocene and end-Pliocene, and (D) Pleistocene glacial-interglacial cycles. Hominin evolution in Africa occurred during a transition from tropical to dry climates punctuated by alternating periods of extreme orbital forcing-induced glacial-interglacial cycles, suggesting variability selection of Hominins.</t>
  </si>
  <si>
    <t>1876-1682</t>
  </si>
  <si>
    <t>978-3-319-22512-8; 978-3-319-22511-1</t>
  </si>
  <si>
    <t>MOD APPR SOL EARTH S</t>
  </si>
  <si>
    <t>10.1007/978-3-319-22512-8_2</t>
  </si>
  <si>
    <t>BE2HB</t>
  </si>
  <si>
    <t>WOS:000369234400004</t>
  </si>
  <si>
    <t>Kalén, O; Assmann, KM; Wåhlin, AK; Ha, HK; Kim, TW; Lee, SH</t>
  </si>
  <si>
    <t>Kalen, Ola; Assmann, Karen M.; Wahlin, Anna K.; Ha, Ho Kyung; Kim, Tae Wan; Lee, Sang Hoon</t>
  </si>
  <si>
    <t>Is the oceanic heat flux on the central Amundsen sea shelf caused by barotropic or baroclinic currents?</t>
  </si>
  <si>
    <t>DEEP-SEA RESEARCH PART II-TOPICAL STUDIES IN OCEANOGRAPHY</t>
  </si>
  <si>
    <t>Antarctica; Amundsen sea; Circulation; Ice shelf; Heat budget</t>
  </si>
  <si>
    <t>CIRCUMPOLAR DEEP-WATER; PINE ISLAND GLACIER; CONTINENTAL-SHELF; CIRCULATION; INFLOW; VARIABILITY; TRANSPORT; TRENDS; MODEL</t>
  </si>
  <si>
    <t>The glaciers that drain the West Antarctic Ice Sheet into the Amundsen Sea are accelerating and experiencing increased basal melt of the floating ice shelves. Warm and salty deep water has been observed to flow southward in deep troughs leading from the shelf break to the inner shelf area where the glaciers terminate. It has been suggested that the melting induced by this warm water is responsible for the acceleration of the glaciers. Here we investigate the structure of the currents and the associated heat flow on the shelf using in-situ observations from 2008 to 2014 in Dotson Trough, the main channel in the western part of the Amundsen Sea shelf, together with output from a numerical model. The model is generally able to reproduce the observed velocities and temperatures in the trough, albeit with a thicker warm bottom layer. In the absence of measurements of sea surface height we define the barotropic component of the flow as the vertical average of the velocity. It is shown that the flow is dominated by warm barotropic inflows on the eastern side and colder and fresher barotropic outflows on the western side. The transport of heat appears to be primarily induced by this clockwise barotropic circulation in the trough, contrary to earlier studies emphasizing a bottom-intensified baroclinic inflow as the main contributor. (C) 2015 Elsevier Ltd. All rights reserved.</t>
  </si>
  <si>
    <t>[Kalen, Ola; Assmann, Karen M.; Wahlin, Anna K.] Univ Gothenburg, Dept Marine Sci, Box 460, S-40530 Gothenburg, Sweden; [Ha, Ho Kyung] Inha Univ, Seoul, South Korea; [Kim, Tae Wan; Lee, Sang Hoon] Korea Polar Res Inst, Seoul, South Korea</t>
  </si>
  <si>
    <t>University of Gothenburg; Inha University; Korea Institute of Ocean Science &amp; Technology (KIOST); Korea Polar Research Institute (KOPRI)</t>
  </si>
  <si>
    <t>Kalén, O (corresponding author), Univ Gothenburg, Dept Marine Sci, Box 460, S-40530 Gothenburg, Sweden.</t>
  </si>
  <si>
    <t>ola.kalen@marine.gu.se</t>
  </si>
  <si>
    <t>Kim, Tae-Wan/JGM-9981-2023; Wåhlin, Anna/U-3790-2017; Ha, Ho Kyung/HCH-4138-2022</t>
  </si>
  <si>
    <t>Kim, Tae-Wan/0000-0001-5257-7256; Wåhlin, Anna/0000-0003-1799-6476; Kalen, Ola/0000-0002-0542-7738</t>
  </si>
  <si>
    <t>K-Polar Program of KOPRI [PP13020]; Swedish Research Council (SRC); Inha University Research Grant [INHA-51416]</t>
  </si>
  <si>
    <t>K-Polar Program of KOPRI(Korea Polar Research Institute of Marine Research Placement (KOPRI)); Swedish Research Council (SRC)(Swedish Research Council); Inha University Research Grant</t>
  </si>
  <si>
    <t>This work was supported by K-Polar Program (PP13020) of KOPRI and the Swedish Research Council (SRC). The authors would like to thank Sudipta Goswami and Paul Holland at British Antarctic Survey for performing the simulations with daily output. We are grateful to two anonymous reviewers for helpful and knowledgeable reviews that improved the paper. Ben Webber at University of East Anglia is thanked for fruitful discussions on the manuscript. We are deeply indebted to the captains and crews of the IBRVs Araon and Oden for professional support during the Amundsen expeditions.; H. K. Ha was supported by Inha University Research Grant (INHA-51416).</t>
  </si>
  <si>
    <t>PERGAMON-ELSEVIER SCIENCE LTD</t>
  </si>
  <si>
    <t>THE BOULEVARD, LANGFORD LANE, KIDLINGTON, OXFORD OX5 1GB, ENGLAND</t>
  </si>
  <si>
    <t>0967-0645</t>
  </si>
  <si>
    <t>1879-0100</t>
  </si>
  <si>
    <t>DEEP-SEA RES PT II</t>
  </si>
  <si>
    <t>Deep-Sea Res. Part II-Top. Stud. Oceanogr.</t>
  </si>
  <si>
    <t>10.1016/j.dsr2.2015.07.014</t>
  </si>
  <si>
    <t>DE8KS</t>
  </si>
  <si>
    <t>WOS:000370885500002</t>
  </si>
  <si>
    <t>Miles, T; Lee, SH; Wåhlin, A; Ha, HK; Kim, TW; Assmann, KM; Schofield, O</t>
  </si>
  <si>
    <t>Miles, Travis; Lee, Sang Hoon; Wahlin, Anna; Ha, Ho Kyung; Kim, Tae Wan; Assmann, Karen M.; Schofield, Oscar</t>
  </si>
  <si>
    <t>Glider observations of the Dotson Ice Shelf outflow</t>
  </si>
  <si>
    <t>Gliders; Circumpolar Deep Water; Dotson Ice Shelf; Amundsen Sea</t>
  </si>
  <si>
    <t>CIRCUMPOLAR DEEP-WATER; MELTING GLACIERS FUELS; AMUNDSEN SEA EMBAYMENT; PINE ISLAND GLACIER; WEST ANTARCTICA; PHYTOPLANKTON BLOOMS; CONTINENTAL-SHELF; MASS-LOSS; IRON; INFLOW</t>
  </si>
  <si>
    <t>The Amundsen Sea is one of the most productive polynyas in the Antarctic per unit area and is undergoing rapid changes including a reduction in sea ice duration, thinning ice sheets, retreat of glaciers and the potential collapse of the Thwaites Glacier in Pine Island Bay. A growing body of research has indicated that these changes are altering the water mass properties and associated biogeochemistry within the polynya. Unfortunately difficulties in accessing the remote location have greatly limited the amount of in situ data that has been collected. In this study data from a Teledyne-Webb Slocum glider was used to supplement ship-based sampling along the Dotson Ice Shelf (DIS). This autonomous underwater vehicle revealed a detailed view of a meltwater laden outflow from below the western flank of the DIS. Circumpolar Deep Water intruding onto the shelf drives glacial melt and the supply of macronutrients that, along with ample light, supports the large phytoplankton blooms in the Amundsen Sea Polynya. Less well understood is the source of micronutrients, such as iron, necessary to support this bloom to the central polynya where chlorophyll concentrations are highest. This outflow region showed decreasing optical backscatter with proximity to the bed indicating that particulate matter was sourced from the overlying glacier rather than resuspended sediment. This result suggests that particulate iron, and potentially phytoplankton primary productivity, is intrinsically linked to the magnitude and duration of sub-glacial melt from Circumpolar Deep Water intrusions onto the shelf. (C) 2015 The Authors. Published by Elsevier Ltd.</t>
  </si>
  <si>
    <t>[Miles, Travis; Schofield, Oscar] Rutgers State Univ, Dept Marine &amp; Coastal Sci, New Brunswick, NJ 08901 USA; [Lee, Sang Hoon; Ha, Ho Kyung; Kim, Tae Wan] Korea Polar Res Inst, Inchon 406840, South Korea; [Wahlin, Anna; Assmann, Karen M.] Univ Gothenburg, Dept Marine Sci, Gothenburg, Sweden; [Ha, Ho Kyung] Inha Univ, Dept Ocean Sci, Inchon 402751, South Korea</t>
  </si>
  <si>
    <t>Rutgers University System; Rutgers University New Brunswick; Korea Polar Research Institute (KOPRI); Korea Institute of Ocean Science &amp; Technology (KIOST); University of Gothenburg; Inha University</t>
  </si>
  <si>
    <t>Miles, T (corresponding author), Rutgers State Univ, Dept Marine &amp; Coastal Sci, Ctr Ocean Observing Leadership, 71 Dudley Rd, New Brunswick, NJ 08901 USA.</t>
  </si>
  <si>
    <t>tnmiles@marine.rutgers.edu</t>
  </si>
  <si>
    <t>Ha, Ho Kyung/HCH-4138-2022; Wåhlin, Anna/U-3790-2017; Kim, Tae-Wan/JGM-9981-2023; Miles, Travis/L-7918-2013; Schofield, Oscar/H-4169-2018</t>
  </si>
  <si>
    <t>Wåhlin, Anna/0000-0003-1799-6476; Kim, Tae-Wan/0000-0001-5257-7256; Miles, Travis/0000-0003-1992-0248; Schofield, Oscar/0000-0003-2359-4131</t>
  </si>
  <si>
    <t>Korea Polar Research Institute [PP14020, PP15020]; Teledyne-Webb graduate fellowship; Inha University research Grant [INHA-51416]</t>
  </si>
  <si>
    <t>Korea Polar Research Institute(Korea Polar Research Institute of Marine Research Placement (KOPRI)); Teledyne-Webb graduate fellowship; Inha University research Grant</t>
  </si>
  <si>
    <t>The authors acknowledge the Korea Polar Research Institute for its support and funding from Grant programs (PP14020 and PP15020), Teledyne-Webb graduate fellowship for graduate student funding, the Rutgers University Center for Ocean Observing Leadership for glider piloting and support, and the dedication and support of the crew and scientists of the IBRV Araon. Inha University research Grant (INHA-51416) supported Ho Kyung Ha. We would also like to thank Pierre Dutrieux for scientific codes and commentary on many of the draft figures. Additionally, we thank the two anonymous reviewers for the helpful and thoughtful comments that greatly improved this paper.</t>
  </si>
  <si>
    <t>10.1016/j.dsr2.2015.08.008</t>
  </si>
  <si>
    <t>WOS:000370885500003</t>
  </si>
  <si>
    <t>Song, HJ; Kang, JJ; Kim, BK; Joo, H; Yang, EJ; Park, J; Lee, SH; Lee, SH</t>
  </si>
  <si>
    <t>Song, Ho Jung; Kang, Jae Jung; Kim, Bo Kyung; Joo, HuiTae; Yang, Eun Jin; Park, Jisoo; Lee, Sang Hoon; Lee, Sang Heon</t>
  </si>
  <si>
    <t>High protein production of phytoplankton in the Amundsen Sea</t>
  </si>
  <si>
    <t>Amundsen Sea; Polynya; Phytoplankton; Macromolecular production; Protein</t>
  </si>
  <si>
    <t>MELTING GLACIERS FUELS; CARBON ASSIMILATION; ANTARCTIC PENINSULA; BERING STRAIT; LIPID CLASSES; UPTAKE RATES; ICE ZONE; ROSS SEA; IRON; BLOOMS</t>
  </si>
  <si>
    <t>The Amundsen Sea polynya is one of the largest and most productive polynyas in the Southern Ocean and has recently experienced a rapid change in sea ice coverage. However, very little is known about current physiological status of phytoplankton and its quality as food for pelagic herbivores and consequently higher trophic levels in the Amundsen Sea. Using a C-13 isotope tracer technique, macromolecular production measurements of phytoplankton at eleven stations were conducted at three light depths (100, 30, and 1%) onboard R/V ARAON in the Amundsen Sea, 2012. The concentrations of major inorganic nutrients were replete at all the productivity stations and no substantial difference in macromolecular production was found between polynya and non-polynya regions. Distinct vertical trends were not observed in low-molecular-weight metabolites (LMWM) and polysaccharide productions, but weak vertical patterns in lipid and protein productions were found during our cruise period. The vertical patterns of lipids slightly increased with depth whereas decreased for protein synthesis in this study, and these vertical trends were not consistent with the results reported previously in the Arctic Ocean. Overall, phytoplankton allocated more photosynthetic carbon into proteins (60.0%) than other macromolecules in the Amundsen Sea, which is markedly higher than those reported previously in the Antarctic Ocean, ranging from 7 to 23%. The high protein synthesis appears to be sustained by high concentrations of major nutrients, which might be a strong factor for general patterns of macromolecular productions of phytoplankton in polar oceans, even under potential iron limitation. (C) 2015 Elsevier Ltd. All rights reserved.</t>
  </si>
  <si>
    <t>[Song, Ho Jung; Kang, Jae Jung; Kim, Bo Kyung; Joo, HuiTae; Lee, Sang Heon] Pusan Natl Univ, Dept Oceanog, 30 Jangjeon Dong, Busan 609735, South Korea; [Yang, Eun Jin; Park, Jisoo; Lee, Sang Hoon] Korea Polar Res Inst, 26 Songdomirae Ro, Inchon 406840, South Korea</t>
  </si>
  <si>
    <t>Pusan National University; Korea Institute of Ocean Science &amp; Technology (KIOST); Korea Polar Research Institute (KOPRI)</t>
  </si>
  <si>
    <t>Lee, SH (corresponding author), Pusan Natl Univ, Dept Oceanog, 30 Jangjeon Dong, Busan 609735, South Korea.</t>
  </si>
  <si>
    <t>sanglee@pusan.ac.kr</t>
  </si>
  <si>
    <t>Kim, Bo Kyung/GRY-2456-2022</t>
  </si>
  <si>
    <t>Kim, Bo Kyung/0009-0005-4890-701X; Yang, Eun Jin/0000-0002-8639-5968</t>
  </si>
  <si>
    <t>Korea Polar Research Institute (KOPRI) [PP14020]</t>
  </si>
  <si>
    <t>We thank the captain, officers and crew of the Korean Research Icebreaker, ARAON for their outstanding assistance during the cruise. This research was supported by the Korea Polar Research Institute (KOPRI; PP14020).</t>
  </si>
  <si>
    <t>10.1016/j.dsr2.2015.07.015</t>
  </si>
  <si>
    <t>WOS:000370885500006</t>
  </si>
  <si>
    <t>Jiang, Y; Liu, Q; Yang, EJ; Wang, M; Kim, TW; Cho, KH; Lee, S</t>
  </si>
  <si>
    <t>Jiang, Yong; Liu, Qian; Yang, Eun Jin; Wang, Min; Kim, Tae Wan; Cho, Kyoung-Ho; Lee, SangHoon</t>
  </si>
  <si>
    <t>Pelagic ciliate communities within the Amundsen Sea polynya and adjacent sea ice zone, Antarctica</t>
  </si>
  <si>
    <t>Spatial pattern; Community structure; Pelagic ciliate; Polynya; Amundsen Sea</t>
  </si>
  <si>
    <t>MARINE WATER-QUALITY; JIAOZHOU BAY; EUPHAUSIA-CRYSTALLOROPHIAS; ENVIRONMENTAL-CONDITIONS; DISTRIBUTIONS; ABUNDANCE; PATTERNS; CARBON; PROTOZOOPLANKTON; PLANKTON</t>
  </si>
  <si>
    <t>Polynyas, areas of open water surrounded by sea ice, are sites of intense primary production and ecological hotspots in the Antarctic Ocean. This study determined the spatial variation in communities of pelagic ciliates in an Amundsen Sea polynya (ASP) and adjacent sea ice zones (SIZ) during austral summer from February to March 2012, and the results were compared with biotic and abiotic environmental factors. The species number, abundance and biomass were higher in the ASP than SIZ. Canonical analysis indicated that the communities in the ASP were distinct from those under the sea ice. The pelagic ciliate community structure was closely correlated with environmental variability. Several primary environmental variables, both alone and in combination, were found to affect community spatial patterns. The ciliate biomasses in the ASP and SIZ areas were both significantly correlated with total and nano-ChI a. This analysis of the ciliated microzooplankton communities associated with high primary production provides new insights into the roles of ciliates in biogeochemical cycles in high-latitude polynyas. Additionally, our findings provide detailed data on the composition, distribution, and structure of polynya ciliate communities in the Amundsen Sea. (C) 2015 Elsevier Ltd. All rights reserved.</t>
  </si>
  <si>
    <t>[Jiang, Yong; Liu, Qian; Wang, Min] Ocean Univ China, Coll Marine Life, Qingdao 266003, Peoples R China; [Yang, Eun Jin; Kim, Tae Wan; Cho, Kyoung-Ho; Lee, SangHoon] Korea Polar Res Inst, Div Polar Ocean Environm, 213-3 Songdo Dong, Inchon 406840, South Korea</t>
  </si>
  <si>
    <t>Ocean University of China; Korea Institute of Ocean Science &amp; Technology (KIOST); Korea Polar Research Institute (KOPRI)</t>
  </si>
  <si>
    <t>Jiang, Y (corresponding author), Ocean Univ China, Coll Marine Life, Qingdao 266003, Peoples R China.;Yang, EJ (corresponding author), Korea Polar Res Inst, Div Polar Ocean Environm, 213-3 Songdo Dong, Inchon 406840, South Korea.</t>
  </si>
  <si>
    <t>yongjiang@ouc.edu.cn; ejyang@kopri.re.kr</t>
  </si>
  <si>
    <t>Wang, Min/AFR-9645-2022; Jiang, Yong/AGK-3016-2022; Kim, Tae-Wan/JGM-9981-2023</t>
  </si>
  <si>
    <t>Wang, Min/0000-0002-2357-589X; Jiang, Yong/0000-0002-4072-1668; Kim, Tae-Wan/0000-0001-5257-7256; Jiang, Yong/0000-0001-6055-488X; Yang, Eun Jin/0000-0002-8639-5968</t>
  </si>
  <si>
    <t>Korea Polar Research Institute project, Republic of Korea (KOPRI) [PP 15020]; Chinese Polar Environment Comprehensive Investigation &amp; Assessment Programmes [CHINARE 2015-01-05]</t>
  </si>
  <si>
    <t>Korea Polar Research Institute project, Republic of Korea (KOPRI); Chinese Polar Environment Comprehensive Investigation &amp; Assessment Programmes</t>
  </si>
  <si>
    <t>This work was supported by the Korea Polar Research Institute project, Republic of Korea (KOPRI; PP 15020), and Chinese Polar Environment Comprehensive Investigation &amp; Assessment Programmes (No. CHINARE 2015-01-05). We thank the captain and crew of the Korean Research Icebreaker, Araon, for their outstanding assistance during the cruise; Dong-Jin Lee, for his great help with sampling, sample processing and data collection. We greatly appreciate the constructive comments by two anonymous reviewers, which dramatically improve the quality of the manuscript.</t>
  </si>
  <si>
    <t>10.1016/j.dsr2.2015.04.015</t>
  </si>
  <si>
    <t>WOS:000370885500008</t>
  </si>
  <si>
    <t>La, HS; Lee, H; Kang, D; Lee, S; Shin, HC</t>
  </si>
  <si>
    <t>La, Hyoung Sul; Lee, Hyungbeen; Kang, Donhyug; Lee, SangHoon; Shin, Hyoung Chul</t>
  </si>
  <si>
    <t>Volume backscattering strength of ice krill (Euphausia crystallorophias) in the Amundsen Sea coastal polynya</t>
  </si>
  <si>
    <t>Euphausia crystallorophias; Ice krill; Antarctic krill; Volume backscattering strength; Acoustic identification; Amundsen Sea; Coastal polynya</t>
  </si>
  <si>
    <t>ANTARCTIC KRILL; DISTRIBUTION PATTERNS; ZOOPLANKTON BIOMASS; TARGET-STRENGTH; EAST ANTARCTICA; AUSTRAL SUMMER; SOUTHERN-OCEAN; WEDDELL SEA; ROSS-SEA; DENSITY</t>
  </si>
  <si>
    <t>Volume backscattering strength (S-v in dB re 1 m(-1)) of ice krill (Euphausia crystallorophias) was observed at two frequencies (38 and 120 kHz) with a calibrated split-beam echosounder system in the Amundsen Sea coastal polynya. The horizontal and vertical scattering layers in the upper 200 m of the water column were known with the existence of predominant ice krill ( &gt; 95%) in this region. Acoustic identification using a two-frequency dB window between S-v at 38 and S-v at 120 kHz separated echoes originating from dominant ice krill from other zooplankton species. The frequency dependence of ice krill at 38 and 120 kHz was examined and the result presented that ice krill might have different acoustic characteristics from other Southern Ocean zooplanlcton species including Euphausia superba. This result could be applied to improve the ability of acoustic identification and precise density estimation of ice krill in the high-latitude coastal waters of Antarctica. (C) 2015 Elsevier Ltd. All rights reserved.</t>
  </si>
  <si>
    <t>[La, Hyoung Sul; Lee, SangHoon; Shin, Hyoung Chul] Korea Polar Res Inst, 26 Songdomirae Ro, Inchon 406840, South Korea; [La, Hyoung Sul] Inha Univ, Dept Ocean Sci, Inchon, South Korea; [Lee, Hyungbeen] Natl Fisheries Res &amp; Dev Inst, Seoul, South Korea; [Kang, Donhyug] Korea Inst Ocean Sci &amp; Technol, Seoul, South Korea</t>
  </si>
  <si>
    <t>Korea Institute of Ocean Science &amp; Technology (KIOST); Korea Polar Research Institute (KOPRI); Inha University; Korea Institute of Ocean Science &amp; Technology (KIOST)</t>
  </si>
  <si>
    <t>Lee, S (corresponding author), Korea Polar Res Inst, 26 Songdomirae Ro, Inchon 406840, South Korea.</t>
  </si>
  <si>
    <t>shlee@kopri.re.kr</t>
  </si>
  <si>
    <t>La, Hyoung Sul/0000-0003-1285-580X</t>
  </si>
  <si>
    <t>Korea Polar Research Institute, South Korea [PP15020]; Korea Institute of Ocean Science Technology [PN65890]</t>
  </si>
  <si>
    <t>Korea Polar Research Institute, South Korea; Korea Institute of Ocean Science Technology</t>
  </si>
  <si>
    <t>The authors acknowledge the support and dedication of the captain and crews of IBRV ARAON for always completing the work with positive energy. We thank our field teams, which worked together under difficult conditions during Amundsen Sea cruise. The authors also thank the referees for their comments and suggestions, which improved several aspects of this paper. This research was supported by the Korea Polar Research Institute, South Korea (PP15020) and Korea Institute of Ocean Science &amp; Technology (PN65890).</t>
  </si>
  <si>
    <t>10.1016/j.dsr2.2015.05.018</t>
  </si>
  <si>
    <t>WOS:000370885500010</t>
  </si>
  <si>
    <t>Choi, SB; Kim, JG; Jung, MY; Kim, SJ; Min, UG; Si, OJ; Park, SJ; Hwang, CY; Park, J; Lee, S; Rhee, SK</t>
  </si>
  <si>
    <t>Choi, Seon-Bin; Kim, Jong-Geol; Jung, Man-Young; Kim, So-Jeong; Min, Ui-Gi; Si, Ok-Ja; Park, Soo-Je; Hwang, Chung Yeon; Park, Jisoo; Lee, SangHoon; Rhee, Sung-Keun</t>
  </si>
  <si>
    <t>Cultivation and biochemical characterization of heterotrophic bacteria associated with phytoplankton bloom in the Amundsen sea polynya, Antarctica</t>
  </si>
  <si>
    <t>Polynya; Phytoplankton bloom; Heterotrophic bacteria; Carbon re-mineralization</t>
  </si>
  <si>
    <t>SP-NOV.; BIZIONIA-ARGENTINENSIS; COMB. NOV; GEN. NOV.; MARINE; ALTEROMONAS; WATER; BACTERIOPLANKTON; RECLASSIFICATION; FLAVOBACTERIA</t>
  </si>
  <si>
    <t>Polynyas are a key ecosystem for carbon cycling in the Antarctic Ocean due to the intensive primary production. Most of the knowledge regarding the bacterioplankton community in the Antarctic Ocean that is responsible for re-mineralization of fixed carbon comes from metagenomic analyses. Here, the extinction-dilution method was used to obtain representative heterotrophs from a polynya in the Amundsen Sea, Antarctica, and their biochemical potential for carbon re-mineralization were assessed. All 23 strains have close relatives belonging to type strains within the following genera (number of strains; % 16S rRNA gene sequence similarity): Bizionia (4; &gt; 97.8%), Leeuwenhoekiella (1; 96.2%), Pseudoalteromonas (14; &gt; 98.5%), Pseudomonas (1; 99.4%) and Sulfitobacter (3; 100%), which were also observed in 454 pyrosequencing-based analysis of 16S rRNA gene sequences of the polynya. Although sequence reads related to Polaribacter were the most common, Polaribacter strains could only be obtained from colonies cultured on agar plates. The strain of Leeuwenhoekiella showed a prominent ability in hydrolyzing diverse esters, amides, and glycosides while the strains of Pseudoalteromonas, Polaribacter, and Bizionia showed extracellular enzyme activities only on a narrow range of amides. The strains of Leeuwenhoekiella, Pseudoalteromonas, and Sulfitobacter utilized various labile carbon sources: carbohydrates, organic acids, amino acids, and peptides. The most freqUent isolates, strains of Pseudoaltermonas, showed marked differences in terms of their potential to utilize different types of labile carbon sources, which may reflect high genomic diversity. The strains of Bizionia and Pseudomonas did not utilize carbohydrates. Unique biochemical properties associated with extracellular hydrolase activities and labile carbon utilization were revealed for dominant culturable heterotrophs which gives insights into their roles in active re-mineralization of fixed carbons in polynya. (C) 2015 Elsevier Ltd. All rights reserved.</t>
  </si>
  <si>
    <t>[Choi, Seon-Bin; Kim, Jong-Geol; Jung, Man-Young; Kim, So-Jeong; Min, Ui-Gi; Si, Ok-Ja; Rhee, Sung-Keun] Chungbuk Natl Univ, Dept Microbiol, 52 Naesudong Ro, Cheongju 361763, South Korea; [Park, Soo-Je] Jeju Natl Univ, Dept Biol, 102 Jejudaehak Ro, Jeju 690756, South Korea; [Hwang, Chung Yeon; Park, Jisoo; Lee, SangHoon] Korea Polar Res Inst, 26 Songdomirae Ro, Inchon 406840, South Korea</t>
  </si>
  <si>
    <t>Chungbuk National University; Jeju National University; Korea Institute of Ocean Science &amp; Technology (KIOST); Korea Polar Research Institute (KOPRI)</t>
  </si>
  <si>
    <t>Rhee, SK (corresponding author), Chungbuk Natl Univ, Dept Microbiol, 52 Naesudong Ro, Cheongju 361763, South Korea.</t>
  </si>
  <si>
    <t>rhees@chungbuk.ac.kr</t>
  </si>
  <si>
    <t>Park, SJ/AAB-1372-2020</t>
  </si>
  <si>
    <t>Min, Uigi/0000-0002-7374-6829</t>
  </si>
  <si>
    <t>Korea Polar Research Institute [PP10040]; Ministry of Land, Transportation and Maritime Affairs; Basic Science Research Program from the National Research Foundation of Korea [2012R1A1A2A10039384]; Ministry of Education, Science and Technology, Republic of Korea</t>
  </si>
  <si>
    <t>Korea Polar Research Institute(Korea Polar Research Institute of Marine Research Placement (KOPRI)); Ministry of Land, Transportation and Maritime Affairs(Ministry of Land, Transport and Maritime Affairs (MLTM), Republic of Korea); Basic Science Research Program from the National Research Foundation of Korea(National Research Foundation of Korea); Ministry of Education, Science and Technology, Republic of Korea(Ministry of Education, Science &amp; Technology (MEST), Republic of Korea)</t>
  </si>
  <si>
    <t>This work was supported by the Korea Polar Research Institute (PP10040), Ministry of Land, Transportation and Maritime Affairs, and a Basic Science Research Program (2012R1A1A2A10039384) from the National Research Foundation of Korea, funded by the Ministry of Education, Science and Technology, Republic of Korea. We thank the crew of Araon (2013/2014) for assistance with sample collection.</t>
  </si>
  <si>
    <t>10.1016/j.dsr2.2015.04.027</t>
  </si>
  <si>
    <t>WOS:000370885500014</t>
  </si>
  <si>
    <t>Rodríguez-Rojas, F; Díaz-Vásquez, W; Undabarrena, A; Muñoz-Díaz, P; Arenas, F; Vásquez, C</t>
  </si>
  <si>
    <t>Rodriguez-Rojas, F.; Diaz-Vasquez, W.; Undabarrena, A.; Munoz-Diaz, P.; Arenas, F.; Vasquez, C.</t>
  </si>
  <si>
    <t>Mercury-mediated cross-resistance to tellurite in Pseudomonas spp. isolated from the Chilean Antarctic territory</t>
  </si>
  <si>
    <t>METALLOMICS</t>
  </si>
  <si>
    <t>HEAVY-METALS; SP-NOV.; NITROSOMONAS-EUROPAEA; GENES; BACTERIA; TRANSPOSON; EXPRESSION; SEDIMENTS; TOXICITY; CADMIUM</t>
  </si>
  <si>
    <t>Mercury salts and tellurite are among the most toxic compounds for microorganisms on Earth. Bacterial mercury resistance is established mainly via mercury reduction by the mer operon system. However, specific mechanisms underlying tellurite resistance are unknown to date. To identify new mechanisms for tellurite detoxification we demonstrate that mercury resistance mechanisms can trigger cross-protection against tellurite to a group of Pseudomonads isolated from the Chilean Antarctic territory. Sequencing of 16S rRNA of four isolated strains resulted in the identification of three Pseudomonads (ATH-5, ATH-41 and ATH-43) and a Psychrobacter (ATH-62) bacteria species. Phylogenetic analysis showed that ATH strains were related to other species previously isolated from cold aquatic and soil environments. Furthermore, the identified merA genes were related to merA sequences belonging to transposons commonly found in isolated bacteria from mercury contaminated sites. Pseudomonas ATH isolates exhibited increased tellurite resistance only in the presence of mercury, especially ATH-43. Determination of the growth curves, minimal inhibitory concentrations and growth inhibition zones showed different tellurite cross-resistance of the ATH strains and suggested a correlation with the presence of a mer operon. On the other hand, reactive oxygen species levels decreased while the thiol content increased when the isolates were grown in the presence of both toxicants. Finally, qPCR determinations of merA, merC and rpoS transcripts from ATH-43 showed a synergic expression pattern upon combined tellurite and mercury treatments. Altogether, the results suggest that mercury could trigger a cell response that confers mercury and tellurite resistance, and that the underlying mechanism participates in protection against oxidative damage.</t>
  </si>
  <si>
    <t>[Rodriguez-Rojas, F.; Diaz-Vasquez, W.; Munoz-Diaz, P.; Arenas, F.; Vasquez, C.] Univ Santiago Chile, Fac Quim &amp; Biol, Lab Microbiol Mol, Alameda 3363, Santiago, Chile; [Diaz-Vasquez, W.] Univ San Sebastian, Fac Ciencias Salud, Lota 2465, Santiago, Chile; [Undabarrena, A.] Univ Tecn Federico Santa Maria, Fac Quim, Lab Microbiol Mol &amp; Biotecnol Ambiental, Av Espana 1680, Valparaiso, Chile; [Undabarrena, A.] Univ Tecn Federico Santa Maria, Ctr Biotecnol Daniel Alkalay Lowitt, Av Espana 1680, Valparaiso, Chile</t>
  </si>
  <si>
    <t>Universidad de Santiago de Chile; Universidad San Sebastian; Universidad Tecnica Federico Santa Maria; Universidad Tecnica Federico Santa Maria</t>
  </si>
  <si>
    <t>Vásquez, C (corresponding author), Univ Santiago Chile, Fac Quim &amp; Biol, Lab Microbiol Mol, Alameda 3363, Santiago, Chile.</t>
  </si>
  <si>
    <t>claudio.vasquez@usach.cl</t>
  </si>
  <si>
    <t>Undabarrena, Agustina/0000-0001-9273-0665; Rodriguez Rojas, Fernanda Jimena/0009-0006-1232-5891</t>
  </si>
  <si>
    <t>CONICYT, Chile [21120114, 1130362]</t>
  </si>
  <si>
    <t>CONICYT, Chile(Comision Nacional de Investigacion Cientifica y Tecnologica (CONICYT))</t>
  </si>
  <si>
    <t>This work was funded by the doctoral fellowship Gastos operacionales'' #21120114 and Regular Fondecyt #1130362 granted by CONICYT, Chile, to FRR and CCV, respectively</t>
  </si>
  <si>
    <t>1756-5901</t>
  </si>
  <si>
    <t>1756-591X</t>
  </si>
  <si>
    <t>Metallomics</t>
  </si>
  <si>
    <t>10.1039/c5mt00256g</t>
  </si>
  <si>
    <t>Biochemistry &amp; Molecular Biology</t>
  </si>
  <si>
    <t>DE9PS</t>
  </si>
  <si>
    <t>WOS:000370970800010</t>
  </si>
  <si>
    <t>Biserova, NM; Gordeev, II; Korneva, JV</t>
  </si>
  <si>
    <t>Biserova, Natalia M.; Gordeev, Ilya I.; Korneva, Janetta V.</t>
  </si>
  <si>
    <t>Where are the sensory organs of Nybelinia surmenicola (Trypanorhyncha)? A comparative analysis with Parachristianella sp and other trypanorhynchean cestodes</t>
  </si>
  <si>
    <t>PARASITOLOGY RESEARCH</t>
  </si>
  <si>
    <t>Cestoda; Trypanorhyncha; Fine structure; Receptors; Microtriches; Tegument</t>
  </si>
  <si>
    <t>GRILLOTIA-ERINACEUS CESTODA; FINE-STRUCTURE; SURFACE ULTRASTRUCTURE; NERVOUS-SYSTEM; RECEPTORS; SCOLEX; ENDINGS; PLEROCERCOIDS; MICROTRICHES; PAPILLAE</t>
  </si>
  <si>
    <t>The sensory organs in tegument of two trypanorhynchean species-Nybelinia surmenicola (plerocercoid) and adult Parachristianella sp. (Cestoda, Trypanorhyncha)-were studied with the aim of ultrastructural description and a comparative analysis. The Nybelinia surmenicola plerocercoid lacks papillae with sensory cilia on the bothria adhesive surface. We found an unciliated sensory organ within the median bothria fold. This unciliated free nerve ending contains the central electron-dense disc, three dense supporting rings, and broad root. The nerve ending locates in the basal matrix under the tegument. The tegument of N. surmenicola has a number of ultrastructural features which make it significantly different from other Trypanorhyncha: (i) the tegumental cytoplasm has a plicated constitution in a form of high apical and deep basal folds, (ii) numerous layers of the basal matrix are presented in the subtegument, and (iii) the squamiform and bristlelike microtriches N. surmenicola lack the base and the basal plate. In contrast, numerous ciliated and unciliated receptors were found in Parachristianella sp.: six types on the bothria and one type in the strobila tegument. Ultrastructural constitution of sensory organs in the form of ciliated free nerve endings as well as unciliated basal nerve endings of Parachristianella sp. has many common features inside Eucestoda. In comparison with other Trypanorhyncha, all Nybelinia species studied have less quantity of the bothrial sensory organs. This fact may reflect behavioral patterns of Nybelinia as well as phylogenetic position into Trypanorhyncha. Our observations of living animals conventionally demonstrate the ability of N. surmenicola plerocercoids to locomote in forward direction on the Petri dish surface. The participation of the bothrial microtriches in a parasite movement has been discussed.</t>
  </si>
  <si>
    <t>[Biserova, Natalia M.] Moscow MV Lomonosov State Univ, Fac Biol, Moscow 119991, Russia; [Gordeev, Ilya I.] Russian Fed Res Inst Fisheries &amp; Oceanog, Lab Arctic &amp; Antarctic, Moscow 107140, Russia; [Korneva, Janetta V.] RAS, Dept Ecol Parasitol, ID Papanin Inst Biol Inland Waters, Borok Yaroslavl 152742, Russia</t>
  </si>
  <si>
    <t>Lomonosov Moscow State University; Research lnstitute of Fisheries &amp; Oceanography; Russian Academy of Sciences; Papanin Institute for Biology of Inland Waters</t>
  </si>
  <si>
    <t>Korneva, JV (corresponding author), RAS, Dept Ecol Parasitol, ID Papanin Inst Biol Inland Waters, Borok Yaroslavl 152742, Russia.</t>
  </si>
  <si>
    <t>nbiserova@yandex.ru; gordeev_ilya@bk.ru; janetta@ibiw.yaroslavl.ru</t>
  </si>
  <si>
    <t>Biserova, Natalia M/E-8813-2010; Gordeev, Ilya/F-2972-2017</t>
  </si>
  <si>
    <t>Biserova, Natalia M/0000-0002-5481-0207; Gordeev, Ilya/0000-0002-6650-9120</t>
  </si>
  <si>
    <t>Russian Foundation of Fundamental Researches [14-01-31950, 5-04-03785, 15-04-0264515]; Program of Leading Scientific Schools [1801.2014.4]; Russian Scientific Fund [14-50-00029]</t>
  </si>
  <si>
    <t>Russian Foundation of Fundamental Researches(Russian Foundation for Basic Research (RFBR)); Program of Leading Scientific Schools(Leading Scientific Schools Program); Russian Scientific Fund(Russian Science Foundation (RSF))</t>
  </si>
  <si>
    <t>This work was supported by the Russian Foundation of Fundamental Researches (I. I. G. grant. 14-01-31950; J. V. K. grant. 5-04-03785; N. M. B. grant 15-04-0264515) and the Program of Leading Scientific Schools (1801.2014.4). Electron microscopy investigations were supported by the Russian Scientific Fund (14-50-00029). We are grateful to S. Metelev (Laboratory of Electron Microscopy, I. D. Papanin Institute for Biology of Inland Waters) and A. Bogdanov (Laboratory of Electron Microscopy, Moscow State University) for the technical assistance. We thank Prof. Dr. H.-J. Pfluger (Freie Universitat Berlin, Institut fur Biologie - Neurobiologie, Berlin, Germany) for consultations and remarks.</t>
  </si>
  <si>
    <t>0932-0113</t>
  </si>
  <si>
    <t>1432-1955</t>
  </si>
  <si>
    <t>PARASITOL RES</t>
  </si>
  <si>
    <t>Parasitol. Res.</t>
  </si>
  <si>
    <t>10.1007/s00436-015-4728-0</t>
  </si>
  <si>
    <t>Parasitology</t>
  </si>
  <si>
    <t>DE8EM</t>
  </si>
  <si>
    <t>WOS:000370868600013</t>
  </si>
  <si>
    <t>de la Barre, S; Maher, P; Dawson, J; Hillmer-Pegram, K; Huijbens, E; Lamers, M; Liggett, D; Müller, D; Pashkevich, A; Stewart, E</t>
  </si>
  <si>
    <t>de la Barre, Suzanne; Maher, Patrick; Dawson, Jackie; Hillmer-Pegram, Kevin; Huijbens, Edward; Lamers, Machiel; Liggett, Daniela; Muller, Dieter; Pashkevich, Albina; Stewart, Emma</t>
  </si>
  <si>
    <t>Tourism and Arctic Observation Systems: exploring the relationships</t>
  </si>
  <si>
    <t>Arctic; Antarctic; citizen science; observation systems; tourism; IPTRN</t>
  </si>
  <si>
    <t>The Arctic is affected by global environmental change and also by diverse interests from many economic sectors and industries. Over the last decade, various actors have attempted to explore the options for setting up integrated and comprehensive trans-boundary systems for monitoring and observing these impacts. These Arctic Observation Systems (AOS) contribute to the planning, implementation, monitoring and evaluation of environmental change and responsible social and economic development in the Arctic. The aim of this article is to identify the two-way relationship between AOS and tourism. On the one hand, tourism activities account for diverse changes across a broad spectrum of impact fields. On the other hand, due to its multiple and diverse agents and far-reaching activities, tourism is also well-positioned to collect observational data and participate as an actor in monitoring activities. To accomplish our goals, we provide an inventory of tourism-embedded issues and concerns of interest to AOS from a range of destinations in the circumpolar Arctic region, including Alaska, Arctic Canada, Iceland, Svalbard, the mainland European Arctic and Russia. The article also draws comparisons with the situation in Antarctica. On the basis of a collective analysis provided by members of the International Polar Tourism Research Network from across the polar regions, we conclude that the potential role for tourism in the development and implementation of AOS is significant and has been overlooked.</t>
  </si>
  <si>
    <t>[de la Barre, Suzanne] Vancouver Isl Univ, Dept Recreat &amp; Tourism, 900 Fifth St, Nanaimo, BC V9R 5S5, Canada; [Maher, Patrick] Cape Breton Univ, Dept Community Studies, 1250 Grand Lake Rd, Sydney, NS B1P 6L2, Canada; [Dawson, Jackie] Univ Ottawa, Inst Sci Soc &amp; Policy, Dept Geog, 60 Univ, Ottawa, ON K1N 6N5, Canada; [Hillmer-Pegram, Kevin] Univ Alaska Fairbanks, Dept Geosci, 900 Yukon Dr, Fairbanks, AK 99775 USA; [Huijbens, Edward] Univ Akureyri, Iceland Tourism Res Ctr, IS-600 Borgum V Nordurslod, Akureyri, Iceland; [Lamers, Machiel] Wageningen Univ, Dept Social Sci, Environm Policy Grp, Hollandseweg 1, NL-6706 KN Wageningen, Netherlands; [Liggett, Daniela] Univ Canterbury, Gateway Antarctica, Private Bag 4800, Christchurch 8140, New Zealand; [Muller, Dieter] Umea Univ, Dept Geog &amp; Econ Hist, SE-90187 Umea, Sweden; [Muller, Dieter] Umea Univ, Arctic Res Ctr, SE-90187 Umea, Sweden; [Pashkevich, Albina] Dalarna Univ, Sch Technol &amp; Business Studies, Dept Human Geog, SE-79188 Falun, Sweden; [Stewart, Emma] Lincoln Univ, Fac Environm Soc &amp; Design, Dept Tourism Sport &amp; Soc, POB 85084, Christchurch 7647, New Zealand</t>
  </si>
  <si>
    <t>Vancouver Island University; Cape Breton University; University of Ottawa; University of Alaska System; University of Alaska Fairbanks; University of Akureyri; Wageningen University &amp; Research; University of Canterbury; Umea University; Umea University; Dalarna University; Lincoln University - New Zealand</t>
  </si>
  <si>
    <t>de la Barre, S (corresponding author), Vancouver Isl Univ, Dept Recreat &amp; Tourism, 900 Fifth St, Nanaimo, BC V9R 5S5, Canada.</t>
  </si>
  <si>
    <t>suzanne.delabarre@viu.ca</t>
  </si>
  <si>
    <t>Huijbens, Edward H./IST-2724-2023; Pashkevich, Albina/AAS-3167-2020; Maher, Patrick/AAU-4377-2020; Stewart, Emma/P-7189-2018</t>
  </si>
  <si>
    <t>Huijbens, Edward H./0000-0003-1939-1286; Stewart, Emma/0000-0002-1573-9444; Maher, Patrick Timothy/0000-0001-5059-1062; Liggett, Daniela/0000-0003-4184-5205; Muller, Dieter/0000-0003-2822-5503</t>
  </si>
  <si>
    <t>Swedish Foundation for Strategic Environmental Research</t>
  </si>
  <si>
    <t>Swedish Foundation for Strategic Environmental Research(Swedish Foundation for Strategic Research)</t>
  </si>
  <si>
    <t>This article was a collaborative effort of the steering committee of the IPTRN (www.iptrn.rmf.is/) and other select IPTRN members. SDLB and PM coordinated and synthesized author contributions, and developed the general and analytical sections of the article, with input from other authors. Other authors provided specific expertise in a given geographical area and are listed alphabetically: JD (Arctic Canada); KHP (Alaska); EH (Iceland); ML (Svalbard); DL (Antarctica); DM (mainland European Arctic); AP (Russia); and ES (Arctic Canada and Svalbard). The authors wish to thank Keskitalo and coauthors for their White Paper presented at the 2013 AOS Summit (Vancouver, 30 April-2 May), which emerged from research funded by the Swedish Foundation for Strategic Environmental Research.</t>
  </si>
  <si>
    <t>10.3402/polar.v35.24980</t>
  </si>
  <si>
    <t>DF0JH</t>
  </si>
  <si>
    <t>WOS:000371024600001</t>
  </si>
  <si>
    <t>Shang, YL; Li, SJ; Wang, SJ; Li, XY; Li, Y</t>
  </si>
  <si>
    <t>Shang YingLi; Li ShiJie; Wang ShiJie; Li XiongYao; Li Yang</t>
  </si>
  <si>
    <t>The reclassification of weathering degree of Antarctic ordinary chondrites</t>
  </si>
  <si>
    <t>ACTA PETROLOGICA SINICA</t>
  </si>
  <si>
    <t>Chinese</t>
  </si>
  <si>
    <t>Ordinary chondrite; Weathering degree; Weathering; Alteration; Antarctica</t>
  </si>
  <si>
    <t>METEORITES; PHYLLOSILICATES; CLASSIFICATION</t>
  </si>
  <si>
    <t>There is a contradiction when categorizing some ordinary chondrites (OCs) from Grove Mountains (GRV), Antarctica, according to Wlotzka' s criteria. That is only a minor of metal and troilite (less than 20%) were replaced by oxide while silicates being partly weathered, especially along cracks. The weathering degree of these OCs are all W1 if categorized by the oxidation of metal and troilite; however, they should be W5 by the weathering degree of silicates. Therefore, we propose new criteria to categorize the weathering degree of these OCs, in which the weathering degree of metal and silicates are categorized into 5 and 4 progressive stages (they are W(m)0, W(m)1, W(m)2, W(m)3 and W(m)4 for metal and W(s)0, W(s)1, W(s)2 and W(s)3 for silicates), respectively. Consequently, meteorites GRV 021588, GRV 021636, GRV 021772 and GRV 021957 which can' t fit Wlotzka' s criteria are all W(m)1-W(s)1. Furthermore, GRV 023312 is W(m)3-W(s)0 type, which is the same with W3 in Wlotzka' s criteria.</t>
  </si>
  <si>
    <t>[Shang YingLi; Li ShiJie; Li XiongYao; Li Yang] Chinese Acad Sci, Inst Geochem, Lunar &amp; Planetary Sci Res Ctr, Guiyang 550002, Peoples R China; [Shang YingLi] Univ Chinese Acad Sci, Beijing 100049, Peoples R China; [Wang ShiJie] Chinese Acad Sci, Inst Geochem, State Key Lab Environm Geochem, Guiyang 550002, Peoples R China</t>
  </si>
  <si>
    <t>Chinese Academy of Sciences; Institute of Geochemistry, CAS; Chinese Academy of Sciences; University of Chinese Academy of Sciences, CAS; Chinese Academy of Sciences; Institute of Geochemistry, CAS</t>
  </si>
  <si>
    <t>Li, SJ (corresponding author), Chinese Acad Sci, Inst Geochem, Lunar &amp; Planetary Sci Res Ctr, Guiyang 550002, Peoples R China.</t>
  </si>
  <si>
    <t>yingli@foxmail.com; ldlshijie@126.com</t>
  </si>
  <si>
    <t>Liu, Yongsheng/D-4440-2011</t>
  </si>
  <si>
    <t>Liu, Yongsheng/0000-0002-9340-9205</t>
  </si>
  <si>
    <t>SCIENCE PRESS</t>
  </si>
  <si>
    <t>BEIJING</t>
  </si>
  <si>
    <t>16 DONGHUANGCHENGGEN NORTH ST, BEIJING 100717, PEOPLES R CHINA</t>
  </si>
  <si>
    <t>1000-0569</t>
  </si>
  <si>
    <t>ACTA PETROL SIN</t>
  </si>
  <si>
    <t>Acta Petrol. Sin.</t>
  </si>
  <si>
    <t>DD9AJ</t>
  </si>
  <si>
    <t>WOS:000370217700008</t>
  </si>
  <si>
    <t>Thomsen, HA; Ostergaard, JB; Heldal, M</t>
  </si>
  <si>
    <t>Thomsen, Helge A.; Ostergaard, Jette B.; Heldal, Mikal</t>
  </si>
  <si>
    <t>Coccolithophores in Polar Waters: Papposphaera sagittifera HET and HOL Revisited</t>
  </si>
  <si>
    <t>ACTA PROTOZOOLOGICA</t>
  </si>
  <si>
    <t>Coccolithophore; Papposphaera; P. sagittifera; Turrisphaera; T. borealis; polar regions; electron microscopy</t>
  </si>
  <si>
    <t>ARCTIC COCCOLITHOPHORIDS; WEST GREENLAND; PRYMNESIOPHYCEAE; NOV</t>
  </si>
  <si>
    <t>The re-examination of the lightly calcified Arctic coccolithophore species, Papposphaera sagittifera, has some inherent challenges due to the research history on this taxon. It is thus obvious in retrospect that the species description based on just a single specimen does not adequately account for the true identity of this taxon. Today we are aware of the existence of at least three species of Papposphaera that have basically the same calyx design while being differentiated based on patterns of central area calcification. In order to remedy this we emend here the description of P. sagittifera and provide an epitype for the species. When realizing that species pairs of Papposphaera and Turrisphaera share a life history, the new combination, P. borealis, was established to accommodate P. sagittifera and T. borealis. However, it turns out that 'sagittifera' is in fact the senior epithet by a few months, which means that the correct name for the species is P. sagittifera with T. borealis added as a synonym. While the P. sagittifera HET and HOL morphological variability across Arctic sites clearly leaves the impression of a single, fairly well defined species, the situation is different with respect to the occurrence of P. sagittifera in Antarctic waters. While there are obvious similarities between P. sagittifera HET across the Polar Regions there are also subtle differences, and most importantly it has been found that the Antarctic P. sagittifera shares a life history with a species of Turrisphaera that is markedly different from T. borealis. While awaiting molecular evidence the Antarctic material is tentatively referred to as P. sagittifera cfr.</t>
  </si>
  <si>
    <t>[Thomsen, Helge A.] Tech Univ Denmark, Natl Inst Aquat Resources DTU Aqua, Jaegersborg Alle 1, DK-2920 Charlottenlund, Denmark; [Ostergaard, Jette B.] Norrebrogade 52a 5th, DK-2200 Copenhagen N, Denmark; [Heldal, Mikal] Univ Bergen, Dept Biol, Bergen, Norway</t>
  </si>
  <si>
    <t>Technical University of Denmark; University of Bergen</t>
  </si>
  <si>
    <t>Thomsen, HA (corresponding author), Tech Univ Denmark, Natl Inst Aquat Resources DTU Aqua, Jaegersborg Alle 1, DK-2920 Charlottenlund, Denmark.</t>
  </si>
  <si>
    <t>hat@aqua.dtu.dk</t>
  </si>
  <si>
    <t>Thomsen, Helge Abildhauge/0000-0002-0748-5755</t>
  </si>
  <si>
    <t>ERC Advanced Grant project MINOS [250254]; NRC project MicroPolar [225956/E10]</t>
  </si>
  <si>
    <t>ERC Advanced Grant project MINOS; NRC project MicroPolar</t>
  </si>
  <si>
    <t>Thanks are due to crew and colleagues on all the different cruises that has yielded material for this work. Arctic Station, Univ. Copenhagen, is acknowledged for providing excellent research facilities on several occasions. The Svalbard SEM work was supported by the ERC Advanced Grant project MINOS (project number 250254) and the NRC project MicroPolar (project number 225956/E10) through M. Heldal, University of Bergen. Special thanks are due to Dr. B.S.C. Leadbeater for excellent support in connection with the search for the original Manton negatives. The Aage V. Jensen Foundation is acknowledged for magnificent housing in Imperia, Italy, when the first drafts of this paper were prepared. Thanks are due to anonymous reviewers for stimulating in particular the authors conceptual framework for describing the P. sagittifera calyx.</t>
  </si>
  <si>
    <t>JAGIELLONIAN UNIV, INST ENVIRONMENTAL SCIENCES</t>
  </si>
  <si>
    <t>KRAKOW</t>
  </si>
  <si>
    <t>GRONOSTAJOWA 7, KRAKOW, 30-387, POLAND</t>
  </si>
  <si>
    <t>0065-1583</t>
  </si>
  <si>
    <t>1689-0027</t>
  </si>
  <si>
    <t>ACTA PROTOZOOL</t>
  </si>
  <si>
    <t>Acta Protozool.</t>
  </si>
  <si>
    <t>10.4467/16890027AP.16.005.4046</t>
  </si>
  <si>
    <t>DE5CO</t>
  </si>
  <si>
    <t>WOS:000370648800005</t>
  </si>
  <si>
    <t>Oliver, ECJ; Thompson, KR</t>
  </si>
  <si>
    <t>Oliver, Eric C. J.; Thompson, Keith R.</t>
  </si>
  <si>
    <t>Predictability of the Madden-Julian Oscillation index: seasonality and dependence on MJO phase</t>
  </si>
  <si>
    <t>CLIMATE DYNAMICS</t>
  </si>
  <si>
    <t>Madden-Julian Oscillation; Statistical model; Predictability; Autoregressive process; Intraseasonal variability</t>
  </si>
  <si>
    <t>60-DAY OSCILLATION; PATTERN-ANALYSIS; FORECAST SKILL; MODEL; PREDICTION; 30-DAY; VARIABILITY</t>
  </si>
  <si>
    <t>We describe here a damped harmonic oscillator model for the Wheeler and Hendon (Mon Weather Rev 132(8):1917-1932, 2004) Madden-Julian Oscillation (MJO) index in order to gain new insights into the predictability of the MJO. Building on a tradition of idealized models, the model for the MJO state consists of a bivariate autoregressive process, equivalent to a finite difference approximation to a dynamical underdamped harmonic oscillator, as represented by a second order ordinary differential equation. The statistical properties of the model, namely the ensemble mean, ensemble variance, and within-ensemble correlation, are used to develop predictability time scales for canonical MJO events. We explore the model under both white noise and coloured noise forcing and the model parameters are estimated using maximum likelihood estimation, as a function of season and initial MJO event amplitude and phase. The model provides a significantly better fit using coloured noise forcing, which is equivalent to using a higher order model, indicating that the MJO index is not a simple order-1 coupled autoregressive process. Using the fitted model we map the predictability times scales for the mean, variance, and correlation as a function of initial MJO position in phase space. It is shown that the predictability time scales, and thus MJO predictability, vary as a function of MJO phase space and season which is a novel result for empirical models of the MJO. The result that MJO predictability varies with MJO state also has relevance for the interpretation of the Maritime Continent prediction barrier.</t>
  </si>
  <si>
    <t>[Oliver, Eric C. J.] Univ Tasmania, Inst Marine &amp; Antarctic Studies, Hobart, Tas, Australia; [Oliver, Eric C. J.; Thompson, Keith R.] Dalhousie Univ, Dept Oceanog, Halifax, NS, Canada; [Oliver, Eric C. J.] Australian Res Council Ctr Excellence Climate Sys, Hobart, Tas, Australia</t>
  </si>
  <si>
    <t>University of Tasmania; Dalhousie University</t>
  </si>
  <si>
    <t>Oliver, ECJ (corresponding author), Univ Tasmania, Inst Marine &amp; Antarctic Studies, Hobart, Tas, Australia.;Oliver, ECJ (corresponding author), Dalhousie Univ, Dept Oceanog, Halifax, NS, Canada.;Oliver, ECJ (corresponding author), Australian Res Council Ctr Excellence Climate Sys, Hobart, Tas, Australia.</t>
  </si>
  <si>
    <t>eric.oliver@utas.edu.au</t>
  </si>
  <si>
    <t>Oliver, Eric/G-5118-2014</t>
  </si>
  <si>
    <t>Oliver, Eric/0000-0002-4006-2826</t>
  </si>
  <si>
    <t>0930-7575</t>
  </si>
  <si>
    <t>1432-0894</t>
  </si>
  <si>
    <t>CLIM DYNAM</t>
  </si>
  <si>
    <t>Clim. Dyn.</t>
  </si>
  <si>
    <t>10.1007/s00382-015-2576-3</t>
  </si>
  <si>
    <t>DD6NE</t>
  </si>
  <si>
    <t>WOS:000370040100013</t>
  </si>
  <si>
    <t>Ludescher, J; Bunde, A; Franzke, CLE; Schellnhuber, HJ</t>
  </si>
  <si>
    <t>Ludescher, Josef; Bunde, Armin; Franzke, Christian L. E.; Schellnhuber, Hans Joachim</t>
  </si>
  <si>
    <t>Long-term persistence enhances uncertainty about anthropogenic warming of Antarctica</t>
  </si>
  <si>
    <t>Trend significance; Long-term persistence; Antarctic temperatures</t>
  </si>
  <si>
    <t>RANGE DEPENDENCE; WEST ANTARCTICA; TIME-SERIES; TRENDS; MEMORY; OZONE; DISCHARGE; COLLAPSE; SURFACE; LOSSES</t>
  </si>
  <si>
    <t>Previous estimates of the strength and the uncertainty of the observed Antarctic temperature trends assumed that the natural annual temperature fluctuations can be represented by an auto-regressive process of first order [AR(1)]. Here we find that this hypothesis is inadequate. We consider the longest observational temperature records in Antarctica and show that their variability is better represented by a long-term persistent process that has a propensity of large and enduring natural excursions from the mean. As a consequence, the statistical significance of the recent (presumably anthropogenic) Antarctic warming trend is lower than hitherto reported, while the uncertainty about its magnitude is enhanced. Indeed, all records except for one (Faraday/Vernadsky) fail to show a significant trend. When increasing the signal-to-noise ratio by considering appropriate averages of the local temperature series, we find that the warming trend is still not significant in East Antarctica and the Antarctic Peninsula. In West Antarctica, however, the significance of the trend is above 97.4%, and its magnitude is between 0.08 and 0.96 degrees C per decade. We argue that the persistent temperature fluctuations not only have a larger impact on regional warming uncertainties than previously thought but also may provide a potential mechanism for understanding the transient weakening (hiatus) of the regional and global temperature trends.</t>
  </si>
  <si>
    <t>[Ludescher, Josef; Bunde, Armin] Univ Giessen, Inst Theoret Phys, Giessen, Germany; [Franzke, Christian L. E.] Univ Hamburg, Inst Meteorol, Ctr Earth Syst Res &amp; Sustainabil CEN, Hamburg, Germany; [Schellnhuber, Hans Joachim] Potsdam Inst Climate Impact Res, Potsdam, Germany; [Schellnhuber, Hans Joachim] Santa Fe Inst, Santa Fe, NM 87501 USA</t>
  </si>
  <si>
    <t>Justus Liebig University Giessen; University of Hamburg; Potsdam Institut fur Klimafolgenforschung; The Santa Fe Institute</t>
  </si>
  <si>
    <t>Bunde, A (corresponding author), Univ Giessen, Inst Theoret Phys, Giessen, Germany.</t>
  </si>
  <si>
    <t>arminbunde00@googlemail.com</t>
  </si>
  <si>
    <t>Schellnhuber, Hans Joachim/O-3873-2019; Franzke, Christian/A-6191-2012</t>
  </si>
  <si>
    <t>Schellnhuber, Hans Joachim/0000-0001-7453-4935; Franzke, Christian/0000-0003-4111-1228</t>
  </si>
  <si>
    <t>Deutsche Forschungsgemeinschaft; cluster of excellence Climate System Analysis and Prediction (CliSAP)</t>
  </si>
  <si>
    <t>Deutsche Forschungsgemeinschaft(German Research Foundation (DFG)); cluster of excellence Climate System Analysis and Prediction (CliSAP)</t>
  </si>
  <si>
    <t>We thank the British Antarctic Survey for providing us with the Reference Antarctic Data for Environmental Research (READER) dataset (www.antarctica.ac.uk/met/READER). We thank S. Colwell and Prof. J. Turner for help with the data and discussions. A.B. and C.F. thank the Deutsche Forschungsgemeinschaft for financial support. C.F. acknowledges funding from the cluster of excellence Climate System Analysis and Prediction (CliSAP). After submitting the manuscript we learnt that our DFA2 results for most of the Antarctic stations are consistent with a recently submitted study by Yuan et al. We are grateful to Naiming Yuan for sending us his article prior to publication.</t>
  </si>
  <si>
    <t>ONE NEW YORK PLAZA, SUITE 4600, NEW YORK, NY, UNITED STATES</t>
  </si>
  <si>
    <t>10.1007/s00382-015-2582-5</t>
  </si>
  <si>
    <t>WOS:000370040100019</t>
  </si>
  <si>
    <t>Khisina, NR; Badyukov, DD; Wirth, R</t>
  </si>
  <si>
    <t>Khisina, N. R.; Badyukov, D. D.; Wirth, R.</t>
  </si>
  <si>
    <t>Microtexture, Nanomineralogy, and Local Chemistry of Cryptocrystalline Cosmic Spherules</t>
  </si>
  <si>
    <t>GEOCHEMISTRY INTERNATIONAL</t>
  </si>
  <si>
    <t>cosmic dust; micrometeorites; cosmic spherules; chondrites; microtexture; transmission electron microscopy; melting; liquid immiscibility; nanomineralogy</t>
  </si>
  <si>
    <t>ANTARCTIC ICE; SYSTEM; MICROMETEORITES; OXYGEN; IMMISCIBILITY; COLLECTION; CHONDRULES; PETROLOGY; KINETICS; ORIGIN</t>
  </si>
  <si>
    <t>The paper reports scanning electron microscopy (FEG-SEM) and transmission electron microscopy (TEM) data on three cryptocrystalline (CC) cosmic spherules of chondritic composition (Mg/Si approximate to 1) from two collections taken up at glaciers at the Novaya Zemlya and in the area of the Tunguska event. The spherules show brickwork microtextures formed by minute parallel olivine crystals set in glass of pyroxeneplagioclase composition. The bulk-rock silicate chemistry, microtexture, mineralogy, and the chemical composition of the olivine and the local chemistry of the glass in these spherules testify to a chondritic source of the spherules. The solidification of the spherules in the Earth's atmosphere was proved to be a highly unequilibrated process. A metastable state of the material follows, for example, from the occurrence of numerous nanometer-sized SiO2 globules in the interstitial glass. These globules were formed by liquid immiscibility in kthe pyroxene-SiO2 system. Troilite FeS and schreibersite (Fe, Ni)(3)P globules were found in the FeNi metal in one of the spherules, which suggests that the precursor was not chemically modified when melted in the Earth's atmosphere. Our results allowed us to estimate the mineralogy of the precursor material and correlate the CC spherules with the chondrule material of chondrites. The bulk compositions of the spherules are closely similar to those of type-IIA chondrules.</t>
  </si>
  <si>
    <t>[Khisina, N. R.; Badyukov, D. D.] Russian Acad Sci, Vernadsky Inst Geochem &amp; Analyt Chem, Ul Kosygina 19, Moscow 119991, Russia; [Wirth, R.] Geoforschungszentrum Potsdam, D-14473 Potsdam, Germany</t>
  </si>
  <si>
    <t>Russian Academy of Sciences; Vernadsky Institute of Geochemistry &amp; Analytical Chemistry; Helmholtz Association; Helmholtz-Center Potsdam GFZ German Research Center for Geosciences</t>
  </si>
  <si>
    <t>Khisina, NR (corresponding author), Russian Acad Sci, Vernadsky Inst Geochem &amp; Analyt Chem, Ul Kosygina 19, Moscow 119991, Russia.</t>
  </si>
  <si>
    <t>khisina@geokhi.ru</t>
  </si>
  <si>
    <t>Badyukov, Dmitry/AAN-7296-2020</t>
  </si>
  <si>
    <t>0016-7029</t>
  </si>
  <si>
    <t>1556-1968</t>
  </si>
  <si>
    <t>GEOCHEM INT+</t>
  </si>
  <si>
    <t>Geochem. Int.</t>
  </si>
  <si>
    <t>10.1134/S0016702916010067</t>
  </si>
  <si>
    <t>DE1JL</t>
  </si>
  <si>
    <t>WOS:000370383100005</t>
  </si>
  <si>
    <t>Mckay, R; Golledge, NR; Maas, S; Naish, T; Levy, R; Dunbar, G; Kuhn, G</t>
  </si>
  <si>
    <t>McKay, R.; Golledge, N. R.; Maas, S.; Naish, T.; Levy, R.; Dunbar, G.; Kuhn, G.</t>
  </si>
  <si>
    <t>Antarctic marine ice-sheet retreat in the Ross Sea during the early Holocene</t>
  </si>
  <si>
    <t>GEOLOGY</t>
  </si>
  <si>
    <t>GROUNDING-LINE RETREAT; LAST GLACIAL MAXIMUM; VICTORIA LAND; WEST; SURFACE; SEDIMENTS; HISTORY</t>
  </si>
  <si>
    <t>Geological constraints on the timing of retreat of the Last Glacial Maximum (LGM) Antarctic Ice Sheets provide critical insights into the processes controlling marine-based ice-sheet retreat. The over-deepened, landward-sloping bathymetry of Antarctica's continental shelves is an ideal configuration for marine ice-sheet instability, with the potential for past and future ice-sheet collapse and accelerated sea-level rise. However, the chronology of retreat of the LGM ice sheet in the Ross Sea is largely constrained by imprecise radiocarbon chronology of bulk marine sediments or by coastal records that offer more reliable dating techniques but which may be influenced by local piedmont glaciers derived from East Antarctic outlet glaciers. Consequently, these coastal records may be ambiguous in the broader context of retreat in the central regions of the Ross Sea. Here, we present a sedimentary facies succession and foraminifera-based radiocarbon chronology from within the Ross Sea embayment that indicates glacial retreat and open-marine conditions to the east of Ross Island before 8.6 cal. (calibrated) kyr B.P., at least 1 k.y. earlier than indicated by terrestrial records in McMurdo Sound. Comparing these data to new modeling experiments, we hypothesize that marine-based ice-sheet retreat was triggered by oceanic forcings along most of the Pacific Ocean coastline of Antarctica, but continued Holocene retreat into the inner shelf region of the Ross Sea occurred primarily as a consequence of bathymetric controls on marine ice-sheet instability.</t>
  </si>
  <si>
    <t>[McKay, R.; Golledge, N. R.; Maas, S.; Naish, T.; Dunbar, G.] Victoria Univ Wellington, Antarctic Res Ctr, POB 600, Wellington 6140, New Zealand; [Golledge, N. R.; Levy, R.] GNS Sci, 1 Fairway Dr,POB 30-368, Lower Hutt 5040, New Zealand; [Kuhn, G.] Alfred Wegener Inst, Helmholtz Ctr Polar &amp; Marine Res, Alten Hafen 26, D-27568 Bremerhaven, Germany</t>
  </si>
  <si>
    <t>Victoria University Wellington; GNS Science - New Zealand; Helmholtz Association; Alfred Wegener Institute, Helmholtz Centre for Polar &amp; Marine Research</t>
  </si>
  <si>
    <t>Mckay, R (corresponding author), Victoria Univ Wellington, Antarctic Res Ctr, POB 600, Wellington 6140, New Zealand.</t>
  </si>
  <si>
    <t>Levy, Richard H/E-2477-2011; McKay, Robert/N-2449-2015</t>
  </si>
  <si>
    <t>McKay, Robert/0000-0002-5602-6985; Golledge, Nicholas/0000-0001-7676-8970; Levy, Richard/0000-0002-8783-0167; Naish, Tim/0000-0002-1185-9932</t>
  </si>
  <si>
    <t>Royal Society (New Zealand) Rutherford Discovery Fellowship [RDF-13-VUW-003]; New Zealand Ministry of Business, Innovation, and Employment [C05X1001]; Alfred Wegner Institute (PACES II); U.S. National Science Foundation Division of Polar Programs [PLR-0839108]; United States Antarctic Program; Antarctica New Zealand</t>
  </si>
  <si>
    <t>Royal Society (New Zealand) Rutherford Discovery Fellowship; New Zealand Ministry of Business, Innovation, and Employment(New Zealand Ministry of Business, Innovation and Employment (MBIE)); Alfred Wegner Institute (PACES II); U.S. National Science Foundation Division of Polar Programs(National Science Foundation (NSF)); United States Antarctic Program; Antarctica New Zealand</t>
  </si>
  <si>
    <t>Support was provided by the Royal Society (New Zealand) Rutherford Discovery Fellowship (RDF-13-VUW-003), the New Zealand Ministry of Business, Innovation, and Employment (C05X1001), the Alfred Wegner Institute (PACES II), and the U.S. National Science Foundation Division of Polar Programs (grant PLR-0839108). The field work was supported by the United States Antarctic Program and by Antarctica New Zealand. We thank three anonymous reviewers for their constructive comments that helped improve the paper.</t>
  </si>
  <si>
    <t>GEOLOGICAL SOC AMER, INC</t>
  </si>
  <si>
    <t>BOULDER</t>
  </si>
  <si>
    <t>PO BOX 9140, BOULDER, CO 80301-9140 USA</t>
  </si>
  <si>
    <t>0091-7613</t>
  </si>
  <si>
    <t>1943-2682</t>
  </si>
  <si>
    <t>10.1130/G37315.1</t>
  </si>
  <si>
    <t>DD7AA</t>
  </si>
  <si>
    <t>WOS:000370074800005</t>
  </si>
  <si>
    <t>Barbara, L; Crosta, X; Leventer, A; Schmidt, S; Etourneau, J; Domack, E; Massé, G</t>
  </si>
  <si>
    <t>Barbara, Loic; Crosta, Xavier; Leventer, Amy; Schmidt, Sabine; Etourneau, Johan; Domack, Eugene; Masse, Guillaume</t>
  </si>
  <si>
    <t>Environmental responses of the Northeast Antarctic Peninsula to the Holocene climate variability</t>
  </si>
  <si>
    <t>PALEOCEANOGRAPHY</t>
  </si>
  <si>
    <t>Holocene; Antarctic Peninsula; sea ice; Westerlies; diatoms; HBI</t>
  </si>
  <si>
    <t>SEA-ICE CONDITIONS; WESTERN BRANSFIELD STRAIT; PRINCE GUSTAV CHANNEL; SOUTHERN-OCEAN; WEDDELL SEA; DIATOM ASSEMBLAGES; ATMOSPHERIC CIRCULATION; TEMPERATURE VARIABILITY; CONTINENTAL-SHELF; SURFACE SEDIMENTS</t>
  </si>
  <si>
    <t>In this study, we present a unique high-resolution Holocene record of oceanographic and climatic change based on analyses of diatom assemblages combined with biomarker data from a sediment core collected from the Vega Drift, eastern Antarctic Peninsula (EAP). These data add to the climate framework already established by high-resolution marine sedimentary records from the Palmer Deep, western Antarctic Peninsula (WAP). Heavy sea ice conditions and reduced primary productivity were observed prior to 7.4ka B.P. in relation with the proximity of the glacial ice melt and calving. Subsequent Holocene oceanographic conditions were controlled by the interactions between the Westerlies-Antarctic Circumpolar Current (ACC)-Weddell Gyre dynamics. A warm period characterized by short seasonal sea ice duration associated with a southern shift of both ACC and Westerlies field persisted until 5ka B.P. This warm episode was then followed by climate deterioration during the middle-to-late Holocene (5 to 1.9ka B.P.) with a gradual increase in annual sea ice duration triggered by the expansion of the Weddell Gyre and a strong oceanic connection from the EAP to the WAP. Increase of benthic diatom species during this period was indicative of more summer/autumn storms, which was consistent with changes in synoptic atmospheric circulation and the establishment of low- to high-latitude teleconnections. Finally, the multicentennial scale variability of the Weddell Gyre intensity and storm frequency during the late Holocene appeared to be associated with the increased El Nino-Southern Oscillation frequency.</t>
  </si>
  <si>
    <t>[Barbara, Loic; Crosta, Xavier; Schmidt, Sabine; Etourneau, Johan] Univ Bordeaux, EPOC, Pessac, France; [Barbara, Loic; Etourneau, Johan; Masse, Guillaume] Univ Paris 06, CNRS IRD MNHN, Sorbonne Univ, Paris, France; [Barbara, Loic] Univ Nacl Autonoma Mexico, Inst Geofis, Circuito Invest Cientif S-N,Ciudad Univ, Coyoacan, Mexico; [Leventer, Amy] Colgate Univ, Dept Geol, Hamilton, NY 13346 USA; [Domack, Eugene] Univ S Florida, Coll Marine Sci, St Petersburg, FL 33701 USA; [Masse, Guillaume] CNRS, Dept Biol, UMI TAKUVIK 3376, Quebec City, PQ, Canada; [Masse, Guillaume] Univ Laval, Quebec City, PQ, Canada</t>
  </si>
  <si>
    <t>Universite de Bordeaux; Museum National d'Histoire Naturelle (MNHN); Institut de Recherche pour le Developpement (IRD); Sorbonne Universite; Universidad Nacional Autonoma de Mexico; Colgate University; State University System of Florida; University of South Florida; Laval University</t>
  </si>
  <si>
    <t>Barbara, L (corresponding author), Univ Bordeaux, EPOC, Pessac, France.;Barbara, L (corresponding author), Univ Paris 06, CNRS IRD MNHN, Sorbonne Univ, Paris, France.;Barbara, L (corresponding author), Univ Nacl Autonoma Mexico, Inst Geofis, Circuito Invest Cientif S-N,Ciudad Univ, Coyoacan, Mexico.</t>
  </si>
  <si>
    <t>l.jb.barbara@gmail.com</t>
  </si>
  <si>
    <t>Schmidt, Sabine/G-1193-2013; Barbara, Loic JB/D-2607-2013</t>
  </si>
  <si>
    <t>Schmidt, Sabine/0000-0002-5985-9747; Leventer, Amy/0000-0001-9401-0987; Barbara, Loic/0000-0003-1519-5835</t>
  </si>
  <si>
    <t>NSF Office of Polar Programs; French ANR CLIMICE; ERC ICEPROXY [20441]; European Union's Seventh Framework programme (FP7) [243908]; NSF Office of Polar Programs; French ANR CLIMICE; ERC ICEPROXY [20441]; European Union's Seventh Framework programme (FP7) [243908]</t>
  </si>
  <si>
    <t>NSF Office of Polar Programs(National Science Foundation (NSF)); French ANR CLIMICE(Agence Nationale de la Recherche (ANR)); ERC ICEPROXY(European Research Council (ERC)); European Union's Seventh Framework programme (FP7)(European Union (EU)); NSF Office of Polar Programs(National Science Foundation (NSF)); French ANR CLIMICE(Agence Nationale de la Recherche (ANR)); ERC ICEPROXY(European Research Council (ERC)); European Union's Seventh Framework programme (FP7)(European Union (EU))</t>
  </si>
  <si>
    <t>We thank C. Charles and the two anonymous reviewers for their constructive comments. The sediment cores were collected during cruise NBP0003; we thank the captain and crew, shipboard staff and scientific party, and the staff at the Antarctic Marine Geology Research Facility. This work was supported by the NSF Office of Polar Programs and was supported financially by the French ANR CLIMICE and the ERC ICEPROXY (20441). This work also contributes to the HOLOCLIP project, a joint research project of the ESF PolarCLIMATE program and the European Union's Seventh Framework programme (FP7/2007-2013) under grant agreement 243908, Past4Future, Climate change-Learning from the past climate. This is HOLOCLIP contribution no. 26. This is a Past4Future contribution.</t>
  </si>
  <si>
    <t>0883-8305</t>
  </si>
  <si>
    <t>1944-9186</t>
  </si>
  <si>
    <t>Paleoceanography</t>
  </si>
  <si>
    <t>10.1002/2015PA002785</t>
  </si>
  <si>
    <t>Geosciences, Multidisciplinary; Oceanography; Paleontology</t>
  </si>
  <si>
    <t>Geology; Oceanography; Paleontology</t>
  </si>
  <si>
    <t>DE0YM</t>
  </si>
  <si>
    <t>WOS:000370351800008</t>
  </si>
  <si>
    <t>Drury, AJ; John, CM; Shevenell, AE</t>
  </si>
  <si>
    <t>Drury, Anna Joy; John, Cedric M.; Shevenell, Amelia E.</t>
  </si>
  <si>
    <t>Evaluating climatic response to external radiative forcing during the late Miocene to early Pliocene: New perspectives from eastern equatorial Pacific (IODP U1338) and North Atlantic (ODP 982) locations</t>
  </si>
  <si>
    <t>Earth system response; cryosphere sensitivity; carbon cycle sensitivity; Messinian Salinity Crisis; late Miocene carbon isotope shift; benthic foraminiferal isotopes</t>
  </si>
  <si>
    <t>DEEP-WATER CIRCULATION; STABLE-ISOTOPE STRATIGRAPHY; ATMOSPHERIC CARBON-DIOXIDE; ANTARCTIC ICE-SHEET; SEA-LEVEL; BENTHIC FORAMINIFERA; OCEAN; RECORD; MIDDLE; EVOLUTION</t>
  </si>
  <si>
    <t>Orbital-scale climate variability during the latest Miocene-early Pliocene is poorly understood due to a lack of high-resolution records spanning 8.0-3.5Ma, which resolve all orbital cycles. Assessing this variability improves understanding of how Earth's system sensitivity to insolation evolves and provides insight into the factors driving the Messinian Salinity Crisis (MSC) and the Late Miocene Carbon Isotope Shift (LMCIS). New high-resolution benthic foraminiferal Cibicidoides mundulus O-18 and C-13 records from equatorial Pacific International Ocean Drilling Program Site U1338 are correlated to North Atlantic Ocean Drilling Program Site 982 to obtain a global perspective. Four long-term benthic O-18 variations are identified: the Tortonian-Messinian, Miocene-Pliocene, and Early-Pliocene Oxygen Isotope Lows (8-7, 5.9-4.9, and 4.8-3.5Ma) and the Messinian Oxygen Isotope High (MOH; 7-5.9Ma). Obliquity-paced variability dominates throughout, except during the MOH. Eleven new orbital-scale isotopic stages are identified between 7.4 and 7.1Ma. Cryosphere and carbon cycle sensitivities, estimated from O-18 and C-13 variability, suggest a weak cryosphere-carbon cycle coupling. The MSC termination coincided with moderate cryosphere sensitivity and reduced global ice sheets. The LMCIS coincided with reduced carbon cycle sensitivity, suggesting a driving force independent of insolation changes. The response of the cryosphere and carbon cycle to obliquity forcing is established, defined as Earth System Response (ESR). Observations reveal that two late Miocene-early Pliocene climate states existed. The first is a prevailing dynamic state with moderate ESR and obliquity-driven Antarctic ice variations, associated with reduced global ice volumes. The second is a stable state, which occurred during the MOH, with reduced ESR and lower obliquity-driven variability, associated with expanded global ice volumes.</t>
  </si>
  <si>
    <t>[Drury, Anna Joy; John, Cedric M.] Univ London Imperial Coll Sci Technol &amp; Med, Dept Earth Sci &amp; Engn, London, England; [Drury, Anna Joy] Univ Bremen, MARUM Ctr Marine Environm Sci, D-28359 Bremen, Germany; [Shevenell, Amelia E.] Univ S Florida, Coll Marine Sci, St Petersburg, FL 33701 USA</t>
  </si>
  <si>
    <t>Imperial College London; University of Bremen; State University System of Florida; University of South Florida</t>
  </si>
  <si>
    <t>Drury, AJ (corresponding author), Univ London Imperial Coll Sci Technol &amp; Med, Dept Earth Sci &amp; Engn, London, England.;Drury, AJ (corresponding author), Univ Bremen, MARUM Ctr Marine Environm Sci, D-28359 Bremen, Germany.</t>
  </si>
  <si>
    <t>ajdrury@marum.de</t>
  </si>
  <si>
    <t>Drury, Anna Joy/A-5237-2017; John, Cedric/B-3292-2008; Shevenell, Amelia E/C-2757-2015</t>
  </si>
  <si>
    <t>Drury, Anna Joy/0000-0001-6206-7284; John, Cedric/0000-0001-9711-1548;</t>
  </si>
  <si>
    <t>European Consortium for Ocean Research Drilling (ECORD) research grant</t>
  </si>
  <si>
    <t>Samples were provided by the Integrated Ocean Drilling Program (IODP) and the IODP Gulf Coast Repository (GCR). The R/V JOIDES Resolution Expedition 320/321 science party members are acknowledged for their effort in collecting the material used in this study. S. Davis, D. Ostermann, and S. Robinson are thanked for their help and guidance in the laboratory. D. Hodell is thanked for his suggestions and fruitful discussions about the age model. T. Kluge, T. van de Flierdt, B. Wade, and T. Westerhold are thanked for providing constructive and critical feedback that helped this work. M. Lyle and a second anonymous reviewer are thanked for their invaluable suggestions, which helped improve this manuscript. A.J. Drury was funded by a Janet Watson studentship from Imperial College London, and the isotope work was partially facilitated by a European Consortium for Ocean Research Drilling (ECORD) research grant received by A.J. Drury in 2012. All data are available at Paleoceanography as supporting information and on Pangaea (http://doi.pangaea.de/10.1594/PANGAEA.856679).</t>
  </si>
  <si>
    <t>10.1002/2015PA002881</t>
  </si>
  <si>
    <t>WOS:000370351800010</t>
  </si>
  <si>
    <t>Christian, C</t>
  </si>
  <si>
    <t>Christian, Claire</t>
  </si>
  <si>
    <t>Global Ocean Governance: High Time for High Seas Protection</t>
  </si>
  <si>
    <t>SEA TECHNOLOGY</t>
  </si>
  <si>
    <t>[Christian, Claire] Antarctic &amp; Southern Ocean Coalit, Washington, DC 20036 USA</t>
  </si>
  <si>
    <t>Christian, C (corresponding author), Antarctic &amp; Southern Ocean Coalit, Washington, DC 20036 USA.</t>
  </si>
  <si>
    <t>COMPASS PUBLICATIONS, INC</t>
  </si>
  <si>
    <t>ARLINGTON</t>
  </si>
  <si>
    <t>1501 WILSON BLVD., STE 1001, ARLINGTON, VA 22209-2403 USA</t>
  </si>
  <si>
    <t>0093-3651</t>
  </si>
  <si>
    <t>SEA TECHNOL</t>
  </si>
  <si>
    <t>Sea Technol.</t>
  </si>
  <si>
    <t>DE0JC</t>
  </si>
  <si>
    <t>WOS:000370310200021</t>
  </si>
  <si>
    <t>Yoshizawa, M</t>
  </si>
  <si>
    <t>Keene, AC; Yoshizawa, M; McGaugh, SE</t>
  </si>
  <si>
    <t>Yoshizawa, M.</t>
  </si>
  <si>
    <t>The Evolution of Sensory Adaptation in Astyanax mexicanus</t>
  </si>
  <si>
    <t>BIOLOGY AND EVOLUTION OF THE MEXICAN CAVEFISH</t>
  </si>
  <si>
    <t>BLIND CAVE FISH; LATERAL-LINE RECEPTORS; PINEAL ORGAN; GENETIC ARCHITECTURE; EYE DEGENERATION; BOUNDARY-LAYER; ANTARCTIC FISH; RIVER FISH; SLEEP LOSS; BEHAVIOR</t>
  </si>
  <si>
    <t>[Yoshizawa, M.] Univ Hawaii Manoa, Dept Biol, Honolulu, HI 96822 USA</t>
  </si>
  <si>
    <t>University of Hawaii System; University of Hawaii Manoa</t>
  </si>
  <si>
    <t>Yoshizawa, M (corresponding author), Univ Hawaii Manoa, Dept Biol, Honolulu, HI 96822 USA.</t>
  </si>
  <si>
    <t>Yoshizawa, Masato/AAE-9415-2022; Yoshizawa, Masato/AFD-8467-2022</t>
  </si>
  <si>
    <t>Yoshizawa, Masato/0000-0001-8455-8252; Yoshizawa, Masato/0000-0001-8455-8252</t>
  </si>
  <si>
    <t>ACADEMIC PRESS LTD-ELSEVIER SCIENCE LTD</t>
  </si>
  <si>
    <t>125 LONDON WALL, LONDON EC2Y 5AS, ENGLAND</t>
  </si>
  <si>
    <t>978-0-12-802365-5; 978-0-12-802148-4</t>
  </si>
  <si>
    <t>10.1016/B978-0-12-802148-4.00013-X</t>
  </si>
  <si>
    <t>Evolutionary Biology; Fisheries; Marine &amp; Freshwater Biology</t>
  </si>
  <si>
    <t>BE2PX</t>
  </si>
  <si>
    <t>WOS:000369832800015</t>
  </si>
  <si>
    <t>Pirotta, V; Slip, D; Jonsen, ID; Peddemors, VM; Cato, DH; Ross, G; Harcourt, R</t>
  </si>
  <si>
    <t>Pirotta, Vanessa; Slip, David; Jonsen, Ian D.; Peddemors, Victor M.; Cato, Douglas H.; Ross, Geoffrey; Harcourt, Robert</t>
  </si>
  <si>
    <t>Migrating humpback whales show no detectable response to whale alarms off Sydney, Australia</t>
  </si>
  <si>
    <t>Fisheries; Entanglement; Megaptera novaeangliae; Mortality; Bycatch; Acoustic deterrents</t>
  </si>
  <si>
    <t>MARINE MAMMALS; BALEEN WHALES; BEHAVIOR; BYCATCH; COMMUNICATION; ENTANGLEMENTS; QUEENSLAND; MANAGEMENT; PINGERS; VESSEL</t>
  </si>
  <si>
    <t>Migratory Group V (Stock E1) humpback whales Megaptera novaeangliae are at risk of entanglement with fishing gear as they migrate north and south along the east coast of Australia. This study investigated the effectiveness of 2 distinct tones for use as an alarm to acoustically alert whales to fishing gear presence and therefore reduce the chance of entanglement. We compared how whales responded in terms of changes of surface behaviour and changes in direction of travel in response to 2 acoustic tones and when there was no alarm. These 2 acoustic tones were a 5 kHz tone (5 s emission interval and 400 ms emission duration, similar to but higher frequency than the signal from a Future Oceans F3 (TM) 3 kHz Whale Pinger (R)) and a 2-2.1 kHz swept tone (8 s emission interval and 1.5 s emission duration). A total of 108 tracks (focal follows) were collected using a theodolite at Cape Solander, Sydney, Australia, during the whales' 2013 northern migration. Linear mixed effects models were used to determine the effect of the different acoustic tones on whale direction (heading), and behaviour (dive duration and speed). Whales showed no detectable response to either alarm. Whale direction and surfacing behaviour did not differ whether the alarm was 'on' or 'off'. Although the response may have been different if the alarms were attached to fishing gear, the lack of measurable response suggests that the types of tones used are not likely to be effective in alarms intended to reduce entanglement of northward migrating Australian humpback whales.</t>
  </si>
  <si>
    <t>[Pirotta, Vanessa; Slip, David; Jonsen, Ian D.; Harcourt, Robert] Macquarie Univ, Dept Biol Sci, Sydney, NSW 2109, Australia; [Slip, David] Taronga Conservat Soc Australia, Sydney, NSW 2088, Australia; [Peddemors, Victor M.] Fisheries NSW, NSW Dept Primary Ind, Sydney Inst Marine Sci, Sydney, NSW 2088, Australia; [Cato, Douglas H.] Def Sci &amp; Technol Grp, Eveleigh, NSW 1430, Australia; [Cato, Douglas H.] Univ Sydney, Sch Geosci, Sydney, NSW 2006, Australia; [Ross, Geoffrey] NSW Natl Pk &amp; Wildlife Serv, Sydney, NSW 1481, Australia</t>
  </si>
  <si>
    <t>Macquarie University; Taronga Conservation Society Australia; Sydney Institute of Marine Science; NSW Department of Primary Industries; Defence Science &amp; Technology; University of Sydney</t>
  </si>
  <si>
    <t>Pirotta, V (corresponding author), Macquarie Univ, Dept Biol Sci, Sydney, NSW 2109, Australia.</t>
  </si>
  <si>
    <t>vanessa.pirotta@students.mq.edu.au</t>
  </si>
  <si>
    <t>Peddemors, Victor M/Q-4281-2016; French, Kris/I-8202-2012; Pirotta, Dr Vanessa/I-7046-2018</t>
  </si>
  <si>
    <t>French, Kris/0000-0001-6938-2017; Slip, David/0000-0002-9010-7236; Peddemors, Victor/0000-0002-8743-9782; Jonsen, Ian/0000-0001-5423-6076; Pirotta, Dr Vanessa/0000-0003-0395-1859; Harcourt, Robert/0000-0003-4666-2934</t>
  </si>
  <si>
    <t>Department of Environment, Water, Heritage and the Arts; Australian Marine Mammal Centre; Australian Antarctic Division; Commonwealth Environment Research Facilities (CERF) programme; Taronga Conservation Science Initiative; Macquarie University Masters of Research scholarship</t>
  </si>
  <si>
    <t>This research was conducted under the Macquarie University Animal Ethics Committee Animal Research Authority 2012-016 and the NSW Office of Environment and Heritage Scientific Research permit SL 100953. This research was made possible through funding from the Department of Environment, Water, Heritage and the Arts, the Australian Marine Mammal Centre, Australian Antarctic Division, the Commonwealth Environment Research Facilities (CERF) programme, and the Taronga Conservation Science Initiative. Vanessa Pirotta was supported by a Macquarie University Masters of Research scholarship. We thank Dr. Simon Northridge, Dr. Peter Corkeron and Prof. Douglas Wartzok for reviewing early drafts of the manuscript. We thank Maryrose Gulesserian, Eric Kneist (author of VADAR), Wayne Reynolds, the Cape Solander Whale Migration Study Volunteers and the Kamay Botany Bay National Park Staff for facilitating the field research. Thank you also to Andrew Boomer for construction of the whale alarm, mooring assemblage, deployment, retrieval and hydrophone testing along with Andrew Irvine, Phil McDowall and Andre Steckenreuter. Finally we thank Geoff McPherson for early consultation regarding the use of cetacean mitigation in fishing gear within Australian waters.</t>
  </si>
  <si>
    <t>10.3354/esr00712</t>
  </si>
  <si>
    <t>DD8MV</t>
  </si>
  <si>
    <t>WOS:000370181900002</t>
  </si>
  <si>
    <t>Renaudie, J; Lazarus, DB</t>
  </si>
  <si>
    <t>Renaudie, Johan; Lazarus, David B.</t>
  </si>
  <si>
    <t>New species of Neogene radiolarians from the Southern Ocean - part IV</t>
  </si>
  <si>
    <t>JOURNAL OF MICROPALAEONTOLOGY</t>
  </si>
  <si>
    <t>Radiolaria; Polycystinea; Phaeodarea; Antarctic; Cenozoic; taxonomy</t>
  </si>
  <si>
    <t>BIOSTRATIGRAPHY; CLASSIFICATION; EQUATORIAL; COLLECTIONS; EUKARYOTES; ATLANTIC; ORIGIN; RECORD; CLEVE</t>
  </si>
  <si>
    <t>In this last paper in our planned series, we describe 25 new radiolarian species from the Antarctic Neogene: 6 spumellarians (Lithatractus? floridus, Spongopylidium? aerostatum, Haeckeliella hederacia, Larcopyle faustae, Excentrodiscus planangulus and E. lappaceus) and 19 nassellarians (Anthocyrtidium sp., Artostrobus? oganeae, Botryostrobus exstructus, Ceratospyris clarki, Cornutella burgundiensis, Cystophormis petrushevskayae, Dendrospyris quadripes, Enneaphormis tippula, Euscenarium funakawai, Lophophaena kamikurii, L. rhopalica, Lychnocanium andreae, Periarachnium pauliani, Peridium tortonianicum, Phormacantha garbela, Phormospyris punnulis, Rhodospyris? morleyi, Rhodospyris pulchra and Tholospyris tautessares). We also report the finding of fragments of an unknown Middle Miocene phaeodarian (Conchellium? sp.).</t>
  </si>
  <si>
    <t>[Renaudie, Johan; Lazarus, David B.] Humboldt Univ, Leibniz Inst Evolut &amp; Biodiversitatsforsch, Museum Nat Kunde, Invalidenstr 43, D-10115 Berlin, Germany</t>
  </si>
  <si>
    <t>Humboldt University of Berlin; Leibniz Institut fur Evolutions und Biodiversitatsforschung</t>
  </si>
  <si>
    <t>Renaudie, J (corresponding author), Humboldt Univ, Leibniz Inst Evolut &amp; Biodiversitatsforsch, Museum Nat Kunde, Invalidenstr 43, D-10115 Berlin, Germany.</t>
  </si>
  <si>
    <t>johan.renaudie@mfn-berlin.de</t>
  </si>
  <si>
    <t>Renaudie, Johan/D-9077-2012</t>
  </si>
  <si>
    <t>Renaudie, Johan/0000-0002-9107-1984</t>
  </si>
  <si>
    <t>DFG (German Science Foundation) [LA1191/8-1, LA1191/8-2]</t>
  </si>
  <si>
    <t>DFG (German Science Foundation)(German Research Foundation (DFG))</t>
  </si>
  <si>
    <t>The authors would like to thank Jean-Pierre Caulet and Paulian Dumitrica for their reviews, as well as the scientific editor Taniel Danelian. We would also like to thank the Editor, Alan Lord, and the Production Editor, Sarah Gibbs, for their help during the publication of this series of papers. This work was done in the context of a project financed by DFG (German Science Foundation) grant LA1191/8-1 and -2.</t>
  </si>
  <si>
    <t>0262-821X</t>
  </si>
  <si>
    <t>2041-4978</t>
  </si>
  <si>
    <t>J MICROPALAEONTOL</t>
  </si>
  <si>
    <t>J. Micropalaentol.</t>
  </si>
  <si>
    <t>10.1144/jmpaleo2014-026</t>
  </si>
  <si>
    <t>DD3FB</t>
  </si>
  <si>
    <t>WOS:000369806300004</t>
  </si>
  <si>
    <t>Ceolin, D; Whatley, R; Fauth, G; Concheyro, A</t>
  </si>
  <si>
    <t>Ceolin, Daiane; Whatley, Robin; Fauth, Gerson; Concheyro, Andrea</t>
  </si>
  <si>
    <t>The Nodoconchiinae, a new subfamily of Cytheridae (Crustacea, Ostracoda)</t>
  </si>
  <si>
    <t>Ostracoda; Cytheridae; Nodoconchiinae; evolution; Maastrichtian-Danian; Neuquen Basin</t>
  </si>
  <si>
    <t>SOUTHERN GONDWANA; ARGENTINA; GREKOFF</t>
  </si>
  <si>
    <t>The new subfamily Nodoconchiinae of the Cytheridae Baird is erected to accommodate three genera: Austrocythere Hartmann, 1989a, Nodoconcha Hartmann, 1989a and Ectonodoconcha gen. nov.. Austrocythere seems to be known only from the type species A. reticulotuberculata Hartmann, from its type locality in the Recent Antarctic and from the Antarctic Oligocene. Nodoconcha, however, apart from its original record by Hartmann from the Antarctic as Nodoconcha minuta, has also been encountered in the Oligocene of the Antarctic. In the present study, we have identified seven species of Nodoconcha from the Maastrichtian and Danian of the Neuquen Basin, together with a new genus from the Danian, Ectonodoconcha lepidotus gen. et sp. nov.. The new species of Nodoconcha are N. polytorosa sp. nov., N. sanniosis sp. nov. and N. upsilon sp. nov., and Nodoconcha? sp. that is the possible ancestor of the entire group. Previously described species now placed in the genus are: N. paleocenica (Bertels, 1973), N. jaguelensis (Bertels, 1974) and Nodoconcha sp. (Bertels, 1974). The Nodoconcha species are divided into the Minuta and Upsilon groups.</t>
  </si>
  <si>
    <t>[Ceolin, Daiane; Fauth, Gerson] Univ Vale Rio dos Sinos UNISINOS, Inst Tecnol Micropaleontol itt Fossil, Ave Unisinos 950, BR-93022000 Sao Leopoldo, RS, Brazil; [Whatley, Robin] Aberystwyth Univ, Inst Earth Sci, Micropalaeontol Res Grp, Aberystwyth SY23 3DB, Cardigan, Wales; [Concheyro, Andrea] Univ Buenos Aires, Fac Ciencias Exactas &amp; Nat, Consejo Nacl Invest Cient &amp; Tecn, IDEAN Inst Estudios Andinos Don Pablo Groeber, Pabellon 2,Ciudad Univ, RA-1428 Buenos Aires, DF, Argentina</t>
  </si>
  <si>
    <t>Aberystwyth University; Consejo Nacional de Investigaciones Cientificas y Tecnicas (CONICET); University of Buenos Aires</t>
  </si>
  <si>
    <t>Ceolin, D (corresponding author), Univ Vale Rio dos Sinos UNISINOS, Inst Tecnol Micropaleontol itt Fossil, Ave Unisinos 950, BR-93022000 Sao Leopoldo, RS, Brazil.</t>
  </si>
  <si>
    <t>daianeceolin@yahoo.com.br</t>
  </si>
  <si>
    <t>Fauth, Gerson/AAE-3353-2021</t>
  </si>
  <si>
    <t>Fauth, Gerson/0000-0003-2594-1424</t>
  </si>
  <si>
    <t>Padre Milton Valente Scholarship of the Universidade do Vale do Rio dos Sinos - Unisinos; Conselho Nacional de Desenvolvimento Cientifico e Tecnologico (CAPES) [BEX 2696/14-2]; CNPq (The Brazilian Scientific and Technology Developing Council) [308544/2012-9]; [UBACyT 20020110100170BA]</t>
  </si>
  <si>
    <t>Padre Milton Valente Scholarship of the Universidade do Vale do Rio dos Sinos - Unisinos; Conselho Nacional de Desenvolvimento Cientifico e Tecnologico (CAPES)(Conselho Nacional de Desenvolvimento Cientifico e Tecnologico (CNPQ)Coordenacao de Aperfeicoamento de Pessoal de Nivel Superior (CAPES)); CNPq (The Brazilian Scientific and Technology Developing Council)(Conselho Nacional de Desenvolvimento Cientifico e Tecnologico (CNPQ)Fundacao de Apoio a Pesquisa do Distrito Federal (FAPDF));</t>
  </si>
  <si>
    <t>This study forms part of the doctoral project of the first author, financially supported by a Padre Milton Valente Scholarship of the Universidade do Vale do Rio dos Sinos - Unisinos. The study was partly undertaken at Aberystwyth University during a doctoral internship of the first author supported by Conselho Nacional de Desenvolvimento Cientifico e Tecnologico (CAPES - Proc. BEX 2696/14-2). The authors thanks go to Andrea Caramez from Universidad de Buenos Aires-UBA and Telma Musso from Universidad Nacional del Comahue, Neuquen, Argentina, for their help in the field and for some SEM images; to Charlie Bendal for help in matters concerning Aberystwyth. During the writing of this paper we have been very grateful for valuable advice and information from numerous colleagues, most notably Michael Ayress, Richard Dingle, Caroline Maybury, Eugene Schornikov, Kerry Swanson and Mark Warne. The two referees, David Horne and Moriaki Yasuhara, are thanked for their various suggestions, but the authors remain responsible for the various conclusions arrived at in the paper. Funding for this study has also been partially financed from Grant UBACyT 20020110100170BA. This paper is contribution number R-157 of the Instituto de Estudios Andinos 'Don Pablo Groeber' (IDEAN). Gerson Fauth thanks CNPq (The Brazilian Scientific and Technology Developing Council) for the grant (proc. 308544/2012-9). This paper is dedicated to the memory of Sara Ballent, who was the mentor of this project; may she rest in peace.</t>
  </si>
  <si>
    <t>GEOLOGICAL SOC PUBL HOUSE</t>
  </si>
  <si>
    <t>UNIT 7, BRASSMILL ENTERPRISE CENTRE, BRASSMILL LANE, BATH BA1 3JN, AVON, ENGLAND</t>
  </si>
  <si>
    <t>10.1144/jmpaleo2015-003</t>
  </si>
  <si>
    <t>WOS:000369806300009</t>
  </si>
  <si>
    <t>Diakhaté, M; de Coëtlogon, G; Lazar, A; Wade, M; Gaye, AT</t>
  </si>
  <si>
    <t>Diakhate, Moussa; de Coetlogon, Gaelle; Lazar, Alban; Wade, Malick; Gaye, Amadou T.</t>
  </si>
  <si>
    <t>Intraseasonal variability of tropical Atlantic sea-surface temperature: air-sea interaction over upwelling fronts</t>
  </si>
  <si>
    <t>tropical Atlantic; intraseasonal variability; air-sea interaction</t>
  </si>
  <si>
    <t>EASTERN EQUATORIAL PACIFIC; MADDEN-JULIAN OSCILLATION; LAYER HEAT-BUDGET; BOUNDARY-LAYER; TIME-SCALES; OCEAN; WIND; GULF; SST; RESOLUTION</t>
  </si>
  <si>
    <t>Tropical Atlantic sea-surface temperatures (SSTs) maximum intraseasonal variability (ISV) and their interaction with local surface winds are investigated, applying statistical analysis to observations and to a recent coupled reanalysis over the 2000-2009 decade. Five cores of strong ISV emerge, with standard deviation reaching about 1 degrees C in frontal areas of the three main upwelling systems: equatorial, Angola-Benguela and Senegal-Mauritania (the southern side of the Canary upwelling). West of 10 degrees W along the Equator, a 20-60-day peak caused by tropical instability waves is shown to generate surface wind anomalies through the adjustment of the horizontal surface pressure gradient in addition to the modification of near-surface atmospheric stratification. East of 10 degrees W along the Equator, an intense biweekly oscillation increases the ocean and atmosphere ISV. In the two coastal upwelling fronts, intraseasonal SST anomalies resemble each other. They are shown to be influenced by coastal Kelvin waves in addition to large-scale wind forcing. Over the Angola-Benguela upwelling, coastal wind bursts controlling the SST ISV are associated with anomalously strong pressure patterns related to the Madden-Julian Oscillation, the St Helena anticyclone and the Antarctic Oscillation. In the Senegal-Mauritania upwelling, the wind anomalies mainly linked to the Azores anticyclone in the southern front during November to May appear to be connected to the Saharan heat-low in the northern front from June to September. In all five regions and as expected for such upwelling regimes, vertical oceanic mixing represents the dominant term in the mixed-layer heat budget. In the equatorial band, as found in previous studies, horizontal advection is equally important, while it appears surprisingly weak in coastal fronts. Finally, a striking result is the general lack of surface wind signal related to the SST ISV in the coastal upwellings.</t>
  </si>
  <si>
    <t>[Diakhate, Moussa; Wade, Malick; Gaye, Amadou T.] LPAO SF, BP 5085, Dakar 10700, Senegal; [Diakhate, Moussa; Lazar, Alban] LOCEAN, Paris, France; [de Coetlogon, Gaelle] Lab Atmosphere Milieux &amp; Observat Spatiales LATMO, Paris, France</t>
  </si>
  <si>
    <t>Museum National d'Histoire Naturelle (MNHN); Sorbonne Universite; Sorbonne Universite</t>
  </si>
  <si>
    <t>Diakhaté, M (corresponding author), LPAO SF, BP 5085, Dakar 10700, Senegal.</t>
  </si>
  <si>
    <t>moussa1.diakhate@ucad.edu.sn</t>
  </si>
  <si>
    <t>DIAKHATE, Moussa/ABC-5860-2021; de Coetlogon, Gaelle/HNQ-7451-2023; DIAKHATE, Moussa/JCO-4100-2023; lazar, alban/B-7290-2013</t>
  </si>
  <si>
    <t>lazar, alban/0000-0002-2079-6400; DIAKHATE, Moussa/0000-0001-8350-4906; Wade, Malick/0000-0002-8270-4110</t>
  </si>
  <si>
    <t>PDI-MSC (an IRD (Institut de Recherche pour le Developpement); PDI-MSC (UPMC (Universite Pierre et Marie Curie)); International Joint Laboratory LMI ECLAIRS; EU [603521]</t>
  </si>
  <si>
    <t>PDI-MSC (an IRD (Institut de Recherche pour le Developpement); PDI-MSC (UPMC (Universite Pierre et Marie Curie)); International Joint Laboratory LMI ECLAIRS; EU(European Union (EU))</t>
  </si>
  <si>
    <t>Research leading to these results has been supported by PDI-MSC (an IRD (Institut de Recherche pour le Developpement) and UPMC (Universite Pierre et Marie Curie) joint programme), the International Joint Laboratory LMI ECLAIRS, and the EU FP7/2007-2013 under grant agreement no. 603521. The SSH dataset has been provided by TOPEX/AVISO. Important suggestions have been made by Mathieu Rouault. Thanks also to the two anonymous reviewers and to Alessendra Giannini whose comments have helped to improve this article.</t>
  </si>
  <si>
    <t>A</t>
  </si>
  <si>
    <t>10.1002/qj.2657</t>
  </si>
  <si>
    <t>DD5QE</t>
  </si>
  <si>
    <t>WOS:000369978300030</t>
  </si>
  <si>
    <t>Elster, J; Nedbalová, L; Vodrázka, R; Láska, K; Haloda, J; Komárek, J</t>
  </si>
  <si>
    <t>Elster, J.; Nedbalova, L.; Vodrazka, R.; Laska, K.; Haloda, J.; Komarek, J.</t>
  </si>
  <si>
    <t>Unusual biogenic calcite structures in two shallow lakes, James Ross Island, Antarctica</t>
  </si>
  <si>
    <t>MICROBIAL MATS; DESICCATION; CYANOBACTERIA; DIVERSITY; PENINSULA; HISTORY; ALGAE; STROMATOLITES; PLEISTOCENE; EVOLUTION</t>
  </si>
  <si>
    <t>The floors of two shallow endorheic lakes, located on volcanic surfaces on James Ross Island, are covered with calcareous organosedimentary structures. Their biological and chemical composition, lake water characteristics, and seasonal variability of the thermal regime are introduced. The lakes are frozen down to the bottom for 89 months a year and their water chemistry is characterised by low conductivity and neutral to slightly alkaline pH. The photosynthetic microbial mat is composed of filamentous cyanobacteria and microalgae that are considered to be Antarctic endemic species. The mucilaginous black biofilm is covered by green spots formed by a green microalga and the macroscopic structures are packed together with fine material. Thin sections consist of rock substrate, soft biofilm, calcite spicules and mineral grains originating from different sources. The morphology of the spicules is typical of calcium carbonate monocrystals having a layered structure and specific surface texture, which reflect growth and degradation processes. The spicules' chemical composition and structure correspond to pure calcite. The lakes' age, altitude, morphometry, geomorphological and hydrological stability, including low sedimentation rates, together with thermal regime predispose the existence of this community. We hypothesise that the precipitation of calcite is connected with the photosynthetic activity of the green microalgae that were not recorded in any other lake in the region. This study has shown that the unique community producing biogenic calcite spicules is quite different to any yet described.</t>
  </si>
  <si>
    <t>[Elster, J.; Komarek, J.] Univ South Bohemia, Fac Sci, Ctr Polar Ecol, Zlate Stoce 3, Ceske Budejovice 37005, Czech Republic; [Elster, J.; Nedbalova, L.; Komarek, J.] Acad Sci Czech Republ, Inst Bot, Dukelska 135, CS-37982 Trebon, Czech Republic; [Nedbalova, L.] Charles Univ Prague, Fac Sci, Dept Ecol, Albertov 6, Prague 12843, Czech Republic; [Vodrazka, R.; Haloda, J.] Czech Geol Survey, Klarov 3, Prague 11821, Czech Republic; [Laska, K.] Masaryk Univ, Fac Sci, Dept Geog, Kotlarska 2, CS-61137 Brno, Czech Republic</t>
  </si>
  <si>
    <t>University of South Bohemia Ceske Budejovice; Czech Academy of Sciences; Institute of Botany of the Czech Academy of Sciences; Charles University Prague; Czech Geological Survey; Masaryk University Brno</t>
  </si>
  <si>
    <t>Elster, J (corresponding author), Univ South Bohemia, Fac Sci, Ctr Polar Ecol, Zlate Stoce 3, Ceske Budejovice 37005, Czech Republic.;Elster, J (corresponding author), Acad Sci Czech Republ, Inst Bot, Dukelska 135, CS-37982 Trebon, Czech Republic.</t>
  </si>
  <si>
    <t>jelster@prf.jcu.cz</t>
  </si>
  <si>
    <t>Vodrazka, Radek/I-8801-2014; Laska, Kamil/L-7875-2013; Komarek, Jiri/H-1597-2014; Nedbalová, Linda/AAF-1001-2022; Elster, Josef/B-1031-2008; Nedbalová, Linda/AFF-8321-2022</t>
  </si>
  <si>
    <t>Laska, Kamil/0000-0002-5199-9737; Nedbalová, Linda/0000-0003-1800-714X; Nedbalová, Linda/0000-0003-1800-714X; Elster, Josef/0000-0002-4535-5636</t>
  </si>
  <si>
    <t>Ministry of Education, Youth and Sports of the Czech Republic [CzechPolar LM2010009, KONTAKT ME 945, RVO67985939]; Ministry of Environment of the Czech Republic [SPII 1a9/23/07]; Masaryk University [MUNI/A/1370/2014]; [GACR GP14-31662P]</t>
  </si>
  <si>
    <t>Ministry of Education, Youth and Sports of the Czech Republic(Ministry of Education, Youth &amp; Sports - Czech Republic); Ministry of Environment of the Czech Republic; Masaryk University;</t>
  </si>
  <si>
    <t>This study was conducted during two Czech Antarctic research expeditions of the authors (J. Elster., L. Nedbalova, R. Vodrazka, K. Laska, J. Komarek) to the J. G. Mendel station in 2008 and 2009 (headed by Milos Bartak). We are indebted particularly to the staff and scientific infrastructure of the station. The study was supported by the Ministry of Education, Youth and Sports of the Czech Republic (CzechPolar LM2010009, KONTAKT ME 945 and RVO67985939). R. Vodrazka has been funded through a Research and Development Project of the Ministry of Environment of the Czech Republic No. SPII 1a9/23/07 and project GACR GP14-31662P. K. Laska was supported by a project of Masaryk University MUNI/A/1370/2014 Global environmental changes in time and space. The authors gratefully acknowledge the comments received from Kevin Lepot and two anonymous reviewers. The technical work in laboratories was performed by Jana Snokhousova and Dana Svehlova.</t>
  </si>
  <si>
    <t>10.5194/bg-13-535-2016</t>
  </si>
  <si>
    <t>DC9ES</t>
  </si>
  <si>
    <t>WOS:000369524500014</t>
  </si>
  <si>
    <t>Hauquier, F; Ballesteros-Redondo, L; Gutt, J; Vanreusel, A</t>
  </si>
  <si>
    <t>Hauquier, Freija; Ballesteros-Redondo, Laura; Gutt, Julian; Vanreusel, Ann</t>
  </si>
  <si>
    <t>Community dynamics of nematodes after Larsen ice-shelf collapse in the eastern Antarctic Peninsula</t>
  </si>
  <si>
    <t>ECOLOGY AND EVOLUTION</t>
  </si>
  <si>
    <t>Biodiversity; colonization; community dynamics; Halomonhystera; ice-shelf collapse; Larsen B; marine free-living Nematoda; Microlaimus</t>
  </si>
  <si>
    <t>GENETIC-STRUCTURE; CLIMATE-CHANGE; B EMBAYMENTS; WEDDELL SEA; MEIOFAUNA; SCALE; DISINTEGRATION; PRODUCTIVITY; BIODIVERSITY; ASSEMBLAGES</t>
  </si>
  <si>
    <t>Free-living marine nematode communities of the Larsen B embayment at the eastern Antarctic Peninsula were investigated to provide insights on their response and colonization rate after large-scale ice-shelf collapse. This study compares published data on the post-collapse situation from 2007 with new material from 2011, focusing on two locations in the embayment that showed highly divergent communities in 2007 and that are characterized by a difference in timing of ice-shelf breakup. Data from 2007 exposed a more diverse community at outer station B. South, dominated by the genus Microlaimus. On the contrary, station B. West in the inner part of Larsen B was poor in both numbers of individuals and genera, with dominance of a single Halomonhystera species. Re-assessment of the situation in 2011 showed that communities at both stations diverged even more, due to a drastic increase in Halomonhystera at B. West compared to relatively little change at B. South. On a broader geographical scale, it seems that B. South gradually starts resembling other Antarctic shelf communities, although the absence of the genus Sabatieria and the high abundance of Microlaimus still set it apart nine years after the main Larsen B collapse. In contrast, thriving of Halomonhystera at B. West further separates its community from other Antarctic shelf areas.</t>
  </si>
  <si>
    <t>[Hauquier, Freija; Ballesteros-Redondo, Laura; Vanreusel, Ann] Univ Ghent, Marine Biol Res Grp, Krijgslaan 281, B-9000 Ghent, Belgium; [Gutt, Julian] Helmholtz Ctr Polar &amp; Marine Res, Alfred Wegener Inst, Handelshafen 12, D-27570 Bremerhaven, Germany</t>
  </si>
  <si>
    <t>Ghent University; Helmholtz Association; Alfred Wegener Institute, Helmholtz Centre for Polar &amp; Marine Research</t>
  </si>
  <si>
    <t>Hauquier, F (corresponding author), Marine Biol Res Grp, Krijgslaan 281, B-9000 Ghent, Belgium.</t>
  </si>
  <si>
    <t>freija.hauquier@ugent.be</t>
  </si>
  <si>
    <t>Hauquier, Freija/0000-0002-6606-2162; Gutt, Julian/0000-0003-3773-9370</t>
  </si>
  <si>
    <t>Fonds Wetenschappelijk Onderzoek [FWO11/ASP/256]; Belgian Science Policy (BELSPO/BRAIN) [BR/132/A1/vERSO]</t>
  </si>
  <si>
    <t>Fonds Wetenschappelijk Onderzoek(FWO); Belgian Science Policy (BELSPO/BRAIN)</t>
  </si>
  <si>
    <t>Fonds Wetenschappelijk Onderzoek, (Grant/Award Number: 'FWO11/ASP/256') Belgian Science Policy (BELSPO/BRAIN), (Grant/Award Number: 'BR/132/A1/vERSO').</t>
  </si>
  <si>
    <t>2045-7758</t>
  </si>
  <si>
    <t>ECOL EVOL</t>
  </si>
  <si>
    <t>Ecol. Evol.</t>
  </si>
  <si>
    <t>10.1002/ece3.1869</t>
  </si>
  <si>
    <t>Ecology; Evolutionary Biology</t>
  </si>
  <si>
    <t>Environmental Sciences &amp; Ecology; Evolutionary Biology</t>
  </si>
  <si>
    <t>DC4BF</t>
  </si>
  <si>
    <t>WOS:000369164000025</t>
  </si>
  <si>
    <t>Mendo, T; Semmens, JM; Lyle, JM; Tracey, SR; Moltschaniwskyj, N</t>
  </si>
  <si>
    <t>Mendo, T.; Semmens, J. M.; Lyle, J. M.; Tracey, S. R.; Moltschaniwskyj, N.</t>
  </si>
  <si>
    <t>Reproductive strategies and energy sources fuelling reproductive growth in a protracted spawner</t>
  </si>
  <si>
    <t>MARINE BIOLOGY</t>
  </si>
  <si>
    <t>PECTEN-MAXIMUS L; SCALLOP PLACOPECTEN-MAGELLANICUS; ISLANDICA MULLER 1776; BIOCHEMICAL-COMPOSITION; ARGOPECTEN-IRRADIANS; SEASONAL-VARIATIONS; CHLAMYS-ISLANDICA; NW SPAIN; SUSPENDED CULTURE; AROUSA GALICIA</t>
  </si>
  <si>
    <t>Most marine invertebrates experience variable environments and for broadcast spawners, fertilisation success increases with greater synchronisation of spawning, so a capital breeding strategy is predicted. However, this prediction should be tested for species with protracted breeding seasons, since it is not clear how reproduction is fuelled over several consecutive months of spawning. The simultaneous hermaphrodite scallop Pecten fumatus was used to test the hypothesis that protracted spawning is supported by both capital and income strategies, depending on the state of energy reserves and food availability at the time of oocyte maturation. The study was carried out in Great Bay, Tasmania, Australia (147.335W, 43.220S) in 2010/2011. The use of glycogen, protein and lipid in the muscle, gonad, and digestive gland was examined, along with the role of atretic eggs as an alternative energy source for oogenesis and maturation. The reproductive stage of an individual was determined using only the ovaries. P. fumatus uses a capital breeding strategy early in the reproductive cycle during winter and spring (August-October) with muscle glycogen and protein and digestive gland lipid providing energy for oogenesis. Given there was no evidence of energy stores being used later in the reproductive cycle in late spring and summer (November-March), when less food was available for direct fuelling of reproduction, it appears that metabolites produced from oocyte lysis may have fuelled oogenesis. Recycling of energy from oocyte resorption must be considered as part of the strategy of energy use to fuel reproduction in marine invertebrates.</t>
  </si>
  <si>
    <t>[Mendo, T.; Semmens, J. M.; Lyle, J. M.; Tracey, S. R.] Univ Tasmania, Fisheries &amp; Aquaculture Ctr, Inst Marine &amp; Antarctic Studies, Private Bag 49, Hobart, Tas 7001, Australia; [Moltschaniwskyj, N.] Univ Newcastle, Sch Environm &amp; Life Sci, POB 127, Ourimbah, NSW 2260, Australia</t>
  </si>
  <si>
    <t>University of Tasmania; University of Newcastle</t>
  </si>
  <si>
    <t>Mendo, T (corresponding author), Univ Tasmania, Fisheries &amp; Aquaculture Ctr, Inst Marine &amp; Antarctic Studies, Private Bag 49, Hobart, Tas 7001, Australia.</t>
  </si>
  <si>
    <t>taniamendow@yahoo.com</t>
  </si>
  <si>
    <t>Mendo, Tania/AAH-7734-2020; Moltschaniwskyj, Natalie/AAB-7236-2019; Lyle, Jeremy/J-7170-2014; Tracey, Sean/J-7446-2014</t>
  </si>
  <si>
    <t>Mendo, Tania/0000-0003-4397-2064; Semmens, Jayson/0000-0003-1742-6692; Lyle, Jeremy/0000-0001-9670-5854; Tracey, Sean/0000-0002-6735-5899; Moltschaniwskyj, Natalie/0000-0001-9709-9876</t>
  </si>
  <si>
    <t>Australian Government's Fisheries Research Development Corporation [2008/022]; Tasmanian Department of Primary Industries, Parks, Water and Environment, Fishwise Community Grant; Endeavour International Postgraduate Research Scholarship (EIPRS)</t>
  </si>
  <si>
    <t>Australian Government's Fisheries Research Development Corporation(Fisheries R&amp;D Corp); Tasmanian Department of Primary Industries, Parks, Water and Environment, Fishwise Community Grant; Endeavour International Postgraduate Research Scholarship (EIPRS)(Australian Government)</t>
  </si>
  <si>
    <t>The study was conducted under the Authority of the Department of Primary Industries, Parks, Water and Environment (DPIPWE) permit No. 10028. We thank Julian Harrington, Amelia Fowles, Luis Henriquez, and Jaime McAllister for helping with the collection of samples in the field. Help with laboratory analyses was provided by Cedric Simon, Bryan Choa, Baseer Codabaccus, Daniela Farias, and Mana Inoue. We would like to thank two anonymous reviewers for their valuable comments and suggestions to improve the manuscript. This study was supported by funding to JMS by the Australian Government's Fisheries Research Development Corporation (Project No. 2008/022); JMS and TM by the Tasmanian Department of Primary Industries, Parks, Water and Environment, Fishwise Community Grant; and TM by an Endeavour International Postgraduate Research Scholarship (EIPRS). We also wish to thank Nick Jones and Lara Marcus for comments and valuable suggestions on early drafts of the manuscript.</t>
  </si>
  <si>
    <t>SPRINGER HEIDELBERG</t>
  </si>
  <si>
    <t>HEIDELBERG</t>
  </si>
  <si>
    <t>TIERGARTENSTRASSE 17, D-69121 HEIDELBERG, GERMANY</t>
  </si>
  <si>
    <t>0025-3162</t>
  </si>
  <si>
    <t>1432-1793</t>
  </si>
  <si>
    <t>MAR BIOL</t>
  </si>
  <si>
    <t>Mar. Biol.</t>
  </si>
  <si>
    <t>10.1007/s00227-015-2785-7</t>
  </si>
  <si>
    <t>DC5EH</t>
  </si>
  <si>
    <t>WOS:000369243700004</t>
  </si>
  <si>
    <t>Onuma, R; Horiguchi, T</t>
  </si>
  <si>
    <t>Onuma, Ryo; Horiguchi, Takeo</t>
  </si>
  <si>
    <t>Specificity of Chroomonas (Cryptophyceae) as a source of kleptochloroplast for Nusuttodinium aeruginosum (Dinophyceae)</t>
  </si>
  <si>
    <t>PHYCOLOGICAL RESEARCH</t>
  </si>
  <si>
    <t>Chroomonas; kleptochloroplast; Nusuttodinium aeruginosum; prey specificity; single cell PCR</t>
  </si>
  <si>
    <t>CILIATE MYRIONECTA-RUBRA; GYMNODINIUM-ACIDOTUM DINOPHYCEAE; AMPHIDINIUM-POECILOCHROUM; ANTARCTIC DINOFLAGELLATE; GENETIC ANALYSES; PHYLOGENY; RETENTION; INGESTION; PLASTIDS; CAUDATA</t>
  </si>
  <si>
    <t>The unarmoured dinoflagellate Nusuttodinium aeruginosum retains a kleptochloroplast, which is a transient chloroplast stolen from members of the cryptomonad genus, Chroomonas. Both N.aeruginosum and the closely related N.acidotum have been shown to restrict their diet to a limited number of species of this blue-green genus of cryptophyte. However, it is still unclear how flexible the predators are with regard to the ingestion and utilization of Chroomonas spp. as a source of kleptochloroplast. To address specificity of cryptomonad in N.aeruginosum, we collected the cells of N.aeruginosum from several ponds in Japan, and analysed the phylogeny of the kleptochloroplasts based on their plastidial 16S rDNA sequences. All sequences obtained in this study were restricted to only one (the subclade 4) of four subclades known to comprise the Chroomonas/Hemiselmis clade. Therefore, N.aeruginosum is specific in its dietary requirements, selecting their prey within the subclade level.</t>
  </si>
  <si>
    <t>[Onuma, Ryo] Hokkaido Univ, Grad Sch Sci, Dept Nat Hist Sci, Sapporo, Hokkaido, Japan; [Horiguchi, Takeo] Hokkaido Univ, Fac Sci, Dept Biol Sci, Sapporo, Hokkaido 060, Japan; [Onuma, Ryo] Natl Inst Genet, Dept Cell Genet, Div Symbiosis &amp; Cell Evolut, Yata 1111, Mishima, Shizuoka 4118540, Japan</t>
  </si>
  <si>
    <t>Hokkaido University; Hokkaido University; Research Organization of Information &amp; Systems (ROIS); National Institute of Genetics (NIG) - Japan</t>
  </si>
  <si>
    <t>Onuma, R (corresponding author), Hokkaido Univ, Grad Sch Sci, Dept Nat Hist Sci, Sapporo, Hokkaido, Japan.;Onuma, R (corresponding author), Natl Inst Genet, Dept Cell Genet, Div Symbiosis &amp; Cell Evolut, Yata 1111, Mishima, Shizuoka 4118540, Japan.</t>
  </si>
  <si>
    <t>ronuma@nig.ac.jp</t>
  </si>
  <si>
    <t>Onuma, Ryo/AAI-2075-2020; Onuma, Ryo/AAZ-4295-2020; Horiguchi, Takeo/D-7612-2012</t>
  </si>
  <si>
    <t>Onuma, Ryo/0000-0003-1592-0814; Horiguchi, Takeo/0000-0002-6118-8460</t>
  </si>
  <si>
    <t>Japan Society for the Promotion of Science [24370034]</t>
  </si>
  <si>
    <t>Japan Society for the Promotion of Science(Ministry of Education, Culture, Sports, Science and Technology, Japan (MEXT)Japan Society for the Promotion of Science)</t>
  </si>
  <si>
    <t>We thank Dr Stuart D. Sym for reading the manuscript. This work was partly supported by a Grant-in-Aid from the Japan Society for the Promotion of Science (No. 24370034).</t>
  </si>
  <si>
    <t>1322-0829</t>
  </si>
  <si>
    <t>1440-1835</t>
  </si>
  <si>
    <t>PHYCOL RES</t>
  </si>
  <si>
    <t>Phycol. Res.</t>
  </si>
  <si>
    <t>10.1111/pre.12117</t>
  </si>
  <si>
    <t>DC6CR</t>
  </si>
  <si>
    <t>WOS:000369307900005</t>
  </si>
  <si>
    <t>Costanzo, M; Cesi, V; Prete, E; Negroni, A; Palone, F; Cucchiara, S; Oliva, S; Leter, B; Stronati, L</t>
  </si>
  <si>
    <t>Costanzo, Manuela; Cesi, Vincenzo; Prete, Enrica; Negroni, Anna; Palone, Francesca; Cucchiara, Salvatore; Oliva, Salvatore; Leter, Beatrice; Stronati, Laura</t>
  </si>
  <si>
    <t>Krill oil reduces intestinal inflammation by improving epithelial integrity and impairing adherent-invasive Escherichia coli pathogenicity</t>
  </si>
  <si>
    <t>DIGESTIVE AND LIVER DISEASE</t>
  </si>
  <si>
    <t>Antarctic krill; Intestinal epithelium; Luminal bacteria</t>
  </si>
  <si>
    <t>POLYUNSATURATED FATTY-ACIDS; FISH-OIL; OXIDATIVE STRESS; BOWEL DISEASES; HUMAN HEALTH; ASTAXANTHIN; OMEGA-3-FATTY-ACIDS; BARRIER; MODEL; SUPPLEMENTATION</t>
  </si>
  <si>
    <t>Background: Krill oil is a marine derived oil rich in phospholipids, astaxanthin and omega-3 fatty acids. Several studies have found benefits of krill oil against oxidative and inflammatory damage. Aims: We aimed at assessing the ability of krill oil to reduce intestinal inflammation by improving epithelial barrier integrity, increasing cell survival and reducing pathogenicity of adherent-invasive Escherichia coli. Methods: CACO2 and HT29 cells were exposed to cytomix (TNF alpha and IFN gamma) to induce inflammation and co-exposed to cytomix and krill oil. E-cadherin, ZO-1 and F-actin levels were analyzed by immunofluorescence to assess barrier integrity. Scratch test was performed to measure wound healing. Cell survival was analyzed by flow cytometry. Adherent-invasive Escherichia coli LF82 was used for adhesion/invasion assay. Results: In inflamed cells E-cadherin and ZO-1 decreased, with loss of cell-cell adhesion, and F-actin polymerization increased stress fibres; krill oil restored initial conditions and improved wound healing, reduced bacterial adhesion/invasion in epithelial cells and survival within macrophages; krill oil reduced LF82-induced mRNA expression of pro-inflammatory cytokines. Conclusions: Krill oil improves intestinal barrier integrity and epithelial restitution during inflammation and controls bacterial adhesion and invasion to epithelial cells. Thus, krill oil may represent an innovative tool to reduce intestinal inflammation. (C) 2015 Editrice Gastroenterologica Italiana S.r.l. Published by Elsevier Ltd. All rights reserved.</t>
  </si>
  <si>
    <t>[Costanzo, Manuela; Cesi, Vincenzo; Prete, Enrica; Negroni, Anna; Palone, Francesca; Stronati, Laura] ENEA, Dept Radiobiol &amp; Human Hlth, Rome, Italy; [Cucchiara, Salvatore; Oliva, Salvatore; Leter, Beatrice] Univ Roma La Sapienza, Paediat Gastroenterol &amp; Liver Unit, Dept Paediat &amp; Infantile Neuropsychiat, Rome, Italy</t>
  </si>
  <si>
    <t>Italian National Agency New Technical Energy &amp; Sustainable Economics Development; Sapienza University Rome</t>
  </si>
  <si>
    <t>Stronati, L (corresponding author), ENEA CR Casaccia, Dept Radiobiol &amp; Human Hlth, Via Anguillarese 301, I-00123 Rome, Italy.</t>
  </si>
  <si>
    <t>laura.stronati@enea.it</t>
  </si>
  <si>
    <t>Negroni, Anna/JAC-5613-2023; PALONE, FRANCESCA/AFE-8401-2022; Costanzo, Manuela/AAD-3723-2022; PALONE, FRANCESCA/AAE-9703-2022; Negroni, Anna/GLS-2306-2022; Oliva, Salvatore/K-1567-2016; Cucchiara, Salvatore/K-1628-2016</t>
  </si>
  <si>
    <t>Negroni, Anna/0000-0002-2273-8837; PALONE, FRANCESCA/0000-0001-7700-9466; PALONE, FRANCESCA/0000-0001-7700-9466; Negroni, Anna/0000-0002-2273-8837; Oliva, Salvatore/0000-0003-2348-2308; COSTANZO, MANUELA/0000-0003-2637-7810; Stronati, Laura/0000-0001-5222-9497; Cucchiara, Salvatore/0000-0002-2939-9698</t>
  </si>
  <si>
    <t>Ministry of Education, University and Research (MIUR) [MIUR art.11 D.M. 593/2000 N.10/12]</t>
  </si>
  <si>
    <t>Ministry of Education, University and Research (MIUR)(Ministry of Education, Universities and Research (MIUR))</t>
  </si>
  <si>
    <t>This work was supported by the Grant MIUR art.11 D.M. 593/2000 N.10/12 from Ministry of Education, University and Research (MIUR).</t>
  </si>
  <si>
    <t>ELSEVIER SCIENCE INC</t>
  </si>
  <si>
    <t>STE 800, 230 PARK AVE, NEW YORK, NY 10169 USA</t>
  </si>
  <si>
    <t>1590-8658</t>
  </si>
  <si>
    <t>1878-3562</t>
  </si>
  <si>
    <t>DIGEST LIVER DIS</t>
  </si>
  <si>
    <t>Dig. Liver Dis.</t>
  </si>
  <si>
    <t>10.1016/j.dld.2015.09.012</t>
  </si>
  <si>
    <t>Gastroenterology &amp; Hepatology</t>
  </si>
  <si>
    <t>DB8IV</t>
  </si>
  <si>
    <t>WOS:000368761300007</t>
  </si>
  <si>
    <t>Springer, K</t>
  </si>
  <si>
    <t>Springer, Keith</t>
  </si>
  <si>
    <t>Methodology and challenges of a complex multi-species eradication in the sub-Antarctic and immediate effects of invasive species removal</t>
  </si>
  <si>
    <t>NEW ZEALAND JOURNAL OF ECOLOGY</t>
  </si>
  <si>
    <t>Macquarie Island; eradication; Rattus rattus; Mus musculus; Oryctolagus cuniculus</t>
  </si>
  <si>
    <t>MACQUARIE ISLAND; FELIS-CATUS; FERAL CAT; RABBITS</t>
  </si>
  <si>
    <t>Vertebrate pest management on Macquarie Island has removed five vertebrate species since 1988; weka (Gallirallus australis scotti), cats (Fells catus), rabbits (Oryctolagus cuniculus), ship (black) rats (Rattus rattus) and house mice (Mus musculus). The latter three were eradicated in a combined eradication operation that commenced in 2006 and was declared successful in 2014. Eradication planning for removal of rabbits, rats and mice took about five years, with implementation another three years. The eradication comprised a two-phase project, with aerial baiting followed up by ground hunting using hunters and trained detection dogs to remove surviving rabbits. Rabbit Haemorrhagic Disease Virus was used as a non-target mitigation strategy prior to a second attempt at aerial baiting after adverse weather forced the abandonment of the first attempt. The project was considered complex, ambitious and challenging, partly because of the remote location with adverse weather conditions, but especially because multiple-species eradications are considered more difficult to achieve than single-species eradications. In addition, when eradication planning commenced Macquarie Island (12,785 ha) was many times larger than had previously been attempted for the removal of black rats and house mice (1000 and 800 ha, respectively). Preliminary empirical and anecdotal evidence is demonstrating the recovery of native flora and fauna in the absence of grazing and predatory mammals.</t>
  </si>
  <si>
    <t>[Springer, Keith] Tasmania Pk &amp; Wildlife Serv, POB 126, Moonah, Tas 7009, Australia</t>
  </si>
  <si>
    <t>Springer, K (corresponding author), Tasmania Pk &amp; Wildlife Serv, POB 126, Moonah, Tas 7009, Australia.</t>
  </si>
  <si>
    <t>keith.springer@gmail.com</t>
  </si>
  <si>
    <t>NEW ZEALAND ECOL SOC</t>
  </si>
  <si>
    <t>CHRISTCHURCH</t>
  </si>
  <si>
    <t>PO BOX 25178, CHRISTCHURCH, NEW ZEALAND</t>
  </si>
  <si>
    <t>0110-6465</t>
  </si>
  <si>
    <t>1177-7788</t>
  </si>
  <si>
    <t>NEW ZEAL J ECOL</t>
  </si>
  <si>
    <t>N. Z. J. Ecol.</t>
  </si>
  <si>
    <t>DB9WY</t>
  </si>
  <si>
    <t>WOS:000368869600009</t>
  </si>
  <si>
    <t>Ghigliotti, L; Cheng, CHC; Pisano, E</t>
  </si>
  <si>
    <t>Ghigliotti, Laura; Cheng, Chi-Hing Christina; Pisano, Eva</t>
  </si>
  <si>
    <t>Sex determination in Antarctic notothenioid fish: chromosomal clues and evolutionary hypotheses</t>
  </si>
  <si>
    <t>POLAR BIOLOGY</t>
  </si>
  <si>
    <t>11th Scientific Committee on Antarctic Research Symposium</t>
  </si>
  <si>
    <t>JUL 16-19, 2013</t>
  </si>
  <si>
    <t>Barcelona, SPAIN</t>
  </si>
  <si>
    <t>Notothenioidei; Antarctic fish; Sex chromosomes; Evolution; Adaptation; Sex determination</t>
  </si>
  <si>
    <t>TERRA-NOVA BAY; DISSOSTICHUS-MAWSONI; NESTING-BEHAVIOR; DETERMINING GENE; BEAGLE CHANNEL; SOUTHERN-OCEAN; Y-CHROMOSOME; GENOME SIZE; DIFFERENTIATION; TELEOSTEI</t>
  </si>
  <si>
    <t>In fish, the determination of sex can be controlled by genetic factors, environmental factors or a combination of both. The presence of heteromorphic sex-related chromosomes is widely acknowledged as strongly indicative of genetic control of sex determination (GSD) acting over other sex control systems. Heteromorphic sex-related chromosomes have been observed in a minority of teleosts (approximately 4 %). However, when looking at the fishes of the suborder Notothenioidei the frequency of sex-related chromosomes increases substantially, reaching 26.67 % of the cytogenetically studied species. Noteworthy, sex chromosomes were observed only in cold-adapted species which live in the Antarctic coastal waters, whereas morphologically differentiated sex chromosomes were never observed in the temperate non-Antarctic notothenioid families. Recent evidence suggests that the sex-linked chromosomes across the Antarctic notothenioid families may not share a common origin, but likely originated more than once during notothenioid evolutionary history, thus implying the presence of selection pressures operating toward fixation of GSD system. On the whole, the cytogenetic evidences suggest the Antarctic-specific fixation of differentiated heteromorphic sex-related chromosomes and of a prominent GSD across Antarctic notothenioids that may be an additional manifestation of notothenioid evolution in thermally stable cold environment.</t>
  </si>
  <si>
    <t>[Ghigliotti, Laura; Pisano, Eva] Univ Genoa, Dept Earth Environm &amp; Life Sci DISTAV, Viale Benedetto XV 5, I-16132 Genoa, Italy; [Cheng, Chi-Hing Christina] Univ Illinois, Dept Anim Biol, Urbana, IL 61801 USA</t>
  </si>
  <si>
    <t>University of Genoa; University of Illinois System; University of Illinois Urbana-Champaign</t>
  </si>
  <si>
    <t>Ghigliotti, L (corresponding author), Univ Genoa, Dept Earth Environm &amp; Life Sci DISTAV, Viale Benedetto XV 5, I-16132 Genoa, Italy.</t>
  </si>
  <si>
    <t>laura.ghigliotti@gmail.com</t>
  </si>
  <si>
    <t>Ghigliotti, Laura/J-3076-2012; Ghigliotti, Laura/AAN-6843-2021</t>
  </si>
  <si>
    <t>Ghigliotti, Laura/0000-0003-2139-1381</t>
  </si>
  <si>
    <t>Italian National Programme for Antarctic Research (PNRA) project [2013.AZ 1.11]; NSF OPP</t>
  </si>
  <si>
    <t>Italian National Programme for Antarctic Research (PNRA) project; NSF OPP(National Science Foundation (NSF)NSF - Directorate for Geosciences (GEO))</t>
  </si>
  <si>
    <t>The study was supported by the Italian National Programme for Antarctic Research (PNRA) project 2013.AZ 1.11 and contributes to the SCAR Scientific Research Program AnT-ERA (Antarctic Thresholds-Ecosystem Resilience and Adaptation). C-HCC acknowledges NSF OPP for grant award that supported parts of this study. We thank Catherine Ozouf-Costaz (CNRS, UPMC, Paris, France) for her contribute to the collection of cytogenetic data in the frame of collaborative Italian and French Antarctic Expeditions. Thanks to H. William Detrich (Northeastern University, USA) leading the ICEFISH 2004 cruise aboard RVIB Nathaniel B. Palmer that allowed the collection of precious cytogenetic information on subAntarctic notothenioid species.</t>
  </si>
  <si>
    <t>0722-4060</t>
  </si>
  <si>
    <t>1432-2056</t>
  </si>
  <si>
    <t>POLAR BIOL</t>
  </si>
  <si>
    <t>Polar Biol.</t>
  </si>
  <si>
    <t>10.1007/s00300-014-1601-z</t>
  </si>
  <si>
    <t>Biodiversity Conservation; Ecology</t>
  </si>
  <si>
    <t>Biodiversity &amp; Conservation; Environmental Sciences &amp; Ecology</t>
  </si>
  <si>
    <t>DC2SR</t>
  </si>
  <si>
    <t>WOS:000369067100002</t>
  </si>
  <si>
    <t>Houghton, M; McQuillan, PB; Bergstrom, DM; Frost, L; van den Hoff, J; Shaw, J</t>
  </si>
  <si>
    <t>Houghton, Melissa; McQuillan, Peter B.; Bergstrom, Dana M.; Frost, Leslie; van den Hoff, John; Shaw, Justine</t>
  </si>
  <si>
    <t>Pathways of alien invertebrate transfer to the Antarctic region</t>
  </si>
  <si>
    <t>Alien species; Invertebrates; Biosecurity; Quarantine; Propagule pressure; Sub-Antarctic</t>
  </si>
  <si>
    <t>SOUTHERN-OCEAN ISLANDS; PROPAGULE PRESSURE; PLANT INVASIONS; MARION ISLAND; 1ST RECORD; CONSERVATION; INSECTS; IMPACTS; TRANSPORTATION; QUANTIFICATION</t>
  </si>
  <si>
    <t>Alien species pose an increasing threat to the biodiversity of the Antarctic region. Several alien species have established in Antarctic terrestrial communities, some representing novel functional groups such as pollinators and predators, with unknown impacts on ecosystem processes. We quantified the unintentional introduction of alien invertebrates to the Antarctic region over a 14-year period (2000-2013). To do this, probable pathways (Australian Antarctic cargo operations) and endpoints (research stations) for invertebrate introductions were searched. In addition, we undertook a stratified trapping programme targeting invertebrates on supply vessels in transit to the Antarctic region and also at cargo facilities in Australia during the 2012-2013 austral summer field season. Our results show that a diverse suite of invertebrate taxa were being introduced to the Antarctic region, with 1,376 individuals from at least 98 families observed or trapped during the sampling period. Many individuals were found alive. Diptera, Coleoptera and Lepidoptera were the most common taxa, comprising 74 % of the collection. At the family level, Phoridae (small flies) and Noctuidae (moths) were most commonly observed. Individuals from 38 different families were repeatedly introduced over the study period, sometimes in high numbers. Food and large cargo containers harboured the most individuals. These findings can assist in improving biosecurity protocols for logistic activities to Antarctica, thereby reducing the risk of invasions to the Antarctic region.</t>
  </si>
  <si>
    <t>[Houghton, Melissa; Bergstrom, Dana M.; Frost, Leslie; van den Hoff, John] Australian Antarctic Div, Dept Environm, Channel Highway, Kingston, Tas, Australia; [Houghton, Melissa; McQuillan, Peter B.] Univ Tasmania, Sch Geog &amp; Environm Studies, Hobart, Tas, Australia; [Shaw, Justine] Univ Queensland, Sch Biol Sci, Environm Decis Grp, Brisbane, Qld, Australia</t>
  </si>
  <si>
    <t>Australian Antarctic Division; University of Tasmania; University of Queensland</t>
  </si>
  <si>
    <t>Shaw, J (corresponding author), Univ Queensland, Sch Biol Sci, Environm Decis Grp, Brisbane, Qld, Australia.</t>
  </si>
  <si>
    <t>shaw.justine@gmail.com</t>
  </si>
  <si>
    <t>McQuillan, Peter B/C-2373-2014; Houghton, Melissa/IZE-8544-2023; Bergstrom, Dana/AAC-2837-2022</t>
  </si>
  <si>
    <t>Bergstrom, Dana/0000-0001-8484-8954; Shaw, Justine/0000-0002-9603-2271; McQuillan, Peter/0000-0001-6334-372X</t>
  </si>
  <si>
    <t>Australian Antarctic Division (as part of AAS project) [4024]; National Environmental Research Program</t>
  </si>
  <si>
    <t>Australian Antarctic Division (as part of AAS project); National Environmental Research Program</t>
  </si>
  <si>
    <t>This study was supported logistically and financially by the Australian Antarctic Division (as part of AAS project 4024) and the National Environmental Research Program. We thank all who assisted on this project: AAD staff and the Aurora Australis crew assisted at the cargo facility and on the ship. Rachel Alderman, Graham Cook, Justin Febey, John Kitchener, Mark Mangles, Aleks Terauds and Lauren Wise deployed insect traps on the high seas. Kate Kiefer was instrumental in the establishment of the Critter Kit sampling regime. Jennie Whinam documented the moth occurrence on a tourist ship. Sandra Potter provided data from 2002 to 2004. Aleks Terauds provided helpful comments on the manuscript. We are grateful to all expeditioners and Department of Primary Industries, Water and the Environment, Tasmania, who have participated in biosecurity surveillance over the last decade. This work was part of the Aliens in Antarctica SCAR program. We thank the three anonymous reviewers for providing comments that improved the manuscript.</t>
  </si>
  <si>
    <t>10.1007/s00300-014-1599-2</t>
  </si>
  <si>
    <t>WOS:000369067100003</t>
  </si>
  <si>
    <t>Laparie, M; Renault, D</t>
  </si>
  <si>
    <t>Laparie, M.; Renault, D.</t>
  </si>
  <si>
    <t>Physiological responses to temperature in Merizodus soledadinus (Col., Carabidae), a subpolar carabid beetle invading sub-Antarctic islands</t>
  </si>
  <si>
    <t>Biological invasion; Insect; Kerguelen Islands; Metabolomics; Metabolic rate; Plasticity; Thermal stress; Thermal tolerance</t>
  </si>
  <si>
    <t>BIOLOGICAL INVASIONS; METABOLIC-CHANGES; CLIMATE-CHANGE; HEAT-SHOCK; KERGUELEN; STRESS; ACCLIMATION; IMPACTS; ACCUMULATION; DESICCATION</t>
  </si>
  <si>
    <t>Recent human activities and rising air temperature have increased the vulnerability of sub-Antarctic islands to alien species. At the Kerguelen Islands, the predaceous ground beetle Merizodus soledadinus is the only invasive insect originating from the southern cold temperate area (native from Patagonia, Tierra del Fuego and Falkland Islands). This austral origin raises the question of the limits of its physiological tolerance and capability to withstand (1) global change and (2) warmer climates of archipelagos where its accidental transportation could be facilitated from the Kerguelen Islands (namely Amsterdam and Saint Paul). Using gas chromatography/mass spectrometry metabolomics, we compared metabotypes of adults exposed to different temperatures (0, 4, 8, 12, 16, 20 degrees C). All individuals survived after 2 weeks regardless of the temperature they were exposed to. The physiological changes observed were consistent with increased metabolic rate at increased temperatures, without extreme metabotypes that are characteristic of acute stress. First cues of sublethal stress were observed after prolonged exposure to 20 degrees C, a warm regime unrealistic for such duration in sub-Antarctic Islands. Overall, M. soledadinus' thermal tolerance exceeded temperatures currently experienced in nature, suggesting that climate warming may boost its invasion by eliciting its activity and broadening habitat suitability in both invaded and still pristine islands. This thermal tolerance may allow survival aboard ships and development in sub-Antarctic islands with conditions warmer than the Kerguelen Islands, such as Amsterdam and St Paul. Stringent biosecurity measures are thus needed to prevent transfer from Kerguelen to these islands. The native range of this predaceous beetle limited to the Falkland Islands and southernmost South America may be partly constrained by factors other than temperature, such as desiccation, predation or competition.</t>
  </si>
  <si>
    <t>[Laparie, M.] INRA, UR0633, Unite Rech Zool Forestiere, 2163 Ave Pomme Pin,CS 40001 Ardon, F-45075 Orleans, France; [Renault, D.] Univ Rennes 1, UMR CNRS Ecobio 6553, 263 Ave Gal Leclerc,CS 74205, F-35042 Rennes, France</t>
  </si>
  <si>
    <t>INRAE; Universite de Rennes</t>
  </si>
  <si>
    <t>Laparie, M (corresponding author), INRA, UR0633, Unite Rech Zool Forestiere, 2163 Ave Pomme Pin,CS 40001 Ardon, F-45075 Orleans, France.</t>
  </si>
  <si>
    <t>mathieu.laparie@orleans.inra.fr</t>
  </si>
  <si>
    <t>RENAULT, David/0000-0003-3644-1759</t>
  </si>
  <si>
    <t>Institut Polaire Francais (IPEV) [136]; CNRS (Zone-Atelier de Recherches sur l'Environnement Antarctique et Subantarctique); Agence Nationale de la Recherche [ANR-07-VULN-004]; INEE-CNRS</t>
  </si>
  <si>
    <t>Institut Polaire Francais (IPEV); CNRS (Zone-Atelier de Recherches sur l'Environnement Antarctique et Subantarctique)(Centre National de la Recherche Scientifique (CNRS)); Agence Nationale de la Recherche(Agence Nationale de la Recherche (ANR)); INEE-CNRS</t>
  </si>
  <si>
    <t>This research was supported by the Institut Polaire Francais (IPEV, programme 136), the CNRS (Zone-Atelier de Recherches sur l'Environnement Antarctique et Subantarctique) and the Agence Nationale de la Recherche (ANR-07-VULN-004, Vulnerability of native communities to invasive insects and climate change in sub-Antarctic Islands, EVINCE). The authors thank INEE-CNRS for the funding of the 'ALIENS' application (ENVIROMICS call 2014).</t>
  </si>
  <si>
    <t>10.1007/s00300-014-1600-0</t>
  </si>
  <si>
    <t>WOS:000369067100004</t>
  </si>
  <si>
    <t>Renault, D; Lombard, M; Vingère, J; Laparie, M</t>
  </si>
  <si>
    <t>Renault, D.; Lombard, M.; Vingere, J.; Laparie, M.</t>
  </si>
  <si>
    <t>Comparative salinity tolerance in native flies from the subantarctic Kerguelen Islands: a metabolomic approach</t>
  </si>
  <si>
    <t>Survival; Insect; Body water content; Metabolomics; Compatible solutes</t>
  </si>
  <si>
    <t>FREE AMINO-ACIDS; PHENOTYPIC PLASTICITY; OSMOREGULATION; HEMOLYMPH; RESPONSES</t>
  </si>
  <si>
    <t>The quasi-extirpation of the cabbage Pringlea antiscorbutica in some locations at the Kerguelen Islands has large impacts on the distribution of the native fly Calycopteryx moseleyi. This insect has long been supposed as being subordinant to P. antiscorbutica until both larvae and adults were observed under seaweed in littoral margins. Physiological plasticity to saline conditions is expected in C. moseleyi, and metabolic rearrangements in salt-exposed specimens should thus be similar between individuals from cabbages and seaweeds. Individuals of C. moseleyi from non-saline (cabbages) and saline (seaweeds) habitats were experimentally subjected to different salinities (0, 35, 70 practical salinity units) and compared to the widely distributed native Anatalanta aptera flies that coexist with C. moseleyi under the seaweeds. A progressive drop of the survival and body water content was observed in C. moseleyi from cabbages exposed to increasing saline conditions. Body water contents remained similar at 35 and 70 practical salinity units in C. moseleyi from seaweeds, while it did not change over the whole saline gradient in A. aptera. Metabolic profiles revealed that both fly populations from the seaweeds accumulated compatible solutes in the form of alanine or glutamic acid when they were exposed to salinity. A distinct pattern was observed in C. moseleyi specimens from cabbages, whose metabolic profiles revealed a progressive loss of metabolic homoeostasis. We conclude that the C. moseleyi specimens from the cabbages and seaweeds differentiated, as also supported by their contrasted morphotypes, and that the limited salinity tolerance of individuals from cabbages may hinder their future expansion to seaweeds.</t>
  </si>
  <si>
    <t>[Renault, D.; Lombard, M.; Vingere, J.] Univ Rennes 1, UMR CNRS ECOBIO 6553, 263 Ave Gal Leclerc,CS 74205, F-35042 Rennes, France; [Laparie, M.] INRA, UR0633, Unite Rech Zool Forestiere, 2163 Ave Pomme Pin,CS 40001 Ardon, F-45075 Orleans, France</t>
  </si>
  <si>
    <t>Universite de Rennes; INRAE</t>
  </si>
  <si>
    <t>Renault, D (corresponding author), Univ Rennes 1, UMR CNRS ECOBIO 6553, 263 Ave Gal Leclerc,CS 74205, F-35042 Rennes, France.</t>
  </si>
  <si>
    <t>david.renault@univ-rennes1.fr</t>
  </si>
  <si>
    <t>'Institut Polaire Francais Paul-Emile Victor' (Prog IPEV SUBANTECO); 'Agence Nationale de la Recherche' (EVINCE) [ANR-07-VULN-004]</t>
  </si>
  <si>
    <t>'Institut Polaire Francais Paul-Emile Victor' (Prog IPEV SUBANTECO); 'Agence Nationale de la Recherche' (EVINCE)(Agence Nationale de la Recherche (ANR))</t>
  </si>
  <si>
    <t>This research was supported by the 'Institut Polaire Francais Paul-Emile Victor' (Prog IPEV SUBANTECO) and the 'Agence Nationale de la Recherche' (ANR-07-VULN-004, EVINCE). We would like to thank two anonymous referees for their thoughtful comments.</t>
  </si>
  <si>
    <t>10.1007/s00300-014-1605-8</t>
  </si>
  <si>
    <t>WOS:000369067100005</t>
  </si>
  <si>
    <t>D'Amico, VL; Coria, N; Palacios, MG; Barbosa, A; Bertellotti, M</t>
  </si>
  <si>
    <t>D'Amico, Veronica L.; Coria, Nestor; Gabriela Palacios, Maria; Barbosa, Andres; Bertellotti, Marcelo</t>
  </si>
  <si>
    <t>Physiological differences between two overlapped breeding Antarctic penguins in a global change perspective</t>
  </si>
  <si>
    <t>Antarctica; Global warming; Physiology; Pygoscelis penguin</t>
  </si>
  <si>
    <t>GENTOO PENGUINS; VARIABILITY; POPULATIONS; ASSOCIATION; COMPONENTS; DYNAMICS; DECLINE; MARINE; INNATE; VALUES</t>
  </si>
  <si>
    <t>Global change has affected the Antarctic Peninsula influencing the abundance of krill, one of the main preys of penguins. In areas where breeding penguin populations overlap, species with a more diverse diet have generally been less affected than krill-specialist species, which have shown population declines. Human activities can add to these changes, as penguins are sensitive to anthropic impacts such as contamination. Our objective was to assess whether selected physiological parameters of Adelie and Gentoo penguins reflect their contrasting population trends in a colony located at Punta Stranger (25 de Mayo Island/King George, South Shetland Islands) where they breed sympatrically. During 2012, we assessed the leukocyte profile, heterophil to lymphocyte ratio (H/L), erythrocytic nuclear abnormalities (ENAs), hematocrit, biochemical profile, and a measure of immune function (bacterial agglutination) in adults and chicks of both species. Higher values of ENAs, indicative of genotoxic damage caused by contaminants, are in accordance with a greater sensitivity to ongoing global changes by Adelie penguins. Levels of cholesterol and triglycerides strengthen this idea since individuals could be investing more resources in energy reserves to successfully cope with challenging environmental conditions during the breeding season. The remaining physiological parameters did not provide a clear picture. Furthermore, some results could be related to differences in diet. Gentoos show greater prey diversity than Adelie penguins, incorporating a richer parasite fauna, which could explain their higher heterophils and H/L. The physiological parameters measured here serve as baseline for a sustained monitoring of these rapidly changing populations. Further physiological variables, including stress hormone and indices of oxidative stress, remain to be assessed as potential indicators of population susceptibility to global change in this system.</t>
  </si>
  <si>
    <t>[D'Amico, Veronica L.; Gabriela Palacios, Maria; Bertellotti, Marcelo] Consejo Nacl Invest Cient &amp; Tecn, Ctr Nacl Patagon, Grp Ecophysiol Appl Management &amp; Conservat Wildli, Dept Biol &amp; Management Aquat Resources, Blvd Brown 2915, RA-9120 Puerto Madryn, Chubut, Argentina; [Coria, Nestor] Inst Antartico Argentino, Dept Biol Top Predators, Cerrito 1248,C1010AAZ Buenos Aires, Mar Del Plata, Buenos Aires, Argentina; [Barbosa, Andres] CSIC, Museo Nacl Ciencias Nat, Dept Evolutionary Ecol, C Jose Gutierrez Abascal 2, E-28006 Madrid, Spain</t>
  </si>
  <si>
    <t>Consejo Nacional de Investigaciones Cientificas y Tecnicas (CONICET); Centro Nacional Patagonico (CENPAT); Instituto Antartico Argentino; Consejo Superior de Investigaciones Cientificas (CSIC); CSIC - Museo Nacional de Ciencias Naturales (MNCN)</t>
  </si>
  <si>
    <t>D'Amico, VL (corresponding author), Consejo Nacl Invest Cient &amp; Tecn, Ctr Nacl Patagon, Grp Ecophysiol Appl Management &amp; Conservat Wildli, Dept Biol &amp; Management Aquat Resources, Blvd Brown 2915, RA-9120 Puerto Madryn, Chubut, Argentina.</t>
  </si>
  <si>
    <t>veronicalauradamico@gmail.com</t>
  </si>
  <si>
    <t>Bertellotti, Marcelo/GQZ-7950-2022; Palacios, Maria G/I-6140-2012; Barbosa, Andrés/C-3208-2008</t>
  </si>
  <si>
    <t>Barbosa, Andrés/0000-0001-8434-3649; Bertellotti, Marcelo/0000-0002-1834-7788</t>
  </si>
  <si>
    <t>[CTM2011-24425]</t>
  </si>
  <si>
    <t>We very much appreciated the hospitality and logistic support of the Argentinean Antarctic Base Carlini (ex Jubany). We thank J. Menucci for providing the maps and two anonymous reviewers for their suggestions that helped improve our manuscript. We are grateful for the logistic support and permits provided by the Instituto Antartico Argentino (IAA-DNA). AB was supported by the project CTM2011-24425. Permits to work at the site and handle penguins were given by Direccion Nacional del Antartico.</t>
  </si>
  <si>
    <t>10.1007/s00300-014-1604-9</t>
  </si>
  <si>
    <t>WOS:000369067100006</t>
  </si>
  <si>
    <t>La Mesa, M; Riginella, E; Melli, V; Bartolini, F; Mazzoldi, C</t>
  </si>
  <si>
    <t>La Mesa, Mario; Riginella, Emilio; Melli, Valentina; Bartolini, Fabrizio; Mazzoldi, Carlotta</t>
  </si>
  <si>
    <t>Biological traits of a sub-Antarctic nototheniid, Patagonotothen ramsayi, from the Burdwood Bank</t>
  </si>
  <si>
    <t>Age structure; Reproduction; Patagonotothen; Subantarctic; Southern Ocean</t>
  </si>
  <si>
    <t>FALKLAND ISLANDS; PATAGONIAN SHELF; AGE-DETERMINATIONS; 1913 PISCES; REGAN; DIET; HABITS; MIGRATIONS; PRECISION; ARGENTINA</t>
  </si>
  <si>
    <t>The rock cod Patagonotothen ramsayi (Regan 1913) is the most abundant species of the genus Patagonotothen, occurring along the Patagonian shelf. It plays an important role in the demersal food web both as prey and predator, showing an increasing importance for the local finfish and squid trawl fisheries. Age structure and the reproductive traits were investigated from the population inhabiting the eastern shelf of Burdwood Bank, which represents the southernmost area of its geographical distribution. Adult specimens of P. ramsayi were collected during bottom trawling carried out in the austral summer. The specimens were aged by otolith readings, and their reproductive characteristics were assessed by macroscopical and histological analyses. Age was similar between sexes, ranging from 4 to 7 and from 4 to 8 years in males and females of comparable size, respectively. GSI was relatively low in females (&lt;1.5 %), as fish were sampled far from the reported spawning season (June-August). Females were all in the early developing stage (III) on the macroscopic maturity scale, with the most advanced oocytes being in early vitellogenesis. The oocyte size distribution was bi-modal, with two partially overlapping modes consisting of oocytes of a maximum size of 0.66 mm. A few large atretic oocytes (diameter &gt; 1 mm) were found in three females. Absolute fecundity ranged from approximately 30 to 120 thousands of eggs. No relationship was found between female size and fecundity, probably due to the relatively narrow range of the investigated fish sizes. Males were in the spent (VII) or resting (II) stages.</t>
  </si>
  <si>
    <t>[La Mesa, Mario] CNR, Inst Marine Sci, UOS Ancona, Ancona, Italy; [Riginella, Emilio; Melli, Valentina; Mazzoldi, Carlotta] Univ Padua, Dept Biol, Padua, Italy; [Bartolini, Fabrizio] Univ Nice Sophia Antipolis, ECOMERS Lab, F-06189 Nice, France</t>
  </si>
  <si>
    <t>Consiglio Nazionale delle Ricerche (CNR); Istituto di Scienze Marine (ISMAR-CNR); University of Padua; Universite Cote d'Azur</t>
  </si>
  <si>
    <t>La Mesa, M (corresponding author), CNR, Inst Marine Sci, UOS Ancona, Ancona, Italy.</t>
  </si>
  <si>
    <t>m.lamesa@ismar.cnr.it</t>
  </si>
  <si>
    <t>Mazzoldi, Carlotta/AAU-8628-2020; Riginella, Emilio/Q-2987-2019; Melli, Valentina/AAB-1980-2019</t>
  </si>
  <si>
    <t>Riginella, Emilio/0000-0002-1442-8310; Melli, Valentina/0000-0002-4778-9331; MAZZOLDI, CARLOTTA/0000-0002-2798-3030</t>
  </si>
  <si>
    <t>PNRA (Italian National Antarctic Research Program); MIUR (Ministry of Education, University and Research)</t>
  </si>
  <si>
    <t>PNRA (Italian National Antarctic Research Program); MIUR (Ministry of Education, University and Research)(Ministry of Education, Universities and Research (MIUR))</t>
  </si>
  <si>
    <t>We thank all the scientific staff, crew members and personnel aboard the RV Polarstern for their support in sampling activities. A special thank to F. Giomi for providing gonad and otolith samples of the rock cod. This study was supported by the PNRA (Italian National Antarctic Research Program) and MIUR (Ministry of Education, University and Research) grants.</t>
  </si>
  <si>
    <t>10.1007/s00300-015-1663-6</t>
  </si>
  <si>
    <t>WOS:000369067100010</t>
  </si>
  <si>
    <t>Raggio, J; Green, TGA; Sancho, LG</t>
  </si>
  <si>
    <t>Raggio, J.; Green, T. G. A.; Sancho, L. G.</t>
  </si>
  <si>
    <t>In situ monitoring of microclimate and metabolic activity in lichens from Antarctic extremes: a comparison between South Shetland Islands and the McMurdo Dry Valleys</t>
  </si>
  <si>
    <t>Antarctica; Lichens; Chlorophyll fluorescence; Microclimate; Monitoring; Adaptation strategies</t>
  </si>
  <si>
    <t>FLUORESCENCE; COMMUNITIES; ENVIRONMENT; DIVERSITY; EXCHANGE; GROWTH; CARBON</t>
  </si>
  <si>
    <t>Lichens are the dominant organisms in terrestrial Antarctic ecosystems and show a decline in species number, coverage, and growth rate from the maritime Antarctic (62 degrees S) to the McMurdo Dry Valleys (78 degrees S). While Livingston Island (maritime Antarctica) is a hot spot for lichen biodiversity, the McMurdo Dry Valleys (continental Antarctica) are known as one of the most extreme environments for life. Previous studies suggest the biodiversity gradient to be linked to water availability acting through length of active period, but no activity data are available for the Dry Valleys. The work presented here compares metabolic activity of lichens at Livingston Island and the Dry Valleys for 41/2 months from continuous monitoring that involves concurrent measurements of chlorophyll fluorescence and microclimate. The latitudinal comparison involves two contrasting habitats for plant physiological activity and microclimate. Two species of the foliose genus Umbilicaria were monitored in both regions plus one sample of the crustose Caloplaca in the Dry Valleys. The results showed a very large difference in the duration of activity over the monitoring period, and this supports the different coverage, species abundance, and growth rates already reported for lichens between both regions. Despite this large difference in activity, and in habitat conditions, analysis of the activity behaviour of the two Umbilicaria species shows interesting common features, while the crustose Caloplaca had additional strategies to improve hydration. This offers one explanation for the abundance of crustose lichens inside the Valleys, indicating better adaptation strategies to a polar desert.</t>
  </si>
  <si>
    <t>[Raggio, J.; Green, T. G. A.; Sancho, L. G.] Univ Complutense Madrid, Fac Pharm, Dept Plant Biol 2, Madrid, Spain; [Green, T. G. A.] Univ Waikato, Biol Sci, Private Bag 3105, Hamilton, New Zealand</t>
  </si>
  <si>
    <t>Complutense University of Madrid; University of Waikato</t>
  </si>
  <si>
    <t>Raggio, J (corresponding author), Univ Complutense Madrid, Fac Pharm, Dept Plant Biol 2, Madrid, Spain.</t>
  </si>
  <si>
    <t>jraggioq@farm.ucm.es</t>
  </si>
  <si>
    <t>SANCHO, LEOPOLDO/G-9120-2015; Raggio, Jose/H-4167-2015</t>
  </si>
  <si>
    <t>SANCHO, LEOPOLDO/0000-0002-4751-7475; Raggio, Jose/0000-0002-5344-1112</t>
  </si>
  <si>
    <t>Spanish Ministerio de Ciencia [CGL2006-12179-CO2-01]; New Zealand Government; New Zealand Foundation for Research, Science and Technology (FRST); Department of Biological Sciences, University of Waikato; FRST IPY</t>
  </si>
  <si>
    <t>Spanish Ministerio de Ciencia(Spanish Government); New Zealand Government; New Zealand Foundation for Research, Science and Technology (FRST)(New Zealand Foundation for Research, Science and Technology); Department of Biological Sciences, University of Waikato; FRST IPY</t>
  </si>
  <si>
    <t>This research was funded by a grant of the Spanish Ministerio de Ciencia (2007-2011) CGL2006-12179-CO2-01. We are indebted to the Spanish Antarctic program, all the staff from Unidad de Tecnologia Marina (UTM) and Juan Carlos I Spanish Antarctic Base, and also to the New Zealand Antarctic program, Antarctica New Zealand and Scott Base staff. Part of the research is in the frame of the New Zealand Latitudinal Gradient Project (LGP, www.lgp.aq) and we have to thank to the New Zealand Government the financial support and the logistics for the expedition to the Dry Valleys. The New Zealand Foundation for Research, Science and Technology (FRST) and the Department of Biological Sciences, University of Waikato provided financial support. The research was supported by the FRST IPY grant, Understanding, valuing and protecting Antarctica's unique terrestrial ecosystems: predicting bio-complexity in Dry Valley ecosystems. We also thank to Dr. Roman Turk for all his help in the field and for finding the population of Umbilicaria aprina inside Garwood Valley and to Alberto Benavent for his help with Fig. 1.</t>
  </si>
  <si>
    <t>10.1007/s00300-015-1676-1</t>
  </si>
  <si>
    <t>WOS:000369067100011</t>
  </si>
  <si>
    <t>Sadowsky, A; Ott, S</t>
  </si>
  <si>
    <t>Sadowsky, Andres; Ott, Sieglinde</t>
  </si>
  <si>
    <t>Symbiosis as a successful strategy in continental Antarctica: performance and protection of Trebouxia photosystem II in relation to lichen pigmentation</t>
  </si>
  <si>
    <t>Terrestrial ecosystems; Isolated photobionts; Photoprotection; Secondary metabolites; Photosynthesis</t>
  </si>
  <si>
    <t>COLD RESISTANCE; PLANTS; FLUORESCENCE; PHOTOBIONTS; CRYPTOGAMS; CULTURE; ALGAL; ROCK</t>
  </si>
  <si>
    <t>Lichens as symbiotic associations consisting of a fungus (the mycobiont) and a photosynthetic partner (the photobiont) dominate the terrestrial vegetation of continental Antarctica. The photobiont provides carbon nutrition for the fungus. Therefore, performance and protection of photosystem II is a key factor of lichen survival. Potentials and limitations of photobiont physiology require intense investigation to extend the knowledge on adaptation mechanisms in the lichen symbiosis and to clarify to which extent photobionts benefit from symbiosis. Isolated photobionts and entire lichen thalli have been examined. The contribution of the photobiont concerning adaptation mechanisms to the light regime and temperature conditions was examined by chlorophyll a fluorescence and pigment analysis focusing on the foliose lichen Umbilicaria decussata from North Victoria Land, continental Antarctica. No photoinhibition has been observed in the entire lichen thallus. In the isolated photobionts, photoinhibition was clearly temperature dependent. For the first time, melanin in U. decussata thalli has been proved. Though the isolated photobiont is capable of excess light protection, the results clearly show that photoprotection is significantly increased in the symbiotic state. The closely related photobiont of Pleopsidium chlorophanum, a lichen lacking melanin, showed a higher potential of carotenoid-based excess light tolerance. This fact discriminates the two photobionts of the same Trebouxia clade. Based on the results, it can be concluded that the successful adaptation of lichens to continental Antarctic conditions is in part based on the physiological potential of the photobionts. The findings provide information on the success of symbiotic life in extreme environments.</t>
  </si>
  <si>
    <t>[Sadowsky, Andres; Ott, Sieglinde] Univ Dusseldorf, Inst Bot, Univ Str 1, D-40225 Dusseldorf, Germany</t>
  </si>
  <si>
    <t>Heinrich Heine University Dusseldorf</t>
  </si>
  <si>
    <t>Ott, S (corresponding author), Univ Dusseldorf, Inst Bot, Univ Str 1, D-40225 Dusseldorf, Germany.</t>
  </si>
  <si>
    <t>andres.sadowsky@HHU.de; otts@uni-duesseldorf.de</t>
  </si>
  <si>
    <t>Studienstiftung des Deutschen Volkes; German Research Foundation (DFG) [Ot 96/15-1, SPP 1158]</t>
  </si>
  <si>
    <t>Studienstiftung des Deutschen Volkes; German Research Foundation (DFG)(German Research Foundation (DFG))</t>
  </si>
  <si>
    <t>Special thanks to Eva Posthoff for her substantial help with the photobiont cultures. Thanks are also due to the organization committee of the XIth SCAR Biology Symposium 2013, Barcelona. The first author thanks the Studienstiftung des Deutschen Volkes for financial support. The second author is grateful to the German Research Foundation (DFG) for financing the research project Ot 96/15-1 as part of the Antarctic Priority Program (SPP 1158). Special thanks are due to the BGR (Bundesanstalt fur Geologie und Rohstoffe), Andreas Laufer and Detlef Damaske for inviting the second author to the expedition GANOVEX X and logistic support. The staff of the Gondwana Station is thanked for their invaluable help. The results are included in the doctoral thesis of Andres Sadowsky. Thanks are also due to the anonymous reviewers for their helpful comments.</t>
  </si>
  <si>
    <t>10.1007/s00300-015-1677-0</t>
  </si>
  <si>
    <t>WOS:000369067100013</t>
  </si>
  <si>
    <t>Piñones, A; Hofmann, EE; Dinniman, MS; Davis, LB</t>
  </si>
  <si>
    <t>Pinones, Andrea; Hofmann, Eileen E.; Dinniman, Michael S.; Davis, L. Brynn</t>
  </si>
  <si>
    <t>Modeling the transport and fate of euphausiids in the Ross Sea</t>
  </si>
  <si>
    <t>Antarctic krill; Crystal krill; Ross Sea; Ocean circulation; Connectivity</t>
  </si>
  <si>
    <t>RANDOM-WALK MODELS; LARVAL STAGES; ICE SHELF; KRILL; SUPERBA; CRYSTALLOROPHIAS; TEMPERATURE; GROWTH; VARIABILITY; CIRCULATION</t>
  </si>
  <si>
    <t>Antarctic krill (Euphausia superba) and crystal krill (Euphausia crystallorophias), important components of the Ross Sea food web, differ in their population distribution. The objective of this study was to determine whether these differing distributions result primarily from differences in spawning locations, larval development times, and transport by the Ross Sea circulation. To address this objective, Lagrangian particle tracking experiments were used to simulate the transport of larvae of Antarctic krill and crystal krill. The particle simulations showed that regions providing inputs of Antarctic krill to the Ross Sea were along the outer shelf/slope. Crystal krill transport and retention were along the shallow banks on the outer Ross Sea shelf. Particles initialized in the inner shelf off Victoria Land showed high retention in the region south and along the Terra Nova Bay polynya, with timescales consistent with development times of crystal krill. These results suggest that the cyclonic circulation over the shelf contributes significantly to the dispersion and retention of crystal krill in parts of the inner Ross Sea continental shelf that overlaps with regions with high concentrations of krill-dependent top predators. The westward circulation along the shelf break contributes to the transport and aggregation of Antarctic krill in regions where Circumpolar Deep Water is observed on the outer continental shelf and along the shelf break. The transport pathways and connectivity obtained from this study provide a baseline for assessing the effects of projected changes in the Ross Sea circulation on the distribution of two important krill species.</t>
  </si>
  <si>
    <t>[Pinones, Andrea] Yale Univ, Dept Geol &amp; Geophys, POB 208109, New Haven, CT 06520 USA; [Hofmann, Eileen E.; Dinniman, Michael S.; Davis, L. Brynn] Old Dominion Univ, Ctr Coastal Phys Oceanog, 4111 Monarch Way,3rd Floor, Norfolk, VA 23508 USA; [Pinones, Andrea] Univ Catolica Norte, Fac Ciencias Mar, Ctr Estudios Avanzados Zonas Aridas, Ave Ossandon 877, Coquimbo, Chile</t>
  </si>
  <si>
    <t>Yale University; Old Dominion University; Universidad Catolica del Norte</t>
  </si>
  <si>
    <t>Piñones, A (corresponding author), Yale Univ, Dept Geol &amp; Geophys, POB 208109, New Haven, CT 06520 USA.;Piñones, A (corresponding author), Univ Catolica Norte, Fac Ciencias Mar, Ctr Estudios Avanzados Zonas Aridas, Ave Ossandon 877, Coquimbo, Chile.</t>
  </si>
  <si>
    <t>andrea.pinones@yale.edu</t>
  </si>
  <si>
    <t>Dinniman, Michael/0000-0001-7519-9278; Pinones, Andrea/0000-0002-1737-9016</t>
  </si>
  <si>
    <t>National Science Foundation [OCE-0622642]; National Science Foundation Office of Polar Programs [ANT-0838911, ANT-0944174]; Yale Climate and Energy Institute (YCEI) at Yale University; Directorate For Geosciences; Office of Polar Programs (OPP) [0944174] Funding Source: National Science Foundation</t>
  </si>
  <si>
    <t>National Science Foundation(National Science Foundation (NSF)); National Science Foundation Office of Polar Programs(National Science Foundation (NSF)NSF - Directorate for Geosciences (GEO)); Yale Climate and Energy Institute (YCEI) at Yale University; Directorate For Geosciences; Office of Polar Programs (OPP)(National Science Foundation (NSF)NSF - Directorate for Geosciences (GEO))</t>
  </si>
  <si>
    <t>This study was supported by the National Science Foundation Grant OCE-0622642 and by the National Science Foundation Office of Polar Programs Grants ANT-0838911 and ANT-0944174. A. Pinones is supported by the Yale Climate and Energy Institute (YCEI) at Yale University. A. Pinones also acknowledges FONDECYT/Chile 3150252. The suggestions and comments from three anonymous reviewers and the editor helped to improve and strengthen this manuscript.</t>
  </si>
  <si>
    <t>10.1007/s00300-015-1798-5</t>
  </si>
  <si>
    <t>WOS:000369067100016</t>
  </si>
  <si>
    <t>Aghmich, A; Taboada, S; Toll, L; Ballesteros, M</t>
  </si>
  <si>
    <t>Aghmich, Ahmed; Taboada, Sergi; Toll, Lluis; Ballesteros, Manuel</t>
  </si>
  <si>
    <t>First assessment of the rocky intertidal communities of Fildes Bay, King George Island (South Shetland Islands, Antarctica)</t>
  </si>
  <si>
    <t>Marine communities; Invertebrates; Abundance; Diversity</t>
  </si>
  <si>
    <t>POTTER COVE; MARINE; ASSOCIATIONS; ZONE</t>
  </si>
  <si>
    <t>Studies on Antarctic intertidal fauna are comparatively scarce compared to those from the sublittoral and the deep sea. In order to contribute to filling this gap in knowledge, during the 2006 BENTART Spanish Antarctic Expedition, we conducted a quantitative and qualitative study on the fauna inhabiting the intertidal rocky platform of Fildes (=Maxwell) Bay, King George Island (South Shetlands Archipelago). This platform is dominated in its middle and lower area by the brown algae Adenocystis utricularis, which covers ca. 100 % of the rocky surface. Three quantitative samples of 20 x 20 cm were taken in the community of A. utricularis, and one additional sample of 20 x 20 cm in the tide pools community dominated by the gigartinacean rhodophyceae Iridaea cordata. In addition, qualitative samples of invertebrates that live under the boulders were also taken. Quantitative samples yielded a total of 9950 individuals belonging to 41 species. Mollusks were the most abundant group with a total of 9522 specimens belonging to 11 species, being the gastropod Eatoniella kerguelenensis regularis the most abundant with 6763 specimens. Crustaceans were represented by 295 specimens and 7 species and annelid polychaetes with 133 specimens and 20 taxa. The Shannon diversity indexes calculated for the quantitative samples of A. utricularis ranged between 0.803 and 1.030 with values of 1.577 for the I. cordata community. Our study confirms that the intertidal area of Fildes Bay hosts a surprisingly rich community in terms of abundance and biodiversity.</t>
  </si>
  <si>
    <t>[Aghmich, Ahmed; Taboada, Sergi; Toll, Lluis; Ballesteros, Manuel] Univ Barcelona, Fac Biol, Dept Biol Anim, Avda Diagonal 643, E-08028 Barcelona, Spain</t>
  </si>
  <si>
    <t>University of Barcelona</t>
  </si>
  <si>
    <t>Ballesteros, M (corresponding author), Univ Barcelona, Fac Biol, Dept Biol Anim, Avda Diagonal 643, E-08028 Barcelona, Spain.</t>
  </si>
  <si>
    <t>mballesteros@ub.edu</t>
  </si>
  <si>
    <t>Taboada, Sergi/AAB-9390-2021; Ballesteros, Manuel/M-1664-2014</t>
  </si>
  <si>
    <t>Taboada, Sergi/0000-0003-1669-1152; Ballesteros, Manuel/0000-0001-9055-1241</t>
  </si>
  <si>
    <t>10.1007/s00300-015-1814-9</t>
  </si>
  <si>
    <t>WOS:000369067100017</t>
  </si>
  <si>
    <t>Venegas-González, A; Chagas, MP; Anholetto, CR; Alvares, CA; Roig, FA; Tomazello, M</t>
  </si>
  <si>
    <t>Venegas-Gonzalez, Alejandro; Chagas, Matheus Peres; Anholetto Junior, Claudio Roberto; Alvares, Clayton Alcarde; Alejandro Roig, Fidel; Tomazello Filho, Mario</t>
  </si>
  <si>
    <t>Sensitivity of tree ring growth to local and large-scale climate variability in a region of Southeastern Brazil</t>
  </si>
  <si>
    <t>THEORETICAL AND APPLIED CLIMATOLOGY</t>
  </si>
  <si>
    <t>TEAK TECTONA-GRANDIS; STANDARDIZED PRECIPITATION INDEX; SOUTHERN-HEMISPHERE; CAMBIAL ACTIVITY; SEASONAL PRECIPITATION; SUMMER MONSOON; TROPICAL TREES; PINUS-KESIYA; PATTERNS; RECONSTRUCTION</t>
  </si>
  <si>
    <t>We explored the relationship between tree growth in two tropical species and local and large-scale climate variability in Southeastern Brazil. Tree ring width chronologies of Tectona grandis (teak) and Pinus caribaea (Caribbean pine) trees were compared with local (Water Requirement Satisfaction Index-WRSI, Standardized Precipitation Index-SPI, and Palmer Drought Severity Index-PDSI) and large-scale climate indices that analyze the equatorial pacific sea surface temperature (Trans-Nino Index-TNI and Nino-3.4-N3.4) and atmospheric circulation variations in the Southern Hemisphere (Antarctic Oscillation-AAO). Teak trees showed positive correlation with three indices in the current summer and fall. A significant correlation between WRSI index and Caribbean pine was observed in the dry season preceding tree ring formation. The influence of large-scale climate patterns was observed only for TNI and AAO, where there was a radial growth reduction in months preceding the growing season with positive values of the TNI in teak trees and radial growth increase (decrease) during December (March) to February (May) of the previous (current) growing season with positive phase of the AAO in teak (Caribbean pine) trees. The development of a new dendroclimatological study in Southeastern Brazil sheds light to local and large-scale climate influence on tree growth in recent decades, contributing in future climate change studies.</t>
  </si>
  <si>
    <t>[Venegas-Gonzalez, Alejandro; Chagas, Matheus Peres; Tomazello Filho, Mario] Univ Sao Paulo, Coll Agr Luiz de Queiroz, Dept Forest Sci, Padua Dias Ave 11-09, BR-13418900 Piracicaba, SP, Brazil; [Anholetto Junior, Claudio Roberto] Univ Sao Paulo, CENA ESALQ, Postgrad Program Interunits Appl Ecol, Padua Dias Ave 11-09, BR-13418900 Piracicaba, SP, Brazil; [Alvares, Clayton Alcarde] Forestry Sci &amp; Res Inst IPEF, Comendador Pedro Morgante Ave 3500, BR-13415000 Piracicaba, SP, Brazil; [Alejandro Roig, Fidel] CCT CONICET Mendoza, IANIGLA, Dept Dendrochronol &amp; Environm Hist, CC 330,M5502IRA, Mendoza, Argentina</t>
  </si>
  <si>
    <t>Universidade de Sao Paulo; Universidade de Sao Paulo; Consejo Nacional de Investigaciones Cientificas y Tecnicas (CONICET); University Nacional Cuyo Mendoza</t>
  </si>
  <si>
    <t>Venegas-González, A (corresponding author), Univ Sao Paulo, Coll Agr Luiz de Queiroz, Dept Forest Sci, Padua Dias Ave 11-09, BR-13418900 Piracicaba, SP, Brazil.</t>
  </si>
  <si>
    <t>avenegasgon@gmail.com; mpchagas@gmail.com; anholettojr@usp.br; caalvares@yahoo.com.br; froig@mendoza-conicet.gob.ar; mtomazel@usp.br</t>
  </si>
  <si>
    <t>Tomazello-Filho, Mario/ABD-8077-2020; Alvares, Clayton A/B-5814-2013; VENEGAS-GONZALEZ, ALEJANDRO/AAK-1882-2020; Chagas, Matheus P/F-9628-2012</t>
  </si>
  <si>
    <t>Tomazello-Filho, Mario/0000-0002-9814-0778; VENEGAS-GONZALEZ, ALEJANDRO/0000-0003-4568-4533; Roig, Fidel Alejandro/0000-0003-0987-0486</t>
  </si>
  <si>
    <t>National Counsel of Technological and Scientific Development (CNPQ) [561910/2010-3]; National Commission for Scientific and Technological Research of Chile [CONICYT- PAI/INDUSTRIA 79090016]</t>
  </si>
  <si>
    <t>National Counsel of Technological and Scientific Development (CNPQ)(Conselho Nacional de Desenvolvimento Cientifico e Tecnologico (CNPQ)); National Commission for Scientific and Technological Research of Chile</t>
  </si>
  <si>
    <t>We thank Priscila Amaral de Sa, Priscila Garcia Geroto and Graziela Meneghel de Moraes for the field and laboratory work. We would also like to thank Dr. Silvio Ferraz for support in calculating WRSI and Dr. Clovis Angeli Sansigolo for contributions to this study, the National Counsel of Technological and Scientific Development (CNPQ) for financial support (Project 561910/2010-3), and the National Commission for Scientific and Technological Research of Chile (CONICYT- PAI/INDUSTRIA 79090016). We also thank the Department of Biosystems Engineering, from ESALQ-USP, for providing the meteorological data used in this study, and the two reviewers and associate editor for valuable comments to the manuscript.</t>
  </si>
  <si>
    <t>SPRINGER WIEN</t>
  </si>
  <si>
    <t>WIEN</t>
  </si>
  <si>
    <t>SACHSENPLATZ 4-6, PO BOX 89, A-1201 WIEN, AUSTRIA</t>
  </si>
  <si>
    <t>0177-798X</t>
  </si>
  <si>
    <t>1434-4483</t>
  </si>
  <si>
    <t>THEOR APPL CLIMATOL</t>
  </si>
  <si>
    <t>Theor. Appl. Climatol.</t>
  </si>
  <si>
    <t>10.1007/s00704-014-1351-4</t>
  </si>
  <si>
    <t>DB7RZ</t>
  </si>
  <si>
    <t>WOS:000368715000018</t>
  </si>
  <si>
    <t>Zhan, RF; Wang, YQ</t>
  </si>
  <si>
    <t>Zhan, Ruifen; Wang, Yuqing</t>
  </si>
  <si>
    <t>CFSv2-Based Statistical Prediction for Seasonal Accumulated Cyclone Energy (ACE) over the Western North Pacific</t>
  </si>
  <si>
    <t>JOURNAL OF CLIMATE</t>
  </si>
  <si>
    <t>Atm; Ocean Structure; Phenomena; Tropical cyclones; Forecasting; Climate prediction; Seasonal forecasting</t>
  </si>
  <si>
    <t>EAST-INDIAN OCEAN; INTERANNUAL VARIABILITY; TROPICAL CYCLONES; ANTARCTIC OSCILLATION; ENSO EVENTS; FORECAST; CLIMATE; GENESIS; CIRCULATION; FREQUENCY</t>
  </si>
  <si>
    <t>A hybrid dynamical-statistical model is developed for predicting the accumulated cyclone energy (ACE)a measure that can synthesize genesis number, mean life span, and intensity of tropical cyclones (TCs)in the typhoon season (June-October) over the western North Pacific (WNP) using data from both observations and seasonal forecasts of the National Centers for Environmental Prediction's (NCEP's) Climate Forecast System, version 2 (CFSv2). The model is built on the relationships between the observed ACE and the large-scale variables for the period of 1982-2010. Four predictors are selected based on both previous work in the literature and statistical analyses in this study, including vertical zonal wind shear over the equatorial western North Pacific (Ushear), sea surface temperature (SST) gradient (SSTG) between the southwestern Pacific (SWP) and the western Pacific warm pool, Nino-3.4 SST, and SWP SST. Based on the cross validation, the hybrid model is finally constructed with the combination of the summer Nino-3.4 and SWP SST at the 4-to-2-month lead (January-March) and the summer Ushear and the April SSTG at the 1-to-0-month lead (April-May). The hybrid model is shown to be skillful in predicting WNP seasonal ACE starting from January, with the correlation coefficient ranging between 0.58 and 0.81 and the root-mean-square error ranging between 1.26 and 0.91 (scaled by 10(5) m(2) s(-2)) initiated from January to May. The prediction experiments for 2011-13 using the hybrid dynamical-statistical model showed better skill and longer leads than that using the pure statistical models.</t>
  </si>
  <si>
    <t>[Zhan, Ruifen] China Meteorol Adm, Shanghai Typhoon Inst, Shanghai, Peoples R China; [Wang, Yuqing] Univ Hawaii Manoa, Sch Ocean &amp; Earth Sci &amp; Technol, Int Pacific Res Ctr, Honolulu, HI USA; [Wang, Yuqing] Univ Hawaii Manoa, Sch Ocean &amp; Earth Sci &amp; Technol, Dept Meteorol, Honolulu, HI USA</t>
  </si>
  <si>
    <t>China Meteorological Administration; University of Hawaii System; University of Hawaii Manoa; University of Hawaii System; University of Hawaii Manoa</t>
  </si>
  <si>
    <t>Zhan, RF (corresponding author), Shanghai Typhoon Inst, 166 Puxi Rd, Shanghai 200030, Peoples R China.</t>
  </si>
  <si>
    <t>zhanrf@mail.typhoon.gov.cn</t>
  </si>
  <si>
    <t>Wang, Yuqing/H-4515-2014; Wang, yuqing/HIR-1604-2022</t>
  </si>
  <si>
    <t>National Basic Research Program 973 [2012CB956003]; China NSFC [41375093, 41475082, 41375098]; Youth Elite Project of CMA</t>
  </si>
  <si>
    <t>National Basic Research Program 973(National Basic Research Program of China); China NSFC(National Natural Science Foundation of China (NSFC)); Youth Elite Project of CMA</t>
  </si>
  <si>
    <t>The authors are grateful to Dr. Xun Li for the helpful comments on data processing. We also thank three anonymous reviewers for their constructive comments and suggestions. This study was supported by the National Basic Research Program 973 (Grant 2012CB956003) and the China NSFC Grants 41375093, 41475082, and 41375098. R. Zhan was partly supported by the Youth Elite Project of CMA.</t>
  </si>
  <si>
    <t>AMER METEOROLOGICAL SOC</t>
  </si>
  <si>
    <t>BOSTON</t>
  </si>
  <si>
    <t>45 BEACON ST, BOSTON, MA 02108-3693 USA</t>
  </si>
  <si>
    <t>0894-8755</t>
  </si>
  <si>
    <t>1520-0442</t>
  </si>
  <si>
    <t>J CLIMATE</t>
  </si>
  <si>
    <t>J. Clim.</t>
  </si>
  <si>
    <t>10.1175/JCLI-D-15-0059.1</t>
  </si>
  <si>
    <t>DB6OH</t>
  </si>
  <si>
    <t>WOS:000368633800002</t>
  </si>
  <si>
    <t>Kohyama, T; Hartmann, DL</t>
  </si>
  <si>
    <t>Kohyama, Tsubasa; Hartmann, Dennis L.</t>
  </si>
  <si>
    <t>Antarctic Sea Ice Response to Weather and Climate Modes of Variability</t>
  </si>
  <si>
    <t>Circulation; Dynamics; Annular mode; Antarctic Oscillation; ENSO; Planetary waves; Rossby waves; Stationary waves</t>
  </si>
  <si>
    <t>ATMOSPHERE; TRENDS; PACIFIC; IMPACTS; OCEAN; ENSO</t>
  </si>
  <si>
    <t>The relationship between climate modes and Antarctic sea ice is explored by separating the variability into intraseasonal, interannual, and decadal time scales. Cross-spectral analysis shows that geopotential height and Antarctic sea ice extent are most coherent at periods between about 20 and 40 days (the intraseasonal time scale). In this period range, where the atmospheric circulation and the sea ice extent are most tightly coupled, sea ice variability responds strongly to Rossby waves with the structure of the Pacific-South American (PSA) pattern. The PSA pattern in this time scale is not directly related to El Nino-Southern Oscillation (ENSO) or the southern annular mode (SAM), which have received much attention for explaining Antarctic sea ice variability. On the interannual time scale, ENSO and SAM are important, but a large fraction of sea ice variance can also be explained by Rossby wave-like structures in the Drake Passage region. After regressing out the sea ice extent variability associated with ENSO, the observed positive sea ice trends in Ross Sea and Indian Ocean during the satellite era become statistically insignificant. Regressing out SAM makes the sea ice trend in the Indian Ocean insignificant. Thus, the positive trends in sea ice in the Ross Sea and the Indian Ocean sectors may be explained by the variability and decadal trends of known interannual climate modes.</t>
  </si>
  <si>
    <t>[Kohyama, Tsubasa; Hartmann, Dennis L.] Univ Washington, Dept Atmospher Sci, Box 351640, Seattle, WA 98195 USA</t>
  </si>
  <si>
    <t>University of Washington; University of Washington Seattle</t>
  </si>
  <si>
    <t>Kohyama, T (corresponding author), Univ Washington, Dept Atmospher Sci, Box 351640, Seattle, WA 98195 USA.</t>
  </si>
  <si>
    <t>kohyama@uw.edu</t>
  </si>
  <si>
    <t>Kohyama, Tsubasa/Q-6214-2017</t>
  </si>
  <si>
    <t>Kohyama, Tsubasa/0000-0002-5606-2062</t>
  </si>
  <si>
    <t>National Science Foundation (NSF) [AGS-0960497]; Takenaka Ikueikai Scholarship Society; Iizuka Takeshi Scholarship Foundation; NSF [AGS-1122989]; Directorate For Geosciences; Div Atmospheric &amp; Geospace Sciences [1549579] Funding Source: National Science Foundation; Directorate For Geosciences; Div Atmospheric &amp; Geospace Sciences [0960497] Funding Source: National Science Foundation</t>
  </si>
  <si>
    <t>National Science Foundation (NSF)(National Science Foundation (NSF)); Takenaka Ikueikai Scholarship Society; Iizuka Takeshi Scholarship Foundation; NSF(National Science Foundation (NSF)); Directorate For Geosciences; Div Atmospheric &amp; Geospace Sciences(National Science Foundation (NSF)NSF - Directorate for Geosciences (GEO)); Directorate For Geosciences; Div Atmospheric &amp; Geospace Sciences(National Science Foundation (NSF)NSF - Directorate for Geosciences (GEO))</t>
  </si>
  <si>
    <t>The work was supported by the National Science Foundation (NSF) under Grant AGS-0960497 and the first author's graduate work is also supported by Takenaka Ikueikai Scholarship Society, Iizuka Takeshi Scholarship Foundation, and the NSF under Grant AGS-1122989. We are also grateful to Christopher Bretherton, Cecilia Bitz, Kyle Armour, Casey Hilgenbrink, James Renwick, and two anonymous reviewers for their helpful comments and suggestions.</t>
  </si>
  <si>
    <t>10.1175/JCLI-D-15-0301.1</t>
  </si>
  <si>
    <t>DB6QA</t>
  </si>
  <si>
    <t>WOS:000368638600001</t>
  </si>
  <si>
    <t>Roop, HA; Levy, R; Dunbar, GB; Vandergoes, MJ; Howarth, J; Fitzsimons, S; Moon, H; Zammit, C; Ditchburn, R; Baisden, T; Yoon, HI</t>
  </si>
  <si>
    <t>Roop, Heidi A.; Levy, Richard; Dunbar, Gavin B.; Vandergoes, Marcus J.; Howarth, Jamie; Fitzsimons, Sean; Moon, Heung Soo; Zammit, Christian; Ditchburn, Robert; Baisden, Troy; Yoon, Ho Il</t>
  </si>
  <si>
    <t>A hydroclimate-proxy model based on sedimentary facies in an annually laminated sequence from Lake Ohau, South Island, New Zealand</t>
  </si>
  <si>
    <t>JOURNAL OF PALEOLIMNOLOGY</t>
  </si>
  <si>
    <t>Varves; Southern Hemisphere; Hydroclimate; Stratigraphy; Complexity</t>
  </si>
  <si>
    <t>HOLOCENE CLIMATE VARIABILITY; SUSPENDED SEDIMENT; BRITISH-COLUMBIA; RECORD; RAINFALL; GLACIER; RIVER; ALPS; AUCKLAND; EROSION</t>
  </si>
  <si>
    <t>Annually laminated sediments collected from Lake Ohau, New Zealand offer an opportunity to generate a high-resolution paleoclimate record for the Southern Hemisphere mid-latitudes. Correlation between regional precipitation and synoptic climate indices like the Southern Annular Mode, paired with a correlation between Ohau catchment precipitation, lake inflow and suspended sediment yield suggest that the Lake Ohau varves are a potentially powerful tool for estimating the amplitude, timing and interdependence of different climate modes operating in the Southern Hemisphere mid-latitudes over time. A robust chronology and sound climate-proxy model are fundamental requirements for all high-resolution paleoenvironmental records. Here we present a chronology derived from layer counts, and Cs-137 and Pb-210 ages for the top 60 cm of sediments from the distal basin of Lake Ohau that confirm the varved natured of the sedimentary sequence. Sedimentary facies of different varve motifs are used to develop a hydroclimate-proxy model which links stratigraphy to seasonal hydrology. To establish this relationship we use a model accuracy statistic, which shows a quantitative difference between the annual hydrographs associated with each of three primary varve motifs. Distribution of above average inflow events points to summer and autumn hydrologic regimes as the primary control on the deposition of different motifs. This relationship between varve characteristics and hydrology will serve as a tool to reconstruct lake inflow, and by extension precipitation, on an annual basis throughout the late-Holocene for the South Island of New Zealand.</t>
  </si>
  <si>
    <t>[Roop, Heidi A.; Levy, Richard; Vandergoes, Marcus J.; Howarth, Jamie; Ditchburn, Robert; Baisden, Troy] GNS Sci, POB 30368, Lower Hutt 5040, New Zealand; [Roop, Heidi A.; Dunbar, Gavin B.] Victoria Univ Wellington, Antarctic Res Ctr, POB 600, Wellington 6140, New Zealand; [Fitzsimons, Sean] Univ Otago, Dept Geog, 362 Leith St, Dunedin 9016, New Zealand; [Moon, Heung Soo; Yoon, Ho Il] Korea Polar Res Inst, 26 Songdomirae Ro, Inchon 406840, South Korea; [Zammit, Christian] Natl Inst Water &amp; Atmosphere, POB 8602, Christchurch 8011, New Zealand</t>
  </si>
  <si>
    <t>GNS Science - New Zealand; Victoria University Wellington; University of Otago; Korea Institute of Ocean Science &amp; Technology (KIOST); Korea Polar Research Institute (KOPRI); National Institute of Water &amp; Atmospheric Research (NIWA) - New Zealand</t>
  </si>
  <si>
    <t>Roop, HA (corresponding author), GNS Sci, POB 30368, Lower Hutt 5040, New Zealand.</t>
  </si>
  <si>
    <t>roop.heidi@gmail.com; R.Levy@gns.cri.nz; Gavin.Dunbar@vuw.ac.nz; M.Vandergoes@gns.cri.nz; J.Howarth@gns.cri.nz; sjf@geography.otago.ac.nz; jepy@kopri.re.kr; Christian.Zammit@niwa.co.nz; R.Ditchburn@gns.cri.nz; T.Baisden@gns.cri.nz; hiyoon@kopri.re.kr</t>
  </si>
  <si>
    <t>Baisden, Troy/B-9831-2008; Levy, Richard H/E-2477-2011</t>
  </si>
  <si>
    <t>Baisden, Troy/0000-0003-1814-1306; Levy, Richard/0000-0002-8783-0167; Howarth, Jamie/0000-0003-4365-0292</t>
  </si>
  <si>
    <t>GNS Science Global Change through Time Program, Sarah Beanland Memorial Scholarship, ANZICE Program [VICX0704]; Royal Society of New Zealand Marsden Fund [GNS1302]; KOPRI Project [PP15010]</t>
  </si>
  <si>
    <t>GNS Science Global Change through Time Program, Sarah Beanland Memorial Scholarship, ANZICE Program; Royal Society of New Zealand Marsden Fund(Royal Society of New ZealandMarsden Fund (NZ)); KOPRI Project(Korea Polar Research Institute of Marine Research Placement (KOPRI))</t>
  </si>
  <si>
    <t>Financial support was provided through the GNS Science Global Change through Time Program, Sarah Beanland Memorial Scholarship, ANZICE Program (VICX0704), Royal Society of New Zealand Marsden Fund (GNS1302), and KOPRI Project #PP15010. Thanks to Brian Anderson, Lionel Carter, Andrew Lorrey, Christian Ohlendorf and Peter Neff for numerous scientific discussions and ongoing interest in the Lake Ohau Project. We would like to thank the staff at Meridian Energy Ltd. and the University of Otago Marine Sciences Department for logistical support and two anonymous reviewers whose feedback greatly improved the manuscript. Sincere thanks to Chris and Rae Spiers for their hospitality and large workspace at the Killin Barn, and the Inkersell family at Lake Ohau Station for land access and continuing project support.</t>
  </si>
  <si>
    <t>VAN GODEWIJCKSTRAAT 30, 3311 GZ DORDRECHT, NETHERLANDS</t>
  </si>
  <si>
    <t>0921-2728</t>
  </si>
  <si>
    <t>1573-0417</t>
  </si>
  <si>
    <t>J PALEOLIMNOL</t>
  </si>
  <si>
    <t>J. Paleolimn.</t>
  </si>
  <si>
    <t>10.1007/s10933-015-9853-3</t>
  </si>
  <si>
    <t>Environmental Sciences; Geosciences, Multidisciplinary; Limnology</t>
  </si>
  <si>
    <t>Environmental Sciences &amp; Ecology; Geology; Marine &amp; Freshwater Biology</t>
  </si>
  <si>
    <t>DB6QC</t>
  </si>
  <si>
    <t>WOS:000368638900001</t>
  </si>
  <si>
    <t>Garabato, ACN; Polzin, KL; Ferrari, R; Zika, JD; Forryan, A</t>
  </si>
  <si>
    <t>Garabato, Alberto C. Naveira; Polzin, Kurt L.; Ferrari, Raffaele; Zika, Jan D.; Forryan, Alexander</t>
  </si>
  <si>
    <t>A Microscale View of Mixing and Overturning across the Antarctic Circumpolar Current</t>
  </si>
  <si>
    <t>JOURNAL OF PHYSICAL OCEANOGRAPHY</t>
  </si>
  <si>
    <t>SOUTHERN-OCEAN; INTERNAL WAVES; EDDY FLUXES; CIRCULATION; TOPOGRAPHY; DISSIPATION; JETS; SATELLITE; DIFFUSION; TRANSPORT</t>
  </si>
  <si>
    <t>The relative roles of isoneutral stirring by mesoscale eddies and dianeutral stirring by small-scale turbulence in setting the large-scale temperature-salinity relation of the Southern Ocean against the action of the overturning circulation are assessed by analyzing a set of shear and temperature microstructure measurements across Drake Passage in a triple decomposition framework. It is shown that a picture of mixing and overturning across a region of the Antarctic Circumpolar Current (ACC) may be constructed from a relatively modest number of microstructure profiles. The rates of isoneutral and dianeutral stirring are found to exhibit distinct, characteristic, and abrupt variations: most notably, a one to two orders of magnitude suppression of isoneutral stirring in the upper kilometer of the ACC frontal jets and an order of magnitude intensification of dianeutral stirring in the subpycnocline and deepest layers of the ACC. These variations balance an overturning circulation with meridional flows of O(1) mm s(-1) across the ACC's mean thermohaline structure. Isoneutral and dianeutral stirring play complementary roles in balancing the overturning, with isoneutral processes dominating in intermediate waters and the Upper Circumpolar Deep Water and dianeutral processes prevailing in lighter and denser layers.</t>
  </si>
  <si>
    <t>[Garabato, Alberto C. Naveira; Zika, Jan D.; Forryan, Alexander] Univ Southampton, Natl Oceanog Ctr, Southampton SO14 3ZH, Hants, England; [Polzin, Kurt L.] Woods Hole Oceanog Inst, Woods Hole, MA 02543 USA; [Ferrari, Raffaele] MIT, 77 Massachusetts Ave, Cambridge, MA 02139 USA</t>
  </si>
  <si>
    <t>University of Southampton; NERC National Oceanography Centre; Woods Hole Oceanographic Institution; Massachusetts Institute of Technology (MIT)</t>
  </si>
  <si>
    <t>Garabato, ACN (corresponding author), Univ Southampton, Natl Oceanog Ctr, Southampton SO14 3ZH, Hants, England.</t>
  </si>
  <si>
    <t>acng@noc.soton.ac.uk</t>
  </si>
  <si>
    <t>Garabato, Alberto Naveira/AAQ-1114-2020</t>
  </si>
  <si>
    <t>Garabato, Alberto Naveira/0000-0001-6071-605X; Zika, Jan/0000-0003-3462-3559</t>
  </si>
  <si>
    <t>U.K. Natural Environment Research Council (NERC); U.S. National Science Foundation (NSF); Philip Leverhulme Prize; Royal Society; Wolfson Foundation; NERC Research Fellowship; Directorate For Geosciences; Division Of Ocean Sciences [1233832] Funding Source: National Science Foundation</t>
  </si>
  <si>
    <t>U.K. Natural Environment Research Council (NERC)(UK Research &amp; Innovation (UKRI)Natural Environment Research Council (NERC)); U.S. National Science Foundation (NSF)(National Science Foundation (NSF)); Philip Leverhulme Prize(Leverhulme Trust); Royal Society(Royal Society); Wolfson Foundation; NERC Research Fellowship(UK Research &amp; Innovation (UKRI)Natural Environment Research Council (NERC)); Directorate For Geosciences; Division Of Ocean Sciences(National Science Foundation (NSF)NSF - Directorate for Geosciences (GEO))</t>
  </si>
  <si>
    <t>The DIMES experiment was funded by the U.K. Natural Environment Research Council (NERC) and the U.S. National Science Foundation (NSF). ACNG acknowledges the support of a Philip Leverhulme Prize, the Royal Society, and the Wolfson Foundation. JDZ acknowledges the support of a NERC Research Fellowship.</t>
  </si>
  <si>
    <t>0022-3670</t>
  </si>
  <si>
    <t>1520-0485</t>
  </si>
  <si>
    <t>J PHYS OCEANOGR</t>
  </si>
  <si>
    <t>J. Phys. Oceanogr.</t>
  </si>
  <si>
    <t>10.1175/JPO-D-15-0025.1</t>
  </si>
  <si>
    <t>DB6MC</t>
  </si>
  <si>
    <t>hybrid, Green Submitted</t>
  </si>
  <si>
    <t>WOS:000368628100001</t>
  </si>
  <si>
    <t>de Verdière, AC; Ollitrault, M</t>
  </si>
  <si>
    <t>de Verdiere, Alain Colin; Ollitrault, Michel</t>
  </si>
  <si>
    <t>A Direct Determination of the World Ocean Barotropic Circulation</t>
  </si>
  <si>
    <t>NORTH-ATLANTIC CIRCULATION; ANTARCTIC CIRCUMPOLAR CURRENT; TOTAL GEOSTROPHIC CIRCULATION; GENERAL-CIRCULATION; GULF-STREAM; VOLUME TRANSPORT; FLOW PATTERNS; ABYSSAL CIRCULATION; POTENTIAL VORTICITY; DEPTH CIRCULATION</t>
  </si>
  <si>
    <t>The time-mean Argo float displacements and the World Ocean Atlas 2009 temperature-salinity climatology are used to obtain the total, top to bottom, mass transports. Outside of an equatorial band, the total transports are the sum of the vertical integrals of geostrophic- and wind-driven Ekman currents. However, these transports are generally divergent, and to obtain a mass conserving circulation, a Poisson equation is solved for the streamfunction with Dirichlet boundary conditions at solid boundaries. The value of the streamfunction on islands is also part of the unknowns. This study presents and discusses an energetic circulation in three basins: the North Atlantic, the North Pacific, and the Southern Ocean. This global method leads to new estimations of the time-mean western Eulerian boundary current transports maxima of 97 Sverdrups (Sv; 1 Sv 10(6) m(3) s(-1)) at 60 degrees W for the Gulf Stream, 84 Sv at 157 degrees E for the Kuroshio, 80 Sv for the Agulhas Current between 32 degrees and 36 degrees S, and finally 175 Sv for the Antarctic Circumpolar Current at Drake Passage. Although the large-scale structure and boundary of the interior gyres is well predicted by the Sverdrup relation, the transports derived from the wind stress curl are lower than the observed transports in the interior by roughly a factor of 2, suggesting an important contribution of the bottom torques. With additional Argo displacement data, the errors caused by the presence of remaining transient terms at the 1000-db reference level will continue to decrease, allowing this method to produce increasingly accurate results in the future.</t>
  </si>
  <si>
    <t>[de Verdiere, Alain Colin] Univ Bretagne Occidentale, Lab Phys Oceans, Brest, France; [Ollitrault, Michel] IFREMER, Ctr Brest, Lab Phys Oceans, Plouzane, France</t>
  </si>
  <si>
    <t>Universite de Bretagne Occidentale; Centre National de la Recherche Scientifique (CNRS); Ifremer; Institut de Recherche pour le Developpement (IRD); Centre National de la Recherche Scientifique (CNRS); Ifremer; Institut de Recherche pour le Developpement (IRD); Universite de Bretagne Occidentale</t>
  </si>
  <si>
    <t>de Verdière, AC (corresponding author), Univ Bretagne Occidentale, Lab Phys Oceans, CS 93837, F-29238 Brest, France.</t>
  </si>
  <si>
    <t>acolindv@univ-brest.fr</t>
  </si>
  <si>
    <t>10.1175/JPO-D-15-0046.1</t>
  </si>
  <si>
    <t>WOS:000368628100002</t>
  </si>
  <si>
    <t>Yang, SG; Zhang, BC; Fang, HX; Liu, JM; Liu, JJ; Li, CY; Hu, HQ; Pan, YS; Zhou, XK</t>
  </si>
  <si>
    <t>Yang Sheng-Gao; Zhang Bei-Chen; Fang Han-Xian; Liu Jun-Ming; Liu Jian-Jun; Li Chong-Yin; Hu Hong-Qiao; Pan Ye-Sen; Zhou Xiao-Ke</t>
  </si>
  <si>
    <t>Study on F-lacuna characteristics at Zhongshan station, Antarctic</t>
  </si>
  <si>
    <t>CHINESE JOURNAL OF GEOPHYSICS-CHINESE EDITION</t>
  </si>
  <si>
    <t>F-lacuna; Polar ionosphere; Ionogram</t>
  </si>
  <si>
    <t>IONOSPHERE; REGION</t>
  </si>
  <si>
    <t>As a typical phenomenon on ionograms observed at high latitudes, F-lacuna usually occurs in summer daytime. It manifests itself as partial or total disappearance of normal ionogram traces, which usually prevents the determination of ionospheric parameters from ionograms. Due to the sparse data in polar region, its mechanism is still controversial. The ionograms recorded by Zhongshan Digisonde 4D were used to carry out this study. According to the missing traces concerning either F1 region, F2 region, or the whole F region, the F-lacuna can be classified into three types, i.e., F1-lacuna, F2-lacuna and total lacuna, respectively. This paper concentrated on F2-lacuna mechanism. Based on the F-lacuna events with manual judgments, we studied all three types of F-lacuna occurrence rate in different solar wind velocity conditions, then focused on the simultaneous observations from GPS TEC, HF radar and DMSP satellite, during a F2-lacuna case. The statistical on the daily F-lacuna occurrence frequency relation to averaged solar wind velocity indicates that F2-lacuan occurs more frequent with solar wind velocity increasing. The observations show that a substorm occurred during the F2-lacuna period. In the mean time, the in-situ TEC decreases, Bragg back scattering of Super DARN HF radar enhances, but the particle precipitation is not obvious. Through the statistical and case study, we analyzed F2-lacuna occurrence mechanism. On one hand, the heating effect from F-B instability triggered by substorm enhances the O+ recombination rate of upper F region, leading to the decreased electron density of F2 region and subsequently the decreased TEC. On the other hand, the F-B instability disturbance produces small-scale irregularities along the field aligned observed by SuperDARN HF radar.</t>
  </si>
  <si>
    <t>[Yang Sheng-Gao; Fang Han-Xian; Li Chong-Yin; Zhou Xiao-Ke] PLA Univ Sci &amp; Tech, Inst Meteorol &amp; Ocean, Nanjing 211101, Jiangsu, Peoples R China; [Yang Sheng-Gao; Zhang Bei-Chen; Liu Jun-Ming; Liu Jian-Jun; Hu Hong-Qiao] Polar Res Inst China, Shanghai 200136, Peoples R China; [Li Chong-Yin] Chinese Acad Sci, Beijing 100029, Peoples R China; [Pan Ye-Sen] Unit 96631 PLA, Beijing 102208, Peoples R China</t>
  </si>
  <si>
    <t>Army Engineering University of PLA; Polar Research Institute of China; Chinese Academy of Sciences</t>
  </si>
  <si>
    <t>Yang, SG (corresponding author), PLA Univ Sci &amp; Tech, Inst Meteorol &amp; Ocean, Nanjing 211101, Jiangsu, Peoples R China.</t>
  </si>
  <si>
    <t>shenggao_yang@163.com; zhangbeichen@pric.org.cn</t>
  </si>
  <si>
    <t>Zhang, Beichen/0000-0002-0927-9568</t>
  </si>
  <si>
    <t>0001-5733</t>
  </si>
  <si>
    <t>CHINESE J GEOPHYS-CH</t>
  </si>
  <si>
    <t>Chinese J. Geophys.-Chinese Ed.</t>
  </si>
  <si>
    <t>10.6038/cjg20160102</t>
  </si>
  <si>
    <t>DA8IR</t>
  </si>
  <si>
    <t>WOS:000368048800002</t>
  </si>
  <si>
    <t>Li, F; Yuan, LX; Zhang, SK; Yang, YD; E, DC; Hao, WF</t>
  </si>
  <si>
    <t>Li Fei; Yuan Le-Xian; Zhang Sheng-Kai; Yang Yuan-De; E Dong-Chen; Hao Wei-Feng</t>
  </si>
  <si>
    <t>Mass change of the Antarctic ice sheet derived from ICESat laser altimetry</t>
  </si>
  <si>
    <t>Antarctic ice sheet; Mass balance; ICESat; Repeat orbit</t>
  </si>
  <si>
    <t>DIGITAL ELEVATION MODEL; SEA-LEVEL RISE; RADAR; MISSION; BALANCE</t>
  </si>
  <si>
    <t>The mass change of the Antarctica ice sheet reflects global climate change, and can influence the global sea level directly. Since 2003 the ice, cloud and land elevation satellite (ICESat) laser altimetry mission has provided satellite altimetry data over the Antarctic up to 86 degrees S. One of the primary missions of ICESat is to determine the change in the polar ice sheet and to assess the impact on global sea level. To better understand the effect of Antarctic ice sheet on the global sea level, this work uses the ICESat data to analyze the mass change of the Antarctic ice sheet. There are two methods for calculating the mass change of the Antarctic ice sheet using altimetry satellite data: cross point method and repeat track method. The repeat track method seems more commonly applied, in which the unmeasured topography between near repeat tracks need to be considered when comparing elevations from different tracks. We applied slope corrections between the different tracks to restrict all the different tracks to one reference track, and then calculated the surface elevation changes of the Antarctic ice sheet. The mass change of the Antarctic ice sheet was estimated by using the ice density model. The mass balance of Antarctic ice sheet was calculated to be -44 +/- 21 Gt/a including -26 +/- 6 Gt/a for West Antarctica and -18 +/- 20 Gt/a for East Antarctica using 5-year ICESat altimetry data from October 2003 to December 2008, and the contribution of the Antarctic ice sheet loss to global sea level is about 0.12 mm . a(-1). The comparison of our results with previous work shows a strong agreement. The results show that the mass losing of the Antarctic ice sheet is mainly concentrated near the Amundsen Sea in West Antarctica and Poinsett Cape in East Antarctica.</t>
  </si>
  <si>
    <t>[Li Fei; Yuan Le-Xian; Zhang Sheng-Kai; Yang Yuan-De; E Dong-Chen; Hao Wei-Feng] Wuhan Univ, Chinese Antarctic Ctr Surveying &amp; Mapping, Wuhan 430079, Peoples R China</t>
  </si>
  <si>
    <t>Li, F (corresponding author), Wuhan Univ, Chinese Antarctic Ctr Surveying &amp; Mapping, Wuhan 430079, Peoples R China.</t>
  </si>
  <si>
    <t>fli@whu.edu.cn; zskai@whu.edu.cn</t>
  </si>
  <si>
    <t>10.6038/cjg20160108</t>
  </si>
  <si>
    <t>WOS:000368048800008</t>
  </si>
  <si>
    <t>Poggere, GC; Melo, VF; Francelino, MR; Schaefer, CE; Simas, FN</t>
  </si>
  <si>
    <t>Poggere, G. C.; Melo, V. F.; Francelino, M. R.; Schaefer, C. E.; Simas, F. N.</t>
  </si>
  <si>
    <t>Characterization of products of the early stages of pedogenesis in ornithogenic soil from Maritime Antarctica</t>
  </si>
  <si>
    <t>EUROPEAN JOURNAL OF SOIL SCIENCE</t>
  </si>
  <si>
    <t>ORGANIC-MATTER; ALUMINUM; ADSORPTION; CRYOSOLS; DISSOLUTION; EXTRACTION; ALLOPHANE; MINERALS; LEAD</t>
  </si>
  <si>
    <t>Limited pedogenesis on the Antarctic continent results in unusual, but important, short-range order inorganic phases and organo-mineral complexes (both with broad peaks from X-ray diffraction) in the clay fraction, which can be studied by sequential chemical extractions. We aimed to develop a better sequential extraction procedure to obtain more detailed discrimination of the short-range order phases (SROP) of the clay fraction of soil from Maritime Antarctica. Selected chemical properties of the soil and clay fraction were related to different phases of these products. The total amount of SROP and organo-mineral complexes in the clay fraction ranged from 15.1 to 43.9%, with greater occurrence in ornithogenic soil. The continuous incorporation of guano from penguins into the soil profile has contributed to increasing amounts of organo-mineral complexes. Short-range order phases have an important effect on soil chemical properties, such as an increase in non-exchangeable acidity, quantity of hydroxyl groups on the surface of the colloidal fraction, the buffering capacity of Al3+ from non-exchangeable and structural forms of the element, and a decrease in soil CEC. The greater number of sequential extraction steps enabled the separation of SROP and organo-mineral complexes into two phases of stability, with a clear predominance of the more soluble forms.</t>
  </si>
  <si>
    <t>[Poggere, G. C.; Melo, V. F.] Univ Fed Parana, Dept Soil Sci, BR-80035070 Curitiba, Parana, Brazil; [Francelino, M. R.; Schaefer, C. E.; Simas, F. N.] Univ Fed Vicosa, Dept Soil Sci, BR-36570000 Vicosa, MG, Brazil</t>
  </si>
  <si>
    <t>Universidade Federal do Parana; Universidade Federal de Vicosa</t>
  </si>
  <si>
    <t>Melo, VF (corresponding author), Univ Fed Parana, Dept Soil Sci, Rua Funcionarios 1540, BR-80035070 Curitiba, Parana, Brazil.</t>
  </si>
  <si>
    <t>melovander@yahoo.com.br</t>
  </si>
  <si>
    <t>Francelino, Marcio Rocha/AAS-4224-2020; Schaefer, Carlos Ernesto/AAY-4977-2020; Melo, Vander/I-4135-2014</t>
  </si>
  <si>
    <t>Francelino, Marcio Rocha/0000-0001-8837-1372; Melo, Vander/0000-0003-0761-1536; Ernesto Goncalves Reynaud Schaefer, Carlos/0000-0001-7060-1598; Ernesto Goncalves Reynaud Schaefer, Carlos/0000-0001-5735-3227; Poggere, Giovana Clarice/0000-0003-2434-9875</t>
  </si>
  <si>
    <t>1351-0754</t>
  </si>
  <si>
    <t>1365-2389</t>
  </si>
  <si>
    <t>EUR J SOIL SCI</t>
  </si>
  <si>
    <t>Eur. J. Soil Sci.</t>
  </si>
  <si>
    <t>10.1111/ejss.12307</t>
  </si>
  <si>
    <t>Soil Science</t>
  </si>
  <si>
    <t>Agriculture</t>
  </si>
  <si>
    <t>DA8TR</t>
  </si>
  <si>
    <t>WOS:000368079600010</t>
  </si>
  <si>
    <t>Odeyemi, OA; Sani, NA</t>
  </si>
  <si>
    <t>Odeyemi, Olumide A.; Sani, Norrakiah A.</t>
  </si>
  <si>
    <t>The prevention of Cronobacter infections in hospital neonatal intensive care units</t>
  </si>
  <si>
    <t>JOURNAL OF INFECTION AND PUBLIC HEALTH</t>
  </si>
  <si>
    <t>Crononbacter spp; Microbial food safety; Neonatal infections</t>
  </si>
  <si>
    <t>POWDERED INFANT FORMULA; ENTERAL FEEDING TUBES; ENTEROBACTER-SAKAZAKII; MOLECULAR CHARACTERIZATION; BIOFILM FORMATION; STAINLESS-STEEL; MILK; SPP.; PREVALENCE; PRODUCTS</t>
  </si>
  <si>
    <t>[Odeyemi, Olumide A.; Sani, Norrakiah A.] Natl Univ Malaysia, Fac Sci &amp; Technol, Sch Chem Sci &amp; Food Technol, Food Safety &amp; Qual Res Grp, Ukm Bangi 43600, Malaysia; [Odeyemi, Olumide A.] Univ Tasmania, Inst Marine &amp; Antarctic Studies, Ecol &amp; Biodivers, Hobart, Tas 7001, Australia; [Odeyemi, Olumide A.] ACeFoRE Int, Ife, Osun State, Nigeria</t>
  </si>
  <si>
    <t>Universiti Kebangsaan Malaysia; University of Tasmania</t>
  </si>
  <si>
    <t>Odeyemi, OA (corresponding author), Natl Univ Malaysia, Fac Sci &amp; Technol, Sch Chem Sci &amp; Food Technol, Food Safety &amp; Qual Res Grp, Ukm Bangi, Malaysia.</t>
  </si>
  <si>
    <t>oluodeyemi@gmail.com</t>
  </si>
  <si>
    <t>Odeyemi, Olumide A/ABE-3206-2021</t>
  </si>
  <si>
    <t>Odeyemi, Olumide A/0000-0002-6041-5027</t>
  </si>
  <si>
    <t>ELSEVIER SCIENCE LONDON</t>
  </si>
  <si>
    <t>84 THEOBALDS RD, LONDON WC1X 8RR, ENGLAND</t>
  </si>
  <si>
    <t>1876-0341</t>
  </si>
  <si>
    <t>1876-035X</t>
  </si>
  <si>
    <t>J INFECT PUBLIC HEAL</t>
  </si>
  <si>
    <t>J. Infect. Public Health</t>
  </si>
  <si>
    <t>10.1016/j.jiph.2015.06.012</t>
  </si>
  <si>
    <t>Public, Environmental &amp; Occupational Health; Infectious Diseases</t>
  </si>
  <si>
    <t>DB1JP</t>
  </si>
  <si>
    <t>WOS:000368264800003</t>
  </si>
  <si>
    <t>Kristoffersen, M; Andersen, T; Elburg, MA; Watkeys, MK</t>
  </si>
  <si>
    <t>Kristoffersen, M.; Andersen, T.; Elburg, M. A.; Watkeys, M. K.</t>
  </si>
  <si>
    <t>Detrital zircon in a supercontinental setting: locally derived and far-transported components in the Ordovician Natal Group, South Africa</t>
  </si>
  <si>
    <t>JOURNAL OF THE GEOLOGICAL SOCIETY</t>
  </si>
  <si>
    <t>U-PB GEOCHRONOLOGY; HF ISOTOPE RECORD; PROTEROZOIC CRUSTAL EVOLUTION; CAPE-MEREDITH COMPLEX; DRONNING MAUD LAND; LU-HF; TRACE-ELEMENT; SM-ND; ANTARCTIC PROVENANCE; SALDANIA BELT</t>
  </si>
  <si>
    <t>U-Pb and Lu-Hf signatures of detrital zircon from conglomerates and sandstones of the Ordovician Natal Group, South Africa were determined using laser ablation inductively coupled plasma mass spectrometry. The basal conglomerates are dominated by Palaeo-to Mesoarchaean detrital zircon with epsilon(Hf) values from +3 to -4 with minor Mesoproterozoic input, indicating a proximal source in the Kaapvaal Craton and minor input from rocks of the Natal Sector of the Mesoproterozoic Namaqua-Natal Province. The sandstones are all dominated by a combination of juvenile Mesoproterozoic zircon and Neoproterozoic zircon derived from Mesoproterozoic rocks that were reworked during the Pan-African Orogeny. Several sedimentary sequences from former Gondwana with Neoproterozoic to Permian depositional ages show similar detrital zircon signatures. Sedimentary sequences of such vast temporal and geographical distribution are unlikely to have been fed by a single source, making it more likely that these sequences were fed by several different (Pan-Gondwana) source terranes with closely similar U-Pb and Lu-Hf zircon signatures. The results show that source terrane non-uniqueness can make ascertaining sedimentary provenance from detrital zircon impossible, and should be taken as a reminder when using detrital zircon as evidence for far-reaching conclusions in basin evolution studies and palaeogeography.</t>
  </si>
  <si>
    <t>[Kristoffersen, M.; Andersen, T.] Univ Oslo, Dept Geosci, N-0316 Oslo, Norway; [Andersen, T.; Elburg, M. A.] Univ Johannesburg, Dept Geol, ZA-2006 Auckland Pk, South Africa; [Watkeys, M. K.] Univ KwaZulu Natal, Sch Agr Earth &amp; Environm Sci, Discipline Geol Sci, Rondebosch, South Africa</t>
  </si>
  <si>
    <t>University of Oslo; University of Johannesburg; University of Kwazulu Natal</t>
  </si>
  <si>
    <t>Kristoffersen, M (corresponding author), Univ Oslo, Dept Geosci, POB 1047 Blindern, N-0316 Oslo, Norway.</t>
  </si>
  <si>
    <t>magnus.kristoffersen@geo.uio.no</t>
  </si>
  <si>
    <t>Kristoffersen, Magnus/0000-0001-7000-0282; Elburg, Marlina/0000-0001-7154-1910</t>
  </si>
  <si>
    <t>0016-7649</t>
  </si>
  <si>
    <t>2041-479X</t>
  </si>
  <si>
    <t>J GEOL SOC LONDON</t>
  </si>
  <si>
    <t>J. Geol. Soc.</t>
  </si>
  <si>
    <t>10.1144/jgs2015-012</t>
  </si>
  <si>
    <t>DA6EK</t>
  </si>
  <si>
    <t>WOS:000367894800014</t>
  </si>
  <si>
    <t>Morgan-Kiss, RM; Lizotte, MP; Kong, W; Priscu, JC</t>
  </si>
  <si>
    <t>Morgan-Kiss, R. M.; Lizotte, M. P.; Kong, W.; Priscu, J. C.</t>
  </si>
  <si>
    <t>Photoadaptation to the polar night by phytoplankton in a permanently ice-covered Antarctic lake</t>
  </si>
  <si>
    <t>LIMNOLOGY AND OCEANOGRAPHY</t>
  </si>
  <si>
    <t>MCMURDO DRY VALLEYS; RAUDENSIS UWO 241; CHLAMYDOMONAS-RAUDENSIS; WATER COLUMN; GREEN-ALGA; TRANSITION; ACCLIMATION; BONNEY; PSYCHROPHILE; DYNAMICS</t>
  </si>
  <si>
    <t>Photosynthetic microorganisms are a primary source of new organic carbon production in polar ecosystems. Despite their importance, relatively little is known about how they adapt to the bimodal solar cycles that exist at high latitudes. To understand how phytoplankton adapt to the extreme seasonal change in photoperiod, we transplanted cultures of a well-studied laboratory model for photosynthetic cold adaptation, Chlamydomonas raudensis UWO241, back to the water column of Lake Bonney (McMurdo Dry Valleys, Antarctica) at the depth from which it was originally cultured. The organism was suspended at this depth in dialysis tubing to allow the microalga to respond to the in situ light, temperature and dissolved ions. We then integrated in situ biological and chemical measurements with environmental molecular analyses and compared the responses of transplanted C. raudensis cultures with the natural phytoplankton community over the 6-week transition from Antarctic summer (24-h daylight) to polar night (24-h darkness). As solar radiation declined, natural communities exhibited a cessation of inorganic carbon fixation which was accompanied by a downregulation of expression of genes encoding for essential carbon fixation and photochemistry proteins. Transplanted C. raudensis cultures matched natural community trends in the regulation of photochemistry and carbon fixation gene expression, and shifted photochemical function to a shade adapted state in response to the polar night transition. We present a conceptual model for seasonal shifts in microbial community energy and carbon acquisition which integrates past cultivation-based studies in this model photopsychrophile with a body of recent work on adaptation of natural populations to polar night.</t>
  </si>
  <si>
    <t>[Morgan-Kiss, R. M.; Kong, W.] Miami Univ, Dept Microbiol, Oxford, OH 45056 USA; [Lizotte, M. P.] Univ Wisconsin, Sustainabil Off, Oshkosh, WI 54901 USA; [Priscu, J. C.] Montana State Univ, Dept Land Resources &amp; Environm Sci, Bozeman, MT 59717 USA</t>
  </si>
  <si>
    <t>University System of Ohio; Miami University; University of Wisconsin System; Montana State University System; Montana State University Bozeman</t>
  </si>
  <si>
    <t>Morgan-Kiss, RM (corresponding author), Miami Univ, Dept Microbiol, Oxford, OH 45056 USA.</t>
  </si>
  <si>
    <t>morganr2@miamioh.edu</t>
  </si>
  <si>
    <t>Kong, Weidong/H-7432-2012</t>
  </si>
  <si>
    <t>Kong, Weidong/0000-0001-9682-1484</t>
  </si>
  <si>
    <t>NSF Office of Polar Programs and Molecular and Cellular Biosciences Grants [0631659, 1056396, 0631888, 0631494, 432595, 1115245, 0237335]; Direct For Biological Sciences; Div Of Molecular and Cellular Bioscience [0237335] Funding Source: National Science Foundation; Directorate For Geosciences; Division Of Polar Programs [0631659] Funding Source: National Science Foundation; Directorate For Geosciences; Office of Polar Programs (OPP) [0631888] Funding Source: National Science Foundation; Office of Polar Programs (OPP); Directorate For Geosciences [1056396, 0631494, 1115245] Funding Source: National Science Foundation</t>
  </si>
  <si>
    <t>NSF Office of Polar Programs and Molecular and Cellular Biosciences Grants; Direct For Biological Sciences; Div Of Molecular and Cellular Bioscience(National Science Foundation (NSF)NSF - Directorate for Biological Sciences (BIO)); Directorate For Geosciences; Division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</si>
  <si>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The authors thank A. Chiuchiolo, E. Bell, and the McMurdo LTER limnology team for collection and preservation of the samples in Antarctica. We thank Raytheon Polar Services and PHI helicopters for logistical support. We thank the Center for Bioinformatics and Functional Genomics at Miami University for assistance with sequencing and qPCR. This work was supported in part by NSF Office of Polar Programs and Molecular and Cellular Biosciences Grants 0631659 and 1056396 to RM-K, 0631888 to MPL and 0631494, 432595, 1115245 and 0237335 to JCP.</t>
  </si>
  <si>
    <t>WILEY-BLACKWELL</t>
  </si>
  <si>
    <t>0024-3590</t>
  </si>
  <si>
    <t>1939-5590</t>
  </si>
  <si>
    <t>LIMNOL OCEANOGR</t>
  </si>
  <si>
    <t>Limnol. Oceanogr.</t>
  </si>
  <si>
    <t>10.1002/lno.10107</t>
  </si>
  <si>
    <t>Limnology; Oceanography</t>
  </si>
  <si>
    <t>Marine &amp; Freshwater Biology; Oceanography</t>
  </si>
  <si>
    <t>DA7KU</t>
  </si>
  <si>
    <t>WOS:000367983800001</t>
  </si>
  <si>
    <t>Ma, J; Lan, J; Zhang, NN</t>
  </si>
  <si>
    <t>Ma Jie; Lan Jian; Zhang Ningning</t>
  </si>
  <si>
    <t>A study of Indian Ocean Subtropical Mode Water: subduction rate and water characteristics</t>
  </si>
  <si>
    <t>ACTA OCEANOLOGICA SINICA</t>
  </si>
  <si>
    <t>Indian Ocean Subtropical Mode Water; subduction rate; the layer of minimum vertical temperature gradient; water characteristics</t>
  </si>
  <si>
    <t>ANTARCTIC INTERMEDIATE WATER; NORTH-PACIFIC; DECADAL CHANGES; CIRCULATION; ATLANTIC; CLIMATE; MASSES; FLUX; GYRE; CO2</t>
  </si>
  <si>
    <t>The annual subduction rate in the South Indian Ocean was calculated by analyzing Simple Ocean Data Assimilation (SODA) outputs in the period of 1950-2008. The subduction rate census for potential density classes showed a peak corresponding to Indian Ocean subtropical mode water (IOSTMW) in the southwestern part of the South Indian Ocean subtropical gyre. The deeper mixed layer depth, the sharper mixed-layer fronts and the associated relatively faster circulation in the present climatology resulted in a larger lateral induction, which primarily dominants the IOSTMW subduction rate, while with only minor contribution from vertical pumping. Without loss of generality, through careful analysis of the water characteristics in the layer of minimum vertical temperature gradient (LMVTG), the authors suggest that the IOSTMW was identified as a thermostad, with a lateral minimum of low potential vorticity (PV, less than 200x10(-12) m(-1)center dot s(-1)) and a low dTadz (less than 1.5A degrees C/(100 m)). The IOSTMW within the South Indian Ocean subtropical gyre distributed in the region approximately from 25A degrees to 50A degrees E and from 30A degrees to 39A degrees S. Additionally, the average characteristics (temperature, salinity, potential density) of the mode water were estimated about (16.38 +/- 0.29)A degrees C, (35.46 +/- 0.04), (26.02 +/- 0.04) sigma (theta) over the past 60 years.</t>
  </si>
  <si>
    <t>[Ma Jie; Lan Jian; Zhang Ningning] Ocean Univ China, Phys Oceanog Lab, Qingdao 266100, Peoples R China; [Ma Jie; Lan Jian; Zhang Ningning] Ocean Univ China, Coll Ocean &amp; Atmospher Sci, Qingdao 266100, Peoples R China</t>
  </si>
  <si>
    <t>Ocean University of China; Ocean University of China</t>
  </si>
  <si>
    <t>Lan, J (corresponding author), Ocean Univ China, Phys Oceanog Lab, Qingdao 266100, Peoples R China.</t>
  </si>
  <si>
    <t>lanjian@ouc.edu.cn</t>
  </si>
  <si>
    <t>Ma, Jie/0000-0003-2403-606X; Lan, Jian/0000-0002-7688-7547</t>
  </si>
  <si>
    <t>National Natural Science Foundation of China [41276011, 41221063]; Chinese Ministry of Education [113041A]; Global Change and Air-Sea Interaction [GASI-03-01-01-05]</t>
  </si>
  <si>
    <t>National Natural Science Foundation of China(National Natural Science Foundation of China (NSFC)); Chinese Ministry of Education(Ministry of Education, China); Global Change and Air-Sea Interaction</t>
  </si>
  <si>
    <t>Foundation item: The National Natural Science Foundation of China under contract Nos 41276011 and 41221063; the Research Project of Chinese Ministry of Education under contract No. 113041A; the Global Change and Air-Sea Interaction under contract under contract No. GASI-03-01-01-05.</t>
  </si>
  <si>
    <t>0253-505X</t>
  </si>
  <si>
    <t>1869-1099</t>
  </si>
  <si>
    <t>ACTA OCEANOL SIN</t>
  </si>
  <si>
    <t>Acta Oceanol. Sin.</t>
  </si>
  <si>
    <t>10.1007/s13131-016-0794-0</t>
  </si>
  <si>
    <t>DA5MF</t>
  </si>
  <si>
    <t>WOS:000367846500005</t>
  </si>
  <si>
    <t>Illurninati, S; Bau, S; Annibaldi, A; Mantini, C; Libani, G; Truzzi, C; Scarponi, G</t>
  </si>
  <si>
    <t>Illurninati, Silvia; Bau, Sebastien; Annibaldi, Anna; Mantini, Caterina; Libani, Giulia; Truzzi, Cristina; Scarponi, Giuseppe</t>
  </si>
  <si>
    <t>Evolution of size-segregated aerosol mass concentration during the Antarctic summer at Northern Foothills, Victoria Land</t>
  </si>
  <si>
    <t>ATMOSPHERIC ENVIRONMENT</t>
  </si>
  <si>
    <t>Size-segregated aerosol fractions; Direct gravimetric mass measurements; Tri-modal aerosol mass distribution; PM10; Antarctica</t>
  </si>
  <si>
    <t>MARINE BOUNDARY-LAYER; SEA SALT SULFATE; TERRA-NOVA BAY; CHEMICAL-COMPOSITION; SOUTH-POLE; TRACE-ELEMENTS; DOME-C; ATMOSPHERIC AEROSOLS; SEASONAL-VARIATION; TWOMEY ALGORITHM</t>
  </si>
  <si>
    <t>Within the framework of the Italian National Programm for Antarctic Research (PNRA), the first direct gravimetric measurements of size-segregated aerosol fractions were carried out at Faraglione Camp, similar to 3 km far from the Italian station M. Zucchelli (Terra Nova Bay, Ross Sea), during the 2014-2015 austral summer. A six-stage high-volume cascade impactor with size classes between 10 mu m and 0.49 mu m, and, in parallel, for comparison purposes, a PK10 high-volume sampler (50% cut-off aerodynamic diameter of 10 mu m) were used. A 10-day sampling strategy was adopted. Aerosol mass measurements were carried out before and after exposure by using a microbalance specifically designed for the filter weight and placed inside a glove bag in order to maintain stable temperature and humidity conditions during weighing sessions. Measured atmospheric concentrations (referred to the actual air conditions of mean temperature of 268 K and mean pressure of 975 hPa) of size-segregated aerosol fractions showed the following values, given as size range, means (interquartile range): D-p &lt; 0.49 mu m, 0.33 (0.26-0.34) mu g m(-3); 0.49-0.95 mu m, 0.20 (0.19-0.24) mu g m(-3); 0.95-1.5 mu m, 0.16 (0.13-0.21) mu g m(-3); 1.5-3.0 mu m 0.075 (0.05-0.11) mu g m(-3); 3.0-7.2 mu m 0.12 (0.02-0.19) mu g m(-3); 7.2-10 mu m 0.06 (0.01-0.03) mu g m(-3). The average mass concentration of the total PK10 at Faraglione Camp for the entire sampling period was 0.92 (0.67-1.1) mu g m(-3). Although a great variability, the aerosol mass concentration showed a tri-modal distribution, with an accumulation mode (in the range 0.1-1.0 mu m) and two coarse modes (CM1 in the range 1.0-3.0 mu m, and CM2 in the range 3.0-10 mu m). From 50% to 90% of the PM10 mass comes from particles of a size smaller than 1.0 mu m. The two coarse modes represented from similar to 5% to similar to 35% of the PM10, showing opposite seasonal trends (CM1 decreased while CM2 increased). During summer, PM10 mass concentration increased to a maximum of similar to 1.6 mu g m(-3) at mid-December, while in January it decreased to values that are typical of November. Both accumulation and upper super-micron fractions showed a maximum in the same period contributing to the PM10 peak of mid-summer. (C) 2015 Elsevier Ltd. All rights reserved.</t>
  </si>
  <si>
    <t>[Illurninati, Silvia; Annibaldi, Anna; Mantini, Caterina; Libani, Giulia; Truzzi, Cristina; Scarponi, Giuseppe] Polytech Univ Marche, Dept Life &amp; Environm Sci, I-60131 Ancona, AN, Italy; [Bau, Sebastien] INRS, Lab Aerosol Metrol, F-54519 Vandoeuvre Les Nancy, France</t>
  </si>
  <si>
    <t>Marche Polytechnic University</t>
  </si>
  <si>
    <t>Illurninati, S (corresponding author), Polytech Univ Marche, Dept Life &amp; Environm Sci, Via Brecce Blanche, I-60131 Ancona, AN, Italy.</t>
  </si>
  <si>
    <t>s.illuminati@univpm.it</t>
  </si>
  <si>
    <t>Illuminati, Silvia/GXZ-5038-2022; Scarponi, Giuseppe/AAQ-6394-2021; Illuminati, Silvia/T-7873-2019</t>
  </si>
  <si>
    <t>Scarponi, Giuseppe/0000-0003-2932-0596; Illuminati, Silvia/0000-0001-6465-5477; BAU, Sebastien/0000-0003-0585-1931</t>
  </si>
  <si>
    <t>Italian Programma Nazionale di Ricerche in Antartide (PNRA) [PdR 2013/AZ3.04]</t>
  </si>
  <si>
    <t>Italian Programma Nazionale di Ricerche in Antartide (PNRA)</t>
  </si>
  <si>
    <t>This work was financially supported by the Italian Programma Nazionale di Ricerche in Antartide (PNRA) through the project (PdR 2013/AZ3.04) Air-snow exchanges and relationships for trace elements and organic compounds of climatic interest.</t>
  </si>
  <si>
    <t>1352-2310</t>
  </si>
  <si>
    <t>1873-2844</t>
  </si>
  <si>
    <t>ATMOS ENVIRON</t>
  </si>
  <si>
    <t>Atmos. Environ.</t>
  </si>
  <si>
    <t>10.1016/j.atmosenv.2015.11.015</t>
  </si>
  <si>
    <t>DA2OU</t>
  </si>
  <si>
    <t>WOS:000367636500021</t>
  </si>
  <si>
    <t>Schwanck, F; Simoes, JC; Handley, M; Mayewski, PA; Bernardo, RT; Aquino, FE</t>
  </si>
  <si>
    <t>Schwanck, Franciele; Simoes, Jefferson C.; Handley, Michael; Mayewski, Paul A.; Bernardo, Ronaldo T.; Aquino, Francisco E.</t>
  </si>
  <si>
    <t>Anomalously high arsenic concentration in a West Antarctic ice core and its relationship to copper mining in Chile</t>
  </si>
  <si>
    <t>Arsenic; Ice core; Antarctica; ICP-SFMS</t>
  </si>
  <si>
    <t>HEAVY-METALS; TRACE-ELEMENTS; POLAR ICE; SNOW; DEPOSITION; CHEMISTRY; EMISSIONS; POLLUTION; AEROSOL; SCALE</t>
  </si>
  <si>
    <t>Arsenic variability records are preserved in snow and ice cores and can be utilized to reconstruct air pollution history. The Mount Johns ice core (79 degrees 55'S; 94 degrees 23'W and 91.2 m depth) was collected from the West Antarctic Ice Sheet in the 2008109 austral summer. Here, we report the As concentration variability as determined by 2137 samples from the upper 45 m of this core using ICP-SFMS (CCI, University of Maine, USA). The record covers approximately 125 years (1883-2008) showing a mean concentration of 4.32 pg g(-1). The arsenic concentration in the core follows global copper mining evolution, particularly in Chile (the largest producer of Cu). From 1940 to 1990, copper-mining production increased along with arsenic concentrations in the MJ core, from 1.92 pg g(-1) (before 1900) to 7.94 pg g(-1) (1950). In the last two decades, environmental regulations for As emissions have been implemented, forcing smelters to treat their gases to conform to national and international environmental standards. In Chile, decontamination plants required by the government started operating from 1993 to 2000. Thereafter, Chilean copper production more than doubled while As emission levels declined, and the same reduction was observed in the Mount Johns ice core. After 1999, arsenic concentrations in our samples decreased to levels comparable to the period before 1900. (C) 2015 Elsevier Ltd. All rights reserved.</t>
  </si>
  <si>
    <t>[Schwanck, Franciele; Simoes, Jefferson C.; Bernardo, Ronaldo T.; Aquino, Francisco E.] Univ Fed Rio Grande do Sul, CPC, BR-91540000 Porto Alegre, RS, Brazil; [Handley, Michael; Mayewski, Paul A.] Univ Maine, CCI, Orono, ME 04469 USA</t>
  </si>
  <si>
    <t>Universidade Federal do Rio Grande do Sul; University of Maine System; University of Maine Orono</t>
  </si>
  <si>
    <t>Schwanck, F (corresponding author), Univ Fed Rio Grande do Sul, CPC, BR-91540000 Porto Alegre, RS, Brazil.</t>
  </si>
  <si>
    <t>franschwanck@gmail.com</t>
  </si>
  <si>
    <t>Simoes, Jefferson Cardia/D-7232-2013; Mayewski, Paul Andrew/HRD-6969-2023</t>
  </si>
  <si>
    <t>Simoes, Jefferson Cardia/0000-0001-5555-3401; Schwanck, Franciele/0000-0003-1046-8080; Bernardo, Ronaldo/0000-0002-1143-7916</t>
  </si>
  <si>
    <t>National Council for Scientific and Technological Development (CNPq) [407888/2013-6]; CNPq</t>
  </si>
  <si>
    <t>National Council for Scientific and Technological Development (CNPq)(Conselho Nacional de Desenvolvimento Cientifico e Tecnologico (CNPQ)); CNPq(Conselho Nacional de Desenvolvimento Cientifico e Tecnologico (CNPQ))</t>
  </si>
  <si>
    <t>This research is part of the Brazilian Antarctic Program (PROAN-TAR) and was financed with funds from the National Council for Scientific and Technological Development (CNPq), project 407888/2013-6 to JC Simoes. F Schwanck thanks CNPq for a studentship.</t>
  </si>
  <si>
    <t>10.1016/j.atmosenv.2015.11.027</t>
  </si>
  <si>
    <t>WOS:000367636500026</t>
  </si>
  <si>
    <t>McCarthy, ID; Nicholls, R; Malham, SK; Whiteley, NM</t>
  </si>
  <si>
    <t>McCarthy, Ian D.; Nicholls, Ruth; Malham, Shelagh K.; Whiteley, Nia M.</t>
  </si>
  <si>
    <t>Validation of the flooding dose technique to determine fractional rates of protein synthesis in a model bivalve species, the blue mussel (Mytilus edulis L.)</t>
  </si>
  <si>
    <t>COMPARATIVE BIOCHEMISTRY AND PHYSIOLOGY A-MOLECULAR &amp; INTEGRATIVE PHYSIOLOGY</t>
  </si>
  <si>
    <t>Bivalve; Flooding dose technique; Mussel; Mytilus edulis; Protein synthesis</t>
  </si>
  <si>
    <t>NACELLA-CONCINNA STREBEL; TROUT ONCORHYNCHUS-MYKISS; AMINOACYL-TRANSFER-RNA; RAINBOW-TROUT; ANTARCTIC LIMPET; IN-VIVO; OXYGEN-CONSUMPTION; GROWTH; TURNOVER; METABOLISM</t>
  </si>
  <si>
    <t>For the first time, use of the flooding dose technique using H-3-Phenylalanine is validated for measuring whole-animal and tissue-specific rates of protein synthesis in the blue mussel Mytilus edulis (61 mm shell length; 4.0 g fresh body mass). Following injection, the phenylalanine-specific radioactivities in the gill, mantle and whole-animal free pools were elevated within one hour and remained elevated and stable for up to 6 h following injection of H-3-phenylalanine into the posterior adductor muscle. Incorporation of 3H-phenylalanine into body protein was linear over time following injection and the non-significant intercepts for the regressions suggested incorporation into body protein occurred rapidly after injection. These results validate the technique for measuring rates of protein synthesis in mussels. There were no differences in the calculated rates following 1-6 h incubation in gill, mantle or whole-animal and fractional rates of protein synthesis from the combined time course data were 9.5 +/- 0.8% d(-1) for the gill, 2.5 +/- 0.3% d(-1) for the mantle and 2.6 +/- 0.3% d(-1) for the whole-animal, respectively (mean values SEM). The whole-animal absolute rate of protein synthesis was calculated as 18.9 +/- 0.6 mg protein day(-1). The use of this technique in measuring one of the major components of maintenance metabolism and growth will provide a valuable and convenient tool in furthering our understanding of the protein metabolism and energetics of this keystone marine invertebrate and its ability to adjust and respond to fluctuations, such as that expected as a result of climate change. (c) 2015 Elsevier Inc. All rights reserved.</t>
  </si>
  <si>
    <t>[McCarthy, Ian D.; Nicholls, Ruth; Malham, Shelagh K.] Bangor Univ, Coll Nat Sci, Sch Ocean Sci, Menai Bridge LL59 5AB, Anglesey, Wales; [McCarthy, Ian D.] Univ Sao Paulo, Inst Oceanog, Lab Manejo Ecol &amp; Conservacao Marinha, BR-05508120 Sao Paulo, SP, Brazil; [Whiteley, Nia M.] Bangor Univ, Coll Nat Sci, Sch Biol Sci, Bangor LL57 2UW, Gwynedd, Wales</t>
  </si>
  <si>
    <t>Bangor University; Universidade de Sao Paulo; Bangor University</t>
  </si>
  <si>
    <t>McCarthy, ID (corresponding author), Bangor Univ, Coll Nat Sci, Sch Ocean Sci, Askew St, Menai Bridge LL59 5AB, Anglesey, Wales.</t>
  </si>
  <si>
    <t>i.mccarthy@bangor.ac.uk</t>
  </si>
  <si>
    <t>McCarthy, Ian D/B-4803-2012; Malham, Shelagh K/O-9054-2014</t>
  </si>
  <si>
    <t>European Regional Development Fund (ERDF); FAPESP [14/21804-3]; Fundacao de Amparo a Pesquisa do Estado de Sao Paulo (FAPESP) [14/21804-3] Funding Source: FAPESP</t>
  </si>
  <si>
    <t>European Regional Development Fund (ERDF)(European Union (EU)); FAPESP(Fundacao de Amparo a Pesquisa do Estado de Sao Paulo (FAPESP)); Fundacao de Amparo a Pesquisa do Estado de Sao Paulo (FAPESP)(Fundacao de Amparo a Pesquisa do Estado de Sao Paulo (FAPESP))</t>
  </si>
  <si>
    <t>We thank Berwyn Roberts for collecting the mussels, Tom Busbridge for use of his unpublished data and Peter Sharratt (PNAC, Cambridge University) for conducting the amino add analysis. This work was conducted as part of the project entitled: Shellfish Productivity in the Irish Sea, working towards a sustainable future (SUSFISH). SUSFISH is part-funded by the European Regional Development Fund (ERDF) through the Ireland Wales Territorial Co-operation (INTERREG 4A) Programme 2007-2013. IDM was funded by FAPESP (grant 14/21804-3) during the writing of this manuscript.</t>
  </si>
  <si>
    <t>360 PARK AVE SOUTH, NEW YORK, NY 10010-1710 USA</t>
  </si>
  <si>
    <t>1095-6433</t>
  </si>
  <si>
    <t>1531-4332</t>
  </si>
  <si>
    <t>COMP BIOCHEM PHYS A</t>
  </si>
  <si>
    <t>Comp. Biochem. Physiol. A-Mol. Integr. Physiol.</t>
  </si>
  <si>
    <t>10.1016/j.cbpa.2015.10.019</t>
  </si>
  <si>
    <t>Biochemistry &amp; Molecular Biology; Physiology; Zoology</t>
  </si>
  <si>
    <t>DA2NN</t>
  </si>
  <si>
    <t>WOS:000367633100021</t>
  </si>
  <si>
    <t>Villarreal, P; Carrasco, M; Barahona, S; Alcaíno, J; Cifuentes, V; Baeza, M</t>
  </si>
  <si>
    <t>Villarreal, Pablo; Carrasco, Mario; Barahona, Salvador; Alcaino, Jennifer; Cifuentes, Victor; Baeza, Marcelo</t>
  </si>
  <si>
    <t>Tolerance to Ultraviolet Radiation of Psychrotolerant Yeasts and Analysis of Their Carotenoid, Mycosporine, and Ergosterol Content</t>
  </si>
  <si>
    <t>CURRENT MICROBIOLOGY</t>
  </si>
  <si>
    <t>EXTRACELLULAR ENZYMATIC-ACTIVITIES; OXIDATIVE STRESS; AMINO-ACIDS; BIOSYNTHESIS; DIVERSITY; STRAINS; PLANTS; DNA</t>
  </si>
  <si>
    <t>Yeasts colonizing the Antarctic region are exposed to a high ultraviolet radiation evolving mechanisms to minimize the UV radiation damages, such as the production of UV-absorbing or antioxidant compounds like carotenoid pigments and mycosporines. Ergosterol has also been suggested to play a role in this response. These compounds are also economically attractive for several industries such as pharmaceutical and food, leading to a continuous search for biological sources of them. In this work, the UV-C radiation tolerance of yeast species isolated from the sub-Antarctic region and their production of carotenoids, mycosporines, and ergosterol were evaluated. Dioszegia sp., Leuconeurospora sp. (T27Cd2), Rhodotorula laryngis, Rhodotorula mucilaginosa, and Cryptococcus gastricus showed the highest UV-C radiation tolerance. The yeasts with the highest content of carotenoids were Dioszegia sp. (OHK torulene), Rh. laryngis (torulene and lycopene), Rh. mucilaginosa, (torulene, gamma carotene, and lycopene), and Cr. gastricus (2-gamma carotene). Probable mycosporine molecules and biosynthesis intermediates were found in Rh. laryngis, Dioszegia sp., Mrakia sp., Le. creatinivora, and Leuconeurospora sp. (T27Cd2). Ergosterol was the only sterol detected in all yeasts, and M. robertii and Le. creatinivora showed amounts higher than 4 mg g(-1). Although there was not a well-defined relation between UV-C tolerance and the production of these three kinds of compounds, the majority of the yeasts with lower amounts of carotenoids showed lower UV-C tolerance. Dioszegia sp., M. robertii, and Le. creatinivora were the greatest producers of carotenoids, ergosterol, and mycosporines, respectively, representing good candidates for future studies intended to increase their production for large-scale applications.</t>
  </si>
  <si>
    <t>[Villarreal, Pablo; Carrasco, Mario; Barahona, Salvador; Alcaino, Jennifer; Cifuentes, Victor; Baeza, Marcelo] Univ Chile, Fac Ciencias, Dept Ciencias Ecol, Genet Lab, Santiago, Chile</t>
  </si>
  <si>
    <t>Universidad de Chile</t>
  </si>
  <si>
    <t>Baeza, M (corresponding author), Univ Chile, Fac Ciencias, Dept Ciencias Ecol, Genet Lab, Santiago, Chile.</t>
  </si>
  <si>
    <t>pablovillarreal07@gmail.com; mario.carrasco.t@gmail.com; barahona.salvador@gmail.com; jalcainog@u.uchile.cl; vcifuentes@uchile.cl; mbaeza@u.uchile.cl</t>
  </si>
  <si>
    <t>Alcaino, Jennifer/H-4576-2012; /C-6686-2008</t>
  </si>
  <si>
    <t>Baeza, Marcelo/0000-0001-8853-395X; Villarreal, Pablo/0000-0002-2254-0417</t>
  </si>
  <si>
    <t>FONDECYT [1130333]</t>
  </si>
  <si>
    <t>FONDECYT(Comision Nacional de Investigacion Cientifica y Tecnologica (CONICYT)CONICYT FONDECYT)</t>
  </si>
  <si>
    <t>This study was financially supported through FONDECYT Grant 1130333.</t>
  </si>
  <si>
    <t>0343-8651</t>
  </si>
  <si>
    <t>1432-0991</t>
  </si>
  <si>
    <t>CURR MICROBIOL</t>
  </si>
  <si>
    <t>Curr. Microbiol.</t>
  </si>
  <si>
    <t>10.1007/s00284-015-0928-1</t>
  </si>
  <si>
    <t>DA3IF</t>
  </si>
  <si>
    <t>WOS:000367689700014</t>
  </si>
  <si>
    <t>Defouilloy, C; Cartigny, P; Assayag, N; Moynier, F; Barrat, JA</t>
  </si>
  <si>
    <t>Defouilloy, C.; Cartigny, P.; Assayag, N.; Moynier, F.; Barrat, J. -A.</t>
  </si>
  <si>
    <t>High-precision sulfur isotope composition of enstatite meteorites and implications of the formation and evolution of their parent bodies</t>
  </si>
  <si>
    <t>GEOCHIMICA ET COSMOCHIMICA ACTA</t>
  </si>
  <si>
    <t>OXYGEN-ISOTOPE; NOBLE-GASES; OLDHAMITE CAS; EXPOSURE AGES; ORIGIN; CHONDRITES; EARTH; FRACTIONATION; TERRESTRIAL; AUBRITES</t>
  </si>
  <si>
    <t>In order to better understand the formation and evolution of their parent bodies, the three isotope ratios of sulfur were analyzed in 33 enstatite meteorites (24 enstatite chondrites and 9 aubrites). The results show that on average all enstatite chondrite groups are enriched in the lightest isotopes compared to other chondrite groups, with means of delta S-34 of -0.28 +/- 0.22 parts per thousand for EH3/4, -0.16 +/- 0.16 parts per thousand for EH5, -0.32 +/- 0.15 parts per thousand for EL3, -0.67 +/- 0.16 parts per thousand for EL6 and -0.64 +/- 0.00 parts per thousand for EL7 (all 1 sigma). Aubrites show a larger isotope variability in their composition, with a delta S-34 varying from -1.350 parts per thousand to +0.154 parts per thousand. Contrary to previously published results, our data show a distinct composition for EL6 compared to other enstatite chondrites. This could be related to an impact-induced loss of isotopically heavy oldhamite (delta S-34 = by 3.62 +/- 3.02 parts per thousand (1 sigma)) on the EL parent body. Although the bulk sulfur in both enstatite meteorites and aubrites does not show any significant Delta S-33 and Delta S-36, the oldhamite fraction shows clear evidence of mass independent fractionation on the S-36/S-32 ratio (in 3 out of 9 analyzes, Delta S-36 up to +2.2 parts per thousand), a signal that is not correlated to any S-33/S-32 anomaly (in 1 out of 9 analyzes, Delta S-33 down to 0.085 parts per thousand). Though a nebular or photochemical origin cannot be ruled out, the most plausible mechanism to produce such isolated non-mass dependent S-36/S-32 anomalies would be a contribution of FeCl2 containing excesses of S-36 due to the decay of Cl-36 to the leached oldhamite fraction. Even though the sulfur isotopic composition measured in enstatite meteorites is distinct from the Bulk Silicate Earth (BSE), the isotopically lightest samples of EL6, EL7 and aubrites are approaching the isotopic composition of the BSE and enstatite meteorites remain the meteorites with the sulfur isotopic composition the closest to the terrestrial one. (C) 2015 Elsevier Ltd. All rights reserved.</t>
  </si>
  <si>
    <t>[Defouilloy, C.; Cartigny, P.; Assayag, N.] Univ Paris Diderot, Geochim Isotopes Stables, Inst Phys Globe Paris, Sorbonne Paris Cite,UMR CNRS 7154, F-75238 Paris, France; [Defouilloy, C.] Museum Natl Hist Nat, UMR 7202, Lab Mineral &amp; Cosmochim Museum, F-75005 Paris, France; [Moynier, F.] Univ Paris Diderot, Sorbonne Paris Cite, Cosmochim Astrophys &amp; Geophys Expt, Inst Phys Globe Paris,UMR CNRS 7154, F-75238 Paris, France; [Moynier, F.] Inst Univ France, Paris, France; [Barrat, J. -A.] UBO IUEM, CNRS UMR Domaines Ocean 66538, F-29280 Plouzane, France</t>
  </si>
  <si>
    <t>Centre National de la Recherche Scientifique (CNRS); CNRS - National Institute for Earth Sciences &amp; Astronomy (INSU); Universite Paris Cite; Museum National d'Histoire Naturelle (MNHN); Centre National de la Recherche Scientifique (CNRS); CNRS - National Institute for Earth Sciences &amp; Astronomy (INSU); Universite Paris Cite; Institut Universitaire de France; Universite de Bretagne Occidentale</t>
  </si>
  <si>
    <t>Defouilloy, C (corresponding author), Univ Wisconsin, Dept Geosci, WiscSIMS, Madison, WI 53706 USA.</t>
  </si>
  <si>
    <t>defouilloy@ipgp.fr</t>
  </si>
  <si>
    <t>Cartigny, Pierre/A-6251-2011; Moynier, Frederic/AAH-1235-2022; Moynier, Frederic/AFL-9257-2022; ASSAYAG, Nelly/G-2267-2017; Moynier, Frederic/I-2785-2012; Barrat, Jean Alix/C-8416-2017</t>
  </si>
  <si>
    <t>Moynier, Frederic/0000-0003-4321-5581; Moynier, Frederic/0000-0003-4321-5581; ASSAYAG, Nelly/0000-0002-5105-9876; Defouilloy, Celine/0000-0002-7107-3165; Barrat, Jean Alix/0000-0003-3158-3109</t>
  </si>
  <si>
    <t>NSF; NASA; INSU; CNES; ERC</t>
  </si>
  <si>
    <t>NSF(National Science Foundation (NSF)); NASA(National Aeronautics &amp; Space Administration (NASA)); INSU(Centre National de la Recherche Scientifique (CNRS)); CNES(Centre National D'etudes Spatiales); ERC(European Research Council (ERC))</t>
  </si>
  <si>
    <t>The samples analyzed during the course of this study were kindly provided by Museum National d'Histoire Naturelle (France), the Universite Pierre et Marie Curie (France), The Smithsonian Institute (USA), The Natural History Museum of London (UK), Hawai'i Institute of Geophysics and Planetology (USA), and the NASA meteorite working group.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The authors thank INSU and CNES for the PNP grant. FM thanks the ERC for the Pristine Starting Grant, the Institut Universitaire de France and the ANR for a chaire de recherche IDEX SPC.</t>
  </si>
  <si>
    <t>0016-7037</t>
  </si>
  <si>
    <t>1872-9533</t>
  </si>
  <si>
    <t>GEOCHIM COSMOCHIM AC</t>
  </si>
  <si>
    <t>Geochim. Cosmochim. Acta</t>
  </si>
  <si>
    <t>JAN 1</t>
  </si>
  <si>
    <t>10.1016/j.gca.2015.10.009</t>
  </si>
  <si>
    <t>DA1AP</t>
  </si>
  <si>
    <t>WOS:000367529000023</t>
  </si>
  <si>
    <t>Genthon, C; Six, D; Scarchilli, C; Ciardini, V; Frezzotti, M</t>
  </si>
  <si>
    <t>Genthon, C.; Six, D.; Scarchilli, C.; Ciardini, V.; Frezzotti, M.</t>
  </si>
  <si>
    <t>Meteorological and snow accumulation gradients across Dome C, East Antarctic plateau</t>
  </si>
  <si>
    <t>INTERNATIONAL JOURNAL OF CLIMATOLOGY</t>
  </si>
  <si>
    <t>Antarctic plateau; surface meteorology; surface mass balance; spatial gradients</t>
  </si>
  <si>
    <t>SURFACE MASS-BALANCE; PRECIPITATION; VARIABILITY; DEUTERIUM; ISSUES; MODELS; ADELIE; BIASES</t>
  </si>
  <si>
    <t>In situ observations show that snow accumulation is similar to 10% larger 25 km north than south of the summit of Dome C on the east antarctic plateau. The mean wind direction is southerly. Although a slight slope-related diverging katabatic flow component is detectable, the area is an essentially flat (similar to 10m elevation change or less) homogeneous snow surface. The European Center for Medium-range Weather Forecasts meteorological analyses data reproduce a significant accumulation gradient and suggest that 90% of the the mean accumulation results from the 25% largest precipitation events. During these events, air masses originate from coastal areas in the north rather than from inland in the south. Radiative cooling condensation occurs on the way across the dome and as the moisture reservoir is depleted less snow is dumped 25 km south than north, with little direct impact from the local (50-km scale) topography. Air masses are warmer on average, and warmer north than south, when originating from the coast. This marginally affects the mean temperature gradients. The moisture gradients are more affected because moisture is nonlinearly related to temperature: the mean atmospheric moisture is larger north than south. Significant meteorological and hydrological gradients over such relatively small distances (50 km) over locally flat region may be an issue when interpreting ice cores: although cores are drilled at the top of domes and ridges where the slopes and elevation gradients are minimal, they sample small surfaces in areas affected by significant meteorological and hydrological spatial gradients.</t>
  </si>
  <si>
    <t>[Genthon, C.; Six, D.] Lab Glaciol &amp; Geophys Environm, CNRS, Grenoble, France; [Genthon, C.; Six, D.] Univ Grenoble Alpes, Lab Glaciol &amp; Geophys Environm, Grenoble, France; [Scarchilli, C.; Ciardini, V.; Frezzotti, M.] ENEA, Lab Earth Observat &amp; Analyses, Rome, Italy</t>
  </si>
  <si>
    <t>Centre National de la Recherche Scientifique (CNRS); Communaute Universite Grenoble Alpes; Universite Grenoble Alpes (UGA); Communaute Universite Grenoble Alpes; Universite Grenoble Alpes (UGA); Italian National Agency New Technical Energy &amp; Sustainable Economics Development</t>
  </si>
  <si>
    <t>Genthon, C (corresponding author), Lab Glaciol &amp; Geophys Environm, 54 Rue Moliere,BP96, F-38402 St Martin Dheres, France.</t>
  </si>
  <si>
    <t>genthon@lgge.obs.ujf-grenoble.fr</t>
  </si>
  <si>
    <t>FREZZOTTI, Massimo/AAK-7275-2020</t>
  </si>
  <si>
    <t>FREZZOTTI, Massimo/0000-0002-2461-2883; Scarchilli, Claudio/0000-0002-2414-2439</t>
  </si>
  <si>
    <t>IPEV CALVA project [1013]; INSU (program LEFE/CLAPA); INSU (OSUG program CENACLAM); INSU (OSUG program GLACIOCLIM)</t>
  </si>
  <si>
    <t>IPEV CALVA project; INSU (program LEFE/CLAPA); INSU (OSUG program CENACLAM); INSU (OSUG program GLACIOCLIM)</t>
  </si>
  <si>
    <t>The present research was made possible by the joint French-Italian Concordia Program, which established and runs the permanent station Concordia at Dome C. Support through IPEV CALVA (1013) project is gratefully acknowledged. INSU (program LEFE/CLAPA and OSUG programs CENACLAM and GLACIOCLIM) contributed funding this research. This research was also conducted in the framework of the PNRA-MIUR MAss LOss in wind FluX (MALOX) project. Further information and stakes network accumulation data are available on the GLACIOCLIM-SAMBA website: http://www-lgge.ujf-grenoble. fr/ServiceObs/SiteWebAntarc/glacioclim-samba.php. Further information and meteorological data are available on the CALVA project website: http://lgge.osug.fr/~genthon/calva/home.shtml. Comments and suggestions by two anonymous reviewer contributed significant improvements.</t>
  </si>
  <si>
    <t>0899-8418</t>
  </si>
  <si>
    <t>1097-0088</t>
  </si>
  <si>
    <t>INT J CLIMATOL</t>
  </si>
  <si>
    <t>Int. J. Climatol.</t>
  </si>
  <si>
    <t>10.1002/joc.4362</t>
  </si>
  <si>
    <t>DA3XO</t>
  </si>
  <si>
    <t>WOS:000367734800032</t>
  </si>
  <si>
    <t>Salvatteci, R; Gutierrez, D; Sifeddine, A; Ortlieb, L; Druffel, E; Boussafir, M; Schneider, R</t>
  </si>
  <si>
    <t>Salvatteci, R.; Gutierrez, D.; Sifeddine, A.; Ortlieb, L.; Druffel, E.; Boussafir, M.; Schneider, R.</t>
  </si>
  <si>
    <t>Centennial to millennial-scale changes in oxygenation and productivity in the Eastern Tropical South Pacific during the last 25,000 years</t>
  </si>
  <si>
    <t>QUATERNARY SCIENCE REVIEWS</t>
  </si>
  <si>
    <t>Redox sensitive metals; Denitrification; Oxygen minimum zone; Peruvian upwelling ecosystem; Paleoceanography</t>
  </si>
  <si>
    <t>GLACIAL-INTERGLACIAL VARIABILITY; SENSITIVE TRACE-METALS; MINIMUM ZONE; CONTINENTAL-MARGIN; NORTH PACIFIC; EL-NINO; OCEAN DEOXYGENATION; MARINE ECOSYSTEM; ORGANIC-MATTER; PERU</t>
  </si>
  <si>
    <t>Oxygen minimum zones (OMZ) have expanded in all tropical oceans during the last 50 years resulting in habitat contraction and considerable changes in marine biogeochemistry. However, for a better understanding of the OMZ dynamics under the current climate change, two questions are relevant: 1) how do the magnitude and temporal changes in oceanic dissolved oxygen of the last few decades compare to the natural variability on longer timescales, and 2) what were the local and remote factors driving OMZ changes in the past. In the present study we use a stacked record covering the last 25 kyr from the Eastern Tropical South Pacific (ETSP) OMZ to reconstruct changes in oxygenation and productivity. We use a suite of proxies including the presence of laminations, redox sensitive metals (U, Mo, Re, Ni and Cu), total organic carbon and delta N-15 measurements. Water column denitrification and sediment redox conditions show pronounced centennial to millennial-scale variability during the last 25 kyr, with oxygenation levels as low as at present Global cold periods at different timescales such as the Last Glacial Maximum (23-19 kyr BP) and the Little Ice Age (1500-1850 AD) were associated with a weak OMZ and low export production, while warm intervals such as the deglaciation, part of the Medieval Climate Anomaly and the last 100 years are associated with a stronger OMZ and high export production. Water column denitrification and sediment redox conditions were strongly coupled during the last 25 kyr BP apart from one remarkable exception: during the Antarctic Cold Reversal, sediments were less reducing but the water column denitrification was high resulting in a strong but shallow OMZ. This may have been produced by an enhanced Antarctic Intermediate Water flow. Contrary to our expectations and modeling predictions for the next few decades, we observe a weak ETSP-OMZ during the warm mid-Holocene, which may have been the result of a stronger Walker Circulation that brought oxygen-rich waters to intermediate depths off Peru via Equatorial undercurrents. In combination with other paleoceanographic reconstructions, our results show that oxygenation variability in the ETSP-OMZ was influenced by ocean circulation changes in the Tropical Pacific, high latitude oceanographic and climatic changes, and local productivity. (C) 2015 Elsevier Ltd. All rights reserved.</t>
  </si>
  <si>
    <t>[Salvatteci, R.; Sifeddine, A.; Ortlieb, L.] Univ Paris 06, IRD Sorbonne Univ, CNRS MNHN, Ctr IRD France Nord,LOCEAN Lab, F-93143 Bondy, France; [Salvatteci, R.; Schneider, R.] Univ Kiel, Inst Geosci, D-24118 Kiel, Germany; [Gutierrez, D.] Inst Del Mar Del Peru, Callao 22000, Peru; [Gutierrez, D.] Univ Peruana Cayetano Heredia, Programa Maestria Ciencias Del Mar, Lima, Peru; [Sifeddine, A.] Univ Fed Fluminense, Dept Geoquim, Niteroi, RJ, Brazil; [Druffel, E.] Univ Calif Irvine, Dept Earth Syst Sci, Irvine, CA USA; [Boussafir, M.] Univ Orleans, BRGM, CNRS, INSU,Inst Sci Terre Orleans,UMR7327, F-45701 Orleans 2, France</t>
  </si>
  <si>
    <t>Sorbonne Universite; Institut de Recherche pour le Developpement (IRD); Museum National d'Histoire Naturelle (MNHN); University of Kiel; Instituto del Mar del Peru; Universidad Peruana Cayetano Heredia; Universidade Federal Fluminense; University of California System; University of California Irvine; Bureau de Recherches Geologiques et Minieres (BRGM); Universite de Orleans; Centre National de la Recherche Scientifique (CNRS); CNRS - National Institute for Earth Sciences &amp; Astronomy (INSU)</t>
  </si>
  <si>
    <t>Salvatteci, R (corresponding author), Univ Kiel, Inst Geosci, Ludewig Meyn Str 10, D-24118 Kiel, Germany.</t>
  </si>
  <si>
    <t>renatosalvatteci@gmail.com</t>
  </si>
  <si>
    <t>Sifeddine, Abdel/H-9828-2015; Salvatteci, Renato/HZK-3205-2023; Boussafir, Mohammed/E-5272-2018</t>
  </si>
  <si>
    <t>Sifeddine, Abdelfettah/0000-0002-2502-5373; Druffel, Ellen/0000-0002-7139-1075; Boussafir, Mohammed/0000-0001-6081-6456; Salvatteci, Renato/0000-0002-7399-6465</t>
  </si>
  <si>
    <t>Institut de Recherche pour le Developpement; Laboratoire de mesures de C-14 LMC14 (CEA-CNRS-IRD-IRSN-Ministere de la Culture), Gif-sur-Yvette, France, through the IRD [UMS2572]; FONDECYT; PALEOTRACES project; PALEOPROXUS project; Chaire croisee PROSUR; Deutsche Forschungsgemeinschaft [Sonderforschungsbereich 754]; IRD</t>
  </si>
  <si>
    <t>Institut de Recherche pour le Developpement; Laboratoire de mesures de C-14 LMC14 (CEA-CNRS-IRD-IRSN-Ministere de la Culture), Gif-sur-Yvette, France, through the IRD; FONDECYT(Comision Nacional de Investigacion Cientifica y Tecnologica (CONICYT)CONICYT FONDECYT); PALEOTRACES project; PALEOPROXUS project; Chaire croisee PROSUR; Deutsche Forschungsgemeinschaft(German Research Foundation (DFG)); IRD</t>
  </si>
  <si>
    <t>We deeply thank the Institut de Recherche pour le Developpement for granting a PhD scholarship to RS during which most of the analyses were done. We deeply thank Bo Thamdrup, chief scientist of the Galathea-3 expedition (Leg 14), and Bente Lomstein, who conducted the core sampling onboard the RV Vaedderen. We also sincerely thank F. Le Cornec, J. Cottet and I. Djouraev (IRD-Bondy and LOCEAN) for their most appreciated help with the ICP-MS analyses. We thank P. Martinez for providing the SCOPIX and photograph images. We thank F. Scholz and B. Schneider for constructive discussions. We are grateful to R. Gingold (sweepandmore.com) for a thorough revision of the manuscript. The AMS radiocarbon measurements were obtained by the Laboratoire de mesures de C-14 LMC14 (UMS2572, CEA-CNRS-IRD-IRSN-Ministere de la Culture), Gif-sur-Yvette, France, through the IRD financial and technical support to this laboratory and the UCI Keck Carbon Cycle AMS Laboratory. We are grateful to the FONDECYT grant for the Maestria en Ciencias del Mar that supported this research. We acknowledge support from the PALEOTRACES and PALEOPROXUS projects, and the Chaire croisee PROSUR, all partly supported by IRD. This work is a contribution of Sonderforschungsbereich 754 Climate-Biogeochemistry interactions in the tropical ocean (www.sfb754.de), which is supported by the Deutsche Forschungsgemeinschaft.</t>
  </si>
  <si>
    <t>0277-3791</t>
  </si>
  <si>
    <t>QUATERNARY SCI REV</t>
  </si>
  <si>
    <t>Quat. Sci. Rev.</t>
  </si>
  <si>
    <t>10.1016/j.quascirev.2015.10.044</t>
  </si>
  <si>
    <t>DA0MC</t>
  </si>
  <si>
    <t>WOS:000367490200006</t>
  </si>
  <si>
    <t>Sanderson, JC; Ling, SD; Dominguez, JG; Johnson, CR</t>
  </si>
  <si>
    <t>Sanderson, J. C.; Ling, S. D.; Dominguez, J. G.; Johnson, C. R.</t>
  </si>
  <si>
    <t>Limited effectiveness of divers to mitigate 'barrens' formation by culling sea urchins while fishing for abalone</t>
  </si>
  <si>
    <t>control; fisheries; kelp beds; overgrazing; phase shift; range-extension</t>
  </si>
  <si>
    <t>SHALLOW SUBTIDAL REEFS; CENTROSTEPHANUS-RODGERSII; ROCKY REEFS; KELP BEDS; HABITAT; PREDATION; LOBSTERS; DENSITY; PATTERN</t>
  </si>
  <si>
    <t>Climate-driven incursion of the long-spined sea urchin (Centrostephanus rodgersii) in eastern Tasmania has prompted calls for strong management intervention given the urchins' capacity to overgraze kelp beds and cause local collapse of valuable reef fisheries. We examined the effectiveness of commercial divers culling C. rodgersii while undertaking otherwise normal fishing for black-lip abalone (Haliotis rubra). Diver effort appears to be driven by fishing yield and not the opportunity to maximise numbers of urchins culled; the greatest culls occurred on shorter dives when abalone fishing was poor. Despite culling thousands of urchins, divers culled urchins only from within a small proportion of the total barrens patches on particular reefs. Thus, urchin density, size-frequency of barrens patches, and benthic community structure showed no detectable change relative to 'no-cull' control reefs. Nonetheless, divers were effective in culling urchins in the few patches they targeted, and these patches were quickly recolonised by canopy-forming kelps. Ongoing urchin culling by abalone divers will increase resilience of the kelp habitats on which the valuable abalone fishery depends, but only at highly localised spatial scales (10 m). The effectiveness of this control strategy is dependent on sustainable local harvest of abalone warranting recurrent diver visitation to affected sites. However, abalone divers culling urchins while fishing are unlikely to control urchin densities at scales &gt;= 10(2) m.</t>
  </si>
  <si>
    <t>[Sanderson, J. C.; Ling, S. D.; Dominguez, J. G.; Johnson, C. R.] Univ Tasmania, Inst Marine &amp; Antarctic Studies, Hobart, Tas 7001, Australia</t>
  </si>
  <si>
    <t>Johnson, CR (corresponding author), Univ Tasmania, Inst Marine &amp; Antarctic Studies, Private Bag 129, Hobart, Tas 7001, Australia.</t>
  </si>
  <si>
    <t>craig.johnson@utas.edu.au</t>
  </si>
  <si>
    <t>Johnson, Craig/E-1788-2013; Ling, Scott/J-7161-2014</t>
  </si>
  <si>
    <t>Johnson, Craig/0000-0002-9511-905X; Ling, Scott/0000-0002-5544-8174</t>
  </si>
  <si>
    <t>Fisheries Research and Development Corporation [FRDC 2007/045]; NRM North (Tasmania)</t>
  </si>
  <si>
    <t>Fisheries Research and Development Corporation; NRM North (Tasmania)</t>
  </si>
  <si>
    <t>This work was supported by grants to C. R. Johnson from the Fisheries Research and Development Corporation (FRDC 2007/045), and NRM North (Tasmania). The Tasmanian Abalone Council was involved in the development and execution of the project. Particular acknowledgement is given to abalone industry representatives Dean Lisson, Greg Wooden, and divers Roger King and Nigel Wallace for their support and contribution to the project. Two anonymous reviewers provided helpful comments to improve the manuscript.</t>
  </si>
  <si>
    <t>10.1071/MF14255</t>
  </si>
  <si>
    <t>CZ7DE</t>
  </si>
  <si>
    <t>WOS:000367259300010</t>
  </si>
  <si>
    <t>Schweizer, D; Jones, HP; Holmes, ND</t>
  </si>
  <si>
    <t>Schweizer, Daniella; Jones, Holly P.; Holmes, Nick D.</t>
  </si>
  <si>
    <t>Literature Review and Meta-Analysis of Vegetation Responses to Goat and European Rabbit Eradications on Islands</t>
  </si>
  <si>
    <t>PACIFIC SCIENCE</t>
  </si>
  <si>
    <t>INVASIVE SPECIES REMOVAL; ORYCTOLAGUS-CUNICULUS; EXOTIC HERBIVORES; PLANT-COMMUNITIES; CONSERVATION; GALAPAGOS; RECOVERY; SEABIRDS; IMPACT</t>
  </si>
  <si>
    <t>Introduced goats and European rabbits have caused devastating effects on island vegetation, and many successful efforts to eradicate these introduced animals have taken place mainly since the 1950s, Yet, a comprehensive review of vegetation response to goat and rabbit eradications is lacking. We conducted a literature search for articles on vegetation assessments before and after eradications. We conducted two kinds of reviews of species richness and cover response to eradication: a literature review for studies that provided qualitative or species-by-species responses to eradications and a meta-analysis on quantitative vegetation cover and species richness data A key finding from our literature search was a significant information gap in the reporting of vegetation responses after eradication. Of over 200 successful island eradications that have been conducted since the 1800s, we found only 23 eradication studies that met our criteria for inclusion in the present analysis. Plant richness and vegetation cover increased more often than they decreased after eradication. Results varied according to region, herbivore type, habitat, and vegetation type, suggesting island-specific circumstances influence responses. The effect of eradication on Sub-Antarctic tundra species richness and on tropical vegetation percentage cover was higher than for other types of vegetation. Few cases differentiate responses of native versus exotic plant species, despite native biodiversity protection being one common goal of introduced herbivore eradication. We strongly recommend before and after eradication vegetation monitoring to understand how island ecosystems respond to eradication. Continuous monitoring would provide guidance on whether active restoration strategies need to be implemented to recover key native species and on the development of a general model of expected vegetation response, which is an integral first step to accelerate our predictive ability of vegetation responses.</t>
  </si>
  <si>
    <t>[Schweizer, Daniella] Univ Sao Paulo, Agr Sch Luiz Queiroz, BR-3418260 Sao Paulo, Brazil; [Jones, Holly P.] No Illinois Univ, Dept Biol Sci, De Kalb, IL 60115 USA; [Jones, Holly P.] No Illinois Univ, Inst Study Environm Sustainabil &amp; Energy, De Kalb, IL 60115 USA; [Holmes, Nick D.] Isl Conservat, Santa Cruz, CA 95060 USA</t>
  </si>
  <si>
    <t>Universidade de Sao Paulo; Northern Illinois University; Northern Illinois University</t>
  </si>
  <si>
    <t>Schweizer, D (corresponding author), Univ Sao Paulo, Agr Sch Luiz Queiroz, BR-3418260 Sao Paulo, Brazil.</t>
  </si>
  <si>
    <t>daniellaschweizer@gmail.com</t>
  </si>
  <si>
    <t>Schweizer, Daniella/G-6991-2012</t>
  </si>
  <si>
    <t>Jones, Holly/0000-0002-5512-9958</t>
  </si>
  <si>
    <t>UNIV HAWAII PRESS</t>
  </si>
  <si>
    <t>HONOLULU</t>
  </si>
  <si>
    <t>2840 KOLOWALU ST, HONOLULU, HI 96822 USA</t>
  </si>
  <si>
    <t>0030-8870</t>
  </si>
  <si>
    <t>1534-6188</t>
  </si>
  <si>
    <t>PAC SCI</t>
  </si>
  <si>
    <t>Pac. Sci.</t>
  </si>
  <si>
    <t>10.2984/70.1.5</t>
  </si>
  <si>
    <t>CZ8QI</t>
  </si>
  <si>
    <t>WOS:000367363800005</t>
  </si>
  <si>
    <t>Chinn, T; Mason, P</t>
  </si>
  <si>
    <t>Chinn, Trevor; Mason, Peter</t>
  </si>
  <si>
    <t>The first 25 years of the hydrology of the Onyx River, Wright Valley, Dry Valleys, Antarctica</t>
  </si>
  <si>
    <t>POLAR RECORD</t>
  </si>
  <si>
    <t>LAKE VANDA; VICTORIA-LAND; JOSEF,FRANZ GLACIER; MCMURDO SOUND; TAYLOR VALLEY; NEW-ZEALAND; BONNEY; CLIMATE; AREA</t>
  </si>
  <si>
    <t>This paper summarises the first 25 years of data on hydrological work carried out each summer on the Onyx River, Wright Valley, by summer teams of field hydrologists of the New Zealand Antarctic Research Programme. The assignment expanded from the single water-level recording weir site near Lake Vanda to a second site near the Wright Lower Glacier together with a number of tributary stream measurements that were installed as the programme progressed. This work was carried out together with Dry Valleys lake level and glacial measurements and is as of much historical as of scientific interest as it contains much inaugural Antarctic hydrology work.</t>
  </si>
  <si>
    <t>[Chinn, Trevor] Alpine &amp; Polar Proc, Wanaka 9382, New Zealand; [Mason, Peter] Natl Inst Water &amp; Atmospher Res NIWA, Greymouth, New Zealand</t>
  </si>
  <si>
    <t>Chinn, T (corresponding author), Alpine &amp; Polar Proc, 20 Muir Rd,Lake Hawea LGM,RD2 Wanaka, Wanaka 9382, New Zealand.</t>
  </si>
  <si>
    <t>t.chinn@xtra.co.nz</t>
  </si>
  <si>
    <t>32 AVENUE OF THE AMERICAS, NEW YORK, NY 10013-2473 USA</t>
  </si>
  <si>
    <t>0032-2474</t>
  </si>
  <si>
    <t>1475-3057</t>
  </si>
  <si>
    <t>POLAR REC</t>
  </si>
  <si>
    <t>POLAR REC.</t>
  </si>
  <si>
    <t>10.1017/S0032247415000212</t>
  </si>
  <si>
    <t>Ecology; Environmental Sciences</t>
  </si>
  <si>
    <t>CZ6FS</t>
  </si>
  <si>
    <t>WOS:000367197200003</t>
  </si>
  <si>
    <t>Muto, A; Peters, LE; Gohl, K; Sasgen, I; Alley, RB; Anandakrishnan, S; Riverman, KL</t>
  </si>
  <si>
    <t>Muto, Atsuhiro; Peters, Leo E.; Gohl, Karsten; Sasgen, Ingo; Alley, Richard B.; Anandakrishnan, Sridhar; Riverman, Kiya L.</t>
  </si>
  <si>
    <t>Subglacial bathymetry and sediment distribution beneath Pine Island Glacier ice shelf modeled using aerogravity and in situ geophysical data: New results</t>
  </si>
  <si>
    <t>EARTH AND PLANETARY SCIENCE LETTERS</t>
  </si>
  <si>
    <t>Antarctica; sub-ice-shelf bathymetry; subglacial geology</t>
  </si>
  <si>
    <t>AMUNDSEN SEA EMBAYMENT; GROUNDING-LINE RETREAT; WEST ANTARCTICA; THWAITES GLACIER; SHEET; GRAVITY; BAY; STREAM; WIDESPREAD; THICKNESS</t>
  </si>
  <si>
    <t>Pine Island Glacier (PIG) in the Amundsen Sea sector of the West Antarctic Ice Sheet (WAIS) is losing mass and contributing to global sea-level rise at an accelerating rate. Although recent observations and modeling have identified the incursion of relatively warm Circumpolar Deep Water (CDW) beneath the PIG ice shelf (PIGIS) as the main driver of this ice-mass loss, the lack of precise bathymetry limits furthering our understanding of the ice-ocean interactions and improving the accuracy of modeling. Here we present updated bathymetry and sediment distribution beneath the PIGIS, modeled by the inversion of aerogravity data with constraints from active-source seismic data, observations from an autonomous underwater vehicle, and the regional gravity-anomaly field derived from satellite gravity observations. Modeled bathymetry shows a submarine ridge beneath the middle of PIGIS that rises similar to 350 to 400 m above the surrounding sea floor, with a minimum water-column thickness of similar to 200 m above it. This submarine ridge continues across the whole width of the 45-km wide ice shelf, with no deep troughs crossing it, confirming the general features of the previously predicted sub-ice-shelf ocean circulation. However, the relatively low resolution of the aerogravity data and limitations in our inversion method leave a possibility that there is an undetected, few-kilometers-wide or narrower trough that may alter the predicted sub-ice-shelf ocean circulation. Modeled sediment distribution indicates a sedimentary basin of up to similar to 800 m thick near the current grounding zone of the main PIG trunk and extending farther inland, and a region seaward of the submarine ridge where sediments are thin or absent with exposed crystalline basement that extends seaward into Pine Island Bay. Therefore, the submarine ridge marks the transition from a thick sedimentary basin providing a smooth interface over which ice could flow easily by sliding or sediment deformation, to a region with no to little sediments and instead a rough interface over which ice flows mainly by deformation. We hypothesize that the post-Last Glacial Maximum retreat of PIG stabilized at this location because of the spatial transition in basal conditions. This in turn supports the hypothesis that the recent retreat of PIG was strongly forced, probably by changes in ocean circulation, rather than occurring because of ongoing response to the end of the ice age or other changes inland of or beneath PIG. (C) 2015 Elsevier B.V. All rights reserved.</t>
  </si>
  <si>
    <t>[Muto, Atsuhiro; Peters, Leo E.; Sasgen, Ingo; Alley, Richard B.; Anandakrishnan, Sridhar; Riverman, Kiya L.] Penn State Univ, Dept Geosci, Earth &amp; Environm Syst Inst, University Pk, PA 16802 USA; [Gohl, Karsten] Alfred Wegener Inst, Helmholtz Ctr Polar &amp; Marine Res, Dept Geosci, D-27568 Bremerhaven, Germany; [Sasgen, Ingo] GFZ German Res Ctr Geosci, Dept Geodesy &amp; Remote Sensing, D-14473 Potsdam, Germany; [Muto, Atsuhiro] Temple Univ, Dept Earth &amp; Environm Sci, Philadelphia, PA 19122 USA</t>
  </si>
  <si>
    <t>Pennsylvania Commonwealth System of Higher Education (PCSHE); Pennsylvania State University; Pennsylvania State University - University Park; Helmholtz Association; Alfred Wegener Institute, Helmholtz Centre for Polar &amp; Marine Research; Helmholtz Association; Helmholtz-Center Potsdam GFZ German Research Center for Geosciences; Pennsylvania Commonwealth System of Higher Education (PCSHE); Temple University</t>
  </si>
  <si>
    <t>Muto, A (corresponding author), Temple Univ, Dept Earth &amp; Environm Sci, Philadelphia, PA 19122 USA.</t>
  </si>
  <si>
    <t>amuto@temple.edu</t>
  </si>
  <si>
    <t>Anandakrishnan, Sridhar/JCN-5026-2023; Muto, Atsuhiro/AAJ-9558-2020</t>
  </si>
  <si>
    <t>Muto, Atsuhiro/0000-0002-1722-2457; Gohl, Karsten/0000-0002-9558-2116</t>
  </si>
  <si>
    <t>NSF [PLR 0424589, 0909335]; NASA [NNX10AI04G]; German Academic Exchange Services (DAAD) [91545539]; DFG [SA1734/4-1]; NASA [132889, NNX10AI04G] Funding Source: Federal RePORTER</t>
  </si>
  <si>
    <t>NSF(National Science Foundation (NSF)); NASA(National Aeronautics &amp; Space Administration (NASA)); German Academic Exchange Services (DAAD)(Deutscher Akademischer Austausch Dienst (DAAD)); DFG(German Research Foundation (DFG)); NASA(National Aeronautics &amp; Space Administration (NASA))</t>
  </si>
  <si>
    <t>We thank Adrian Jenkins, British Antarctic Survey and Natural Environment Research Council of U.K. for the permission to use the AUV data. We also thank Tom Jordan for providing helpful guidance for this study and Eric Rignot for useful discussions. We are indebted to NASA and the personnel involved in the Operation IceBridge, and for their data-collection effort. We thank Fausto Ferraccioli and an anonymous reviewer for constructive comments that improved the manuscript. This research was supported in part by NSF through PLR 0424589 and 0909335 and by NASA through NNX10AI04G. I.S. acknowledges funding through the German Academic Exchange Services (DAAD) grant 91545539 and DFG grant SA1734/4-1.</t>
  </si>
  <si>
    <t>PO BOX 211, 1000 AE AMSTERDAM, NETHERLANDS</t>
  </si>
  <si>
    <t>0012-821X</t>
  </si>
  <si>
    <t>1385-013X</t>
  </si>
  <si>
    <t>EARTH PLANET SC LETT</t>
  </si>
  <si>
    <t>Earth Planet. Sci. Lett.</t>
  </si>
  <si>
    <t>10.1016/j.epsl.2015.10.037</t>
  </si>
  <si>
    <t>CZ5CP</t>
  </si>
  <si>
    <t>WOS:000367120300007</t>
  </si>
  <si>
    <t>Matthews, KJ; Müllner, RD; Sandwell, DT</t>
  </si>
  <si>
    <t>Matthews, Kara J.; Muellner, R. Dietmar; Sandwell, David T.</t>
  </si>
  <si>
    <t>Oceanic microplate formation records the onset of India-Eurasia collision</t>
  </si>
  <si>
    <t>microplate; extinct ridge; pseudofault; Indian Ocean; India-Eurasia collision; plate reorganization</t>
  </si>
  <si>
    <t>TECTONIC EVOLUTION; RIDGE PROPAGATION; MIDOCEAN RIDGES; PACIFIC; HISTORY; MODEL; ASIA; RECONSTRUCTIONS; TOMOGRAPHY; PATTERNS</t>
  </si>
  <si>
    <t>Mapping of seafloor tectonic fabric in the Indian Ocean, using high-resolution satellite-derived vertical gravity gradient data, reveals an extinct Pacific-style oceanic microplate ('Mammerickx Microplate') west of the Ninetyeast Ridge. It is one of the first Pacific-style microplates to be mapped outside the Pacific basin, suggesting that geophysical conditions during formation probably resembled those that have dominated at eastern Pacific ridges. The microplate formed at the Indian-Antarctic ridge and is bordered by an extinct ridge in the north and pseudofault in the south, whose conjugate is located north of the Kerguelen Plateau. Independent microplate rotation is indicated by asymmetric pseudofaults and rotated abyssal hill fabric, also seen in multibeam data. Magnetic anomaly picks and age estimates calculated from published spreading rates suggest formation during chron 21o (similar to 47.3 Ma). Plate reorganizations can trigger ridge propagation and microplate development, and we propose that Mammerickx Microplate formation is linked with the India-Eurasia collision (initial 'soft' collision). The collision altered the stress regime at the Indian-Antarctic ridge, leading to a change in segmentation and ridge propagation from an establishing transform. Fast Indian-Antarctic spreading that preceded microplate formation, and Kerguelen Plume activity, may have facilitated ridge propagation via the production of thin and weak lithosphere; however both factors had been present for tens of millions of years and are therefore unlikely to have triggered the event. Prior to the collision, the combination of fast spreading and plume activity was responsible for the production of a wide region of undulate seafloor to the north of the extinct ridge and 'W' shaped lineations that record back and forth ridge propagation. Microplate formation provides a precise means of dating the onset of the India-Eurasia collision, and is completely independent of and complementary to timing constraints derived from continental geology or convergence histories. (C) 2015 Elsevier B.V. All rights reserved.</t>
  </si>
  <si>
    <t>[Matthews, Kara J.; Muellner, R. Dietmar] Univ Sydney, EarthByte Grp, Sch Geosci, Sydney, NSW 2006, Australia; [Sandwell, David T.] Univ Calif San Diego, Scripps Inst Oceanog, La Jolla, CA 92093 USA</t>
  </si>
  <si>
    <t>University of Sydney; University of California System; University of California San Diego; Scripps Institution of Oceanography</t>
  </si>
  <si>
    <t>Matthews, KJ (corresponding author), Univ Sydney, EarthByte Grp, Sch Geosci, Sydney, NSW 2006, Australia.</t>
  </si>
  <si>
    <t>kara.matthews@sydney.edu.au</t>
  </si>
  <si>
    <t>Müller, Dietmar/L-1200-2019</t>
  </si>
  <si>
    <t>Müller, Dietmar/0000-0002-3334-5764; Matthews, Kara/0000-0003-3249-3869; Sandwell, David/0000-0001-5657-8707</t>
  </si>
  <si>
    <t>ARC [DP130101946]; National Science Foundation [OCE-1128801]; Office of Naval Research [N00014-12-1-0111]; National Geospatial-Intelligence Agency [HM0177-13-1-0008]; ConocoPhillips; Directorate For Geosciences; Division Of Ocean Sciences [1128801] Funding Source: National Science Foundation</t>
  </si>
  <si>
    <t>ARC(Australian Research Council); National Science Foundation(National Science Foundation (NSF)); Office of Naval Research(Office of Naval Research); National Geospatial-Intelligence Agency; ConocoPhillips; Directorate For Geosciences; Division Of Ocean Sciences(National Science Foundation (NSF)NSF - Directorate for Geosciences (GEO))</t>
  </si>
  <si>
    <t>K.J.M. and R.D.M. were supported by ARC Discovery Project DP130101946. The CryoSat-2 data were provided by the European Space Agency, and NASA/CNES provided data from the Jason-1 altimeter. This research was supported by the National Science Foundation (OCE-1128801), the Office of Naval Research (N00014-12-1-0111), the National Geospatial-Intelligence Agency (HM0177-13-1-0008) and ConocoPhillips. Version 23 of the global grids of gravity anomaly and VGG can be downloaded from the following ftp site ftp://topex.ucsd.edu/pub/global_grav_1min. All figures were produced using the Generic Mapping Tools (GMT) software (Wessel et al., 2013). The open-source plate reconstruction software GPlates (Boyden et al., 2011) was used to compute the distance from the Kerguelen Plume to the initiation point of ridge propagation using different absolute reference frames, and to produce the VGG raster reconstruction in Fig. 3. Magnetic anomaly picks were accessed from the compilation of Seton et al. (2014) from The Global Seafloor Fabric and Magnetic Lineation Data Base Project website (http://wvvw.soest.hawaii.edu/PT/GSFML/). We thank the editor An Yin and two anonymous reviewers for their thoughtful and constructive comments that improved the manuscript.</t>
  </si>
  <si>
    <t>ELSEVIER</t>
  </si>
  <si>
    <t>RADARWEG 29, 1043 NX AMSTERDAM, NETHERLANDS</t>
  </si>
  <si>
    <t>10.1016/j.epsl.2015.10.040</t>
  </si>
  <si>
    <t>WOS:000367120300021</t>
  </si>
  <si>
    <t>Chen, LQ; Li, W; Zhan, JQ; Wang, JJ; Zhang, YH; Yang, XL</t>
  </si>
  <si>
    <t>Chen, Liqi; Li, Wei; Zhan, Jianqiong; Wang, Jianjun; Zhang, Yuanhui; Yang, Xulin</t>
  </si>
  <si>
    <t>Increase in Aerosol Black Carbon in the 2000s over Ny-Alesund in the Summer</t>
  </si>
  <si>
    <t>JOURNAL OF THE ATMOSPHERIC SCIENCES</t>
  </si>
  <si>
    <t>LONG-TERM TRENDS; HILBERT SPECTRUM; EMISSIONS; DEPOSITION; TRANSPORT; BARROW</t>
  </si>
  <si>
    <t>To investigate the concentrations, sources, and temporal variations of atmospheric black carbon (BC) in the summer Arctic, routine ground-level observations of BC by optical absorption were made in the summer from 2005 to 2008 at the Chinese Arctic Yellow River Station (78 degrees 55N, 11 degrees 56E) at Ny-angstrom lesund on the island of Spitsbergen in the Svalbard Archipelago. Methods of the ensemble empirical-mode decomposition analysis and back-trajectory analysis were employed to assess temporal variation embedded in the BC datasets and airmass transport patterns. The 10th-percentile and median values of BC concentrations were 7.2 and 14.6 ng m(-3), respectively, and hourly average BC concentrations ranged from 2.5 to 54.6 ng m(-3). A gradual increase was found by 4 ng m(-3) a(-1). This increase was not seen in the Zeppelin Station and it seemed to contrast with the prevalent conception of generally decreasing BC concentration since 1989 in the Arctic. Factors responsible for this increase such as changes in emissions and atmospheric transport were taken into consideration. The result indicated that BC from local emissions was mostly responsible for the observed increase from 2005 to 2008. BC temporal variation in the summer was controlled by the atmospheric circulation, which presented a significant 6-14-day variation and coherent with 1-3- and 2-5-day and longer cycle variation. Although the atmospheric circulation changes from 2005 to 2008, there was not a marked trend in long-range transportation of BC. This study suggested that local emissions might have significant implication for the regional radiative energy balance at Ny-angstrom lesund.</t>
  </si>
  <si>
    <t>[Chen, Liqi; Li, Wei; Zhan, Jianqiong; Wang, Jianjun; Zhang, Yuanhui; Yang, Xulin] State Ocean Adm, Inst Oceanog 3, Key Lab Global Change &amp; Marine Atmospher Chem, Xiamen 361005, Fujian, Peoples R China; [Zhan, Jianqiong] Chinese Acad Sci, Inst Atmospher Phys, State Key Lab Atmospher Boundary Layer Phys &amp; Atm, Beijing, Peoples R China</t>
  </si>
  <si>
    <t>Third Institute of Oceanography, Ministry of Natural Resources; Chinese Academy of Sciences; Institute of Atmospheric Physics, CAS</t>
  </si>
  <si>
    <t>Chen, LQ (corresponding author), State Ocean Adm, Inst Oceanog 3, Key Lab Global Change &amp; Marine Atmospher Chem, Xiamen Daxue Rd, Xiamen 361005, Fujian, Peoples R China.</t>
  </si>
  <si>
    <t>chenliqi@tio.org.cn</t>
  </si>
  <si>
    <t>Yang, Xulin/O-2253-2014</t>
  </si>
  <si>
    <t>National Natural Science Foundation of China [41105094]; Scientific Research Foundation of Third Institute of Oceanography, State Oceanic Administration of China [2011004]; Chinese Projects for Investigations and Assessments of Arctic and Antarctic (CHINARE); Atmospheric Administration's Air Resources Laboratory</t>
  </si>
  <si>
    <t>National Natural Science Foundation of China(National Natural Science Foundation of China (NSFC)); Scientific Research Foundation of Third Institute of Oceanography, State Oceanic Administration of China; Chinese Projects for Investigations and Assessments of Arctic and Antarctic (CHINARE); Atmospheric Administration's Air Resources Laboratory</t>
  </si>
  <si>
    <t>This work was funded by the National Natural Science Foundation of China (Grant 41105094); the Scientific Research Foundation of Third Institute of Oceanography, State Oceanic Administration of China (Grant 2011004); and the Chinese Projects for Investigations and Assessments of the Arctic and Antarctic (CHINARE 2012-15 for 01-04-02, 02-01, and 03-04-02). The Chinese Arctic and Antarctic Administration of State Oceanic Administration supported field accommodations at Yellow River Station. We gratefully acknowledge the U.S. National Oceanic and Atmospheric Administration's Air Resources Laboratory for providing the HYSPLIT transport and dispersion model and NCAR-NCEP for providing the meteorological data freely.</t>
  </si>
  <si>
    <t>0022-4928</t>
  </si>
  <si>
    <t>1520-0469</t>
  </si>
  <si>
    <t>J ATMOS SCI</t>
  </si>
  <si>
    <t>J. Atmos. Sci.</t>
  </si>
  <si>
    <t>10.1175/JAS-D-15-0009.1</t>
  </si>
  <si>
    <t>CZ9DO</t>
  </si>
  <si>
    <t>WOS:000367398200001</t>
  </si>
  <si>
    <t>Guha, A; Mechoso, CR; Konor, CS; Heikes, RP</t>
  </si>
  <si>
    <t>Guha, Anirban; Mechoso, Carlos R.; Konor, Celal S.; Heikes, Ross P.</t>
  </si>
  <si>
    <t>Modeling Rossby Wave Breaking in the Southern Spring Stratosphere</t>
  </si>
  <si>
    <t>Circulation; Dynamics; Rossby waves; Atm; Ocean Structure; Phenomena; Middle atmosphere; Stratosphere; Vortices; Models and modeling; Tracers</t>
  </si>
  <si>
    <t>SHALLOW-WATER EQUATIONS; ANTARCTIC POLAR VORTEX; PLANETARY-WAVES; HEMISPHERE STRATOSPHERE; LAGRANGIAN DESCRIPTORS; NUMERICAL-INTEGRATION; SURF ZONE; TRANSPORT; WINTER; DYNAMICS</t>
  </si>
  <si>
    <t>Rossby wave breaking (RWB) plays a central role in the evolution of stratospheric flows. The generation and evolution of RWB is examined in the simple dynamical framework of a one-layer shallow-water system on a sphere. The initial condition represents a realistic, zonally symmetric velocity profile corresponding to the springtime southern stratosphere. Single zonal wavenumber Rossby waves, which are either stationary or traveling zonally with realistic speeds, are superimposed on the initial velocity profile. Particular attention is placed on the Lagrangian structures associated with RWB. The Lagrangian analysis is based on the calculation of trajectories and the application of a diagnostic tool known as the M function. Hyperbolic trajectories (HTs), produced by the transverse intersections of stable and unstable invariant manifolds, may yield chaotic saddles in M. Previous studies associated HTs with cat's eyes generated by planetary wave breaking at the critical levels. HTs, and hence RWB, are found both outside and inside the stratospheric polar vortex (SPV). Significant findings are as follows: (i) stationary forcing produces HTs only outside of the SPV and (ii) eastward-traveling wave forcing can produce HTs both outside and inside of the SPV. In either case, HTs appear at or near the critical latitudes. RWB was found to occur inside the SPV even when the forcing was located completely outside. In all cases, the westerly jet remained impermeable throughout the simulations. The results suggest that the HT inside the SPV observed by de la Camara et al. during the southern spring 2005 was due to RWB of an eastward-traveling wave of wavenumber 1.</t>
  </si>
  <si>
    <t>[Guha, Anirban; Mechoso, Carlos R.] Univ Calif Los Angeles, Dept Atmospher &amp; Ocean Sci, Los Angeles, CA USA; [Konor, Celal S.; Heikes, Ross P.] Colorado State Univ, Dept Atmospher Sci, Ft Collins, CO 80523 USA</t>
  </si>
  <si>
    <t>University of California System; University of California Los Angeles; Colorado State University</t>
  </si>
  <si>
    <t>Guha, A (corresponding author), Indian Inst Technol, Dept Mech Engn, SL 109, Kanpur 208016, Uttar Pradesh, India.</t>
  </si>
  <si>
    <t>anirbanguha.ubc@gmail.com</t>
  </si>
  <si>
    <t>Guha, Anirban/B-9903-2014</t>
  </si>
  <si>
    <t>Guha, Anirban/0000-0002-1368-6131</t>
  </si>
  <si>
    <t>U.S. NSF [AGS-1245069]; IIT Kanpur [IITK/ME/2014338]; U.S. DOE [DE-FC02-06ER64302]; DOE [DE-SC07050]; NSF [AGS-1062468]; Directorate For Geosciences; Div Atmospheric &amp; Geospace Sciences [1245069] Funding Source: National Science Foundation</t>
  </si>
  <si>
    <t>U.S. NSF(National Science Foundation (NSF)); IIT Kanpur; U.S. DOE(United States Department of Energy (DOE)); DOE(United States Department of Energy (DOE)); NSF(National Science Foundation (NSF)); Directorate For Geosciences; Div Atmospheric &amp; Geospace Sciences(National Science Foundation (NSF)NSF - Directorate for Geosciences (GEO))</t>
  </si>
  <si>
    <t>We are grateful to Alvaro de la Camara and Ana Mancho for the useful discussions, and their generous help regarding the M function. We also thank the anonymous referees for their helpful suggestions and constructive comments. Anirban Guha and Carlos R. Mechoso were supported by the U.S. NSF Grant AGS-1245069. Anirban Guha is also grateful to the initiation grant provided by IIT Kanpur (IITK/ME/2014338) for partial support of this research work. Celal S. Konor and Ross P. Heikes were partially funded by the U.S. DOE under Cooperative Agreement DE-FC02-06ER64302 to Colorado State University and the DOE under Grant DE-SC07050. Also, Celal S. Konor was partially funded by the NSF Grant AGS-1062468.</t>
  </si>
  <si>
    <t>10.1175/JAS-D-15-0088.1</t>
  </si>
  <si>
    <t>CZ9DT</t>
  </si>
  <si>
    <t>WOS:000367398700003</t>
  </si>
  <si>
    <t>Lee, J; Kim, YS; Chae, D; Cho, W</t>
  </si>
  <si>
    <t>Lee, Jangguen; Kim, Young Seok; Chae, Deokho; Cho, Wanjei</t>
  </si>
  <si>
    <t>Loading rate effects on strength and stiffness of frozen sands</t>
  </si>
  <si>
    <t>KSCE JOURNAL OF CIVIL ENGINEERING</t>
  </si>
  <si>
    <t>frozen soils; unconfined compression test; temperature; loading rate</t>
  </si>
  <si>
    <t>The seasonally frozen ground has been focused on as research topics such as the frost heaving under the asphalt road rather than the permafrost ground due to the latitudinal location of Korea. However, the recent construction of the second Korean Antarctic research station, the Jangbogo station and the participation on the development of the natural gas pipeline in Russia arouse the research interests on the behavior of the permafrost ground. At the design process of the geotechnical structures on the permafrost ground, the evaluation of the mechanical characteristics of frozen soil is very important. In the laboratory tests, it is crucial to understand the effects of testing conditions such as loading rate and temperature on the mechanical behavior of frozen soils. Therefore, unconfined compression tests are performed to evaluate the loading rate effects on the mechanical characteristics of frozen granular soils. Based on the experimental results, the loading rate affects both the strength and deformation characteristics of the frozen soils. The ASTM standards on the loading rate of the frozen sands are fast enough for the strength evaluations but not for the stiffness evaluations. Furthermore, the loading rate effects are evaluated on the bearing capacity and deformation of pile installed on the permafrost via numerical analyses with experimental results.</t>
  </si>
  <si>
    <t>[Lee, Jangguen; Kim, Young Seok] Korea Inst Construct Technol, SOC Res Inst, Goyang 411712, South Korea; [Chae, Deokho; Cho, Wanjei] Dankook Univ, Dept Civil &amp; Environm Engn, Yongin 448701, South Korea</t>
  </si>
  <si>
    <t>Dankook University</t>
  </si>
  <si>
    <t>Cho, W (corresponding author), Dankook Univ, Dept Civil &amp; Environm Engn, Yongin 448701, South Korea.</t>
  </si>
  <si>
    <t>jlee@kict.re.kr; kimys@kict.re.kr; chaedho@dankook.ac.kr; jei0421@dankook.ac.kr</t>
  </si>
  <si>
    <t>The present research was supported by research funding from Dankook University in 2014.</t>
  </si>
  <si>
    <t>KOREAN SOCIETY OF CIVIL ENGINEERS-KSCE</t>
  </si>
  <si>
    <t>SEOUL</t>
  </si>
  <si>
    <t>50-7 OGUM-DONG, SONGPA-KU, SEOUL, 138-857, SOUTH KOREA</t>
  </si>
  <si>
    <t>1226-7988</t>
  </si>
  <si>
    <t>1976-3808</t>
  </si>
  <si>
    <t>KSCE J CIV ENG</t>
  </si>
  <si>
    <t>KSCE J. Civ. Eng.</t>
  </si>
  <si>
    <t>10.1007/s12205-015-1417-6</t>
  </si>
  <si>
    <t>Engineering, Civil</t>
  </si>
  <si>
    <t>CZ6GI</t>
  </si>
  <si>
    <t>WOS:000367198800021</t>
  </si>
  <si>
    <t>Pan, M; Huntington, HP</t>
  </si>
  <si>
    <t>Pan, Min; Huntington, Henry P.</t>
  </si>
  <si>
    <t>A precautionary approach to fisheries in the Central Arctic Ocean: Policy, science, and China</t>
  </si>
  <si>
    <t>MARINE POLICY</t>
  </si>
  <si>
    <t>Central Arctic Ocean; China; Fisheries management; Policy; Science diplomacy</t>
  </si>
  <si>
    <t>MANAGEMENT; COLLAPSE</t>
  </si>
  <si>
    <t>In recent years, up to 40% of the central Arctic Ocean has been ice-free in summer. This open water makes access possible for ordinary vessels, including fishing boats. The five Arctic Ocean coastal states (Canada, Denmark! Greenland, Norway, Russia, and the United States) have agreed to develop an international agreement to prohibit unregulated fishing in international waters of the central Arctic Ocean. Non-Arctic countries, including China, and regional organizations such as the European Union will be invited to join the ensuing negotiations. Participation would strengthen China's interest in Arctic affairs in a cooperative fashion, in contrast to a perception that China is interested solely in extracting Arctic resources and is thus a competitor with Arctic states. China's scientific capacity, including the icebreaker Xuelong (Snow Dragon), provides it with an opportunity to practice marine and polar science diplomacy and to contribute further to Arctic cooperation and collaborative understanding. The precautionary approach of managing resources before extraction begins may make cooperative actions easier, as no one yet has a stake in the resource, and could provide a model for other regions that are developing international mechanisms for governance of international waters. (C) 2015 The Authors. Published by Elsevier Ltd.</t>
  </si>
  <si>
    <t>[Pan, Min] Tongji Univ, Ctr Polar &amp; Ocean Studies, Shanghai 200092, Peoples R China; [Huntington, Henry P.] Pew Charitable Trusts, Eagle River, AK 99507 USA</t>
  </si>
  <si>
    <t>Tongji University</t>
  </si>
  <si>
    <t>Huntington, HP (corresponding author), Pew Charitable Trusts, Eagle River, AK 99507 USA.</t>
  </si>
  <si>
    <t>panmin417@163.com; hhuntington@pewtrusts.org</t>
  </si>
  <si>
    <t>Pan, Min/HDM-7621-2022; Pan, Min/JXX-6220-2024</t>
  </si>
  <si>
    <t>Pan, Min/0000-0002-8419-9357;</t>
  </si>
  <si>
    <t>Tong Ji University; Pew Charitable Trusts; Interdisciplinary Studies Group of Tongji University's Maritime Power Strategy project - China Arctic and Antarctic Office [0703219049]</t>
  </si>
  <si>
    <t>Tong Ji University; Pew Charitable Trusts; Interdisciplinary Studies Group of Tongji University's Maritime Power Strategy project - China Arctic and Antarctic Office</t>
  </si>
  <si>
    <t>We thank Professor Guo Peiqing for the first ideas of science and politics and CAO fisheries, Peter Harrison and Scott Highleyman for further ideas and encouragement, Professor Xia Liping and Dr. Su Ping for encouragement, Jeremy Davies for producing Fig. 1, and Tong Ji University and the Pew Charitable Trusts for support. This paper is one of the research results of the Interdisciplinary Studies Group of Tongji University's Maritime Power Strategy project (0703219049) and the result of the project Researching the Policy and Practice of Resources Development in the Canadian Arctic Indigenous Area funded by China Arctic and Antarctic Office. We are grateful to the editor and reviewer for constructive comments on an earlier version of this paper.</t>
  </si>
  <si>
    <t>ELSEVIER SCI LTD</t>
  </si>
  <si>
    <t>THE BOULEVARD, LANGFORD LANE, KIDLINGTON, OXFORD OX5 1GB, OXON, ENGLAND</t>
  </si>
  <si>
    <t>0308-597X</t>
  </si>
  <si>
    <t>1872-9460</t>
  </si>
  <si>
    <t>MAR POLICY</t>
  </si>
  <si>
    <t>Mar. Pol.</t>
  </si>
  <si>
    <t>10.1016/j.marpol.2015.10.015</t>
  </si>
  <si>
    <t>Environmental Studies; International Relations</t>
  </si>
  <si>
    <t>Environmental Sciences &amp; Ecology; International Relations</t>
  </si>
  <si>
    <t>CZ3RF</t>
  </si>
  <si>
    <t>WOS:000367021000017</t>
  </si>
  <si>
    <t>Burmester, B</t>
  </si>
  <si>
    <t>Burmester, Brent</t>
  </si>
  <si>
    <t>Upgrading or unhelpful? Defiant corporate support for a marine protected area</t>
  </si>
  <si>
    <t>Antarctic toothfish; Ross Sea; CCAMLR; Corporate political strategy; Global production network; Sanford</t>
  </si>
  <si>
    <t>GLOBAL PRODUCTION NETWORKS; TOOTHFISH DISSOSTICHUS-MAWSONI; POLITICAL STRATEGY; ROSS SEA; PARTICIPATION; GOVERNANCE; FISHERY; DIET</t>
  </si>
  <si>
    <t>Fishing firms sometimes give political support to marine conservation measures that seem contrary to their commercial interest. To explain this apparent paradox, an analysis is made of the stance taken by a New Zealand company in response to a proposed marine protected area in the Ross Sea. The firm defected from its industry's opposition to the proposal, choosing to support the reserve. The analysis uses concepts from corporate political strategy to identify why such support might be forthcoming, and under what conditions. The article argues that a firm endorsing a conservation initiative in defiance of its industry intends to engineer a redistribution of profit and control within its global production network, regardless of any public benefit. While there was in this instance a public benefit in the form of potential environmental upgrading, the firm's strategy risks compromising the effectiveness and impartiality of marine governance organizations. (C) 2015 Elsevier Ltd. All rights reserved.</t>
  </si>
  <si>
    <t>[Burmester, Brent] Univ Auckland, Dept Management &amp; Int Business, Auckland 1, New Zealand</t>
  </si>
  <si>
    <t>University of Auckland</t>
  </si>
  <si>
    <t>Burmester, B (corresponding author), Univ Auckland, Dept Management &amp; Int Business, Private Bag 92019, Auckland 1, New Zealand.</t>
  </si>
  <si>
    <t>b.burmester@auckland.ac.nz</t>
  </si>
  <si>
    <t>Burmester, Brent/G-6932-2019</t>
  </si>
  <si>
    <t>Burmester, Brent/0000-0001-6802-9967</t>
  </si>
  <si>
    <t>10.1016/j.marpol.2015.03.019</t>
  </si>
  <si>
    <t>WOS:000367021000025</t>
  </si>
  <si>
    <t>Mengel, M; Feldmann, J; Levermann, A</t>
  </si>
  <si>
    <t>Mengel, M.; Feldmann, J.; Levermann, A.</t>
  </si>
  <si>
    <t>Linear sea-level response to abrupt ocean warming of major West Antarctic ice basin</t>
  </si>
  <si>
    <t>NATURE CLIMATE CHANGE</t>
  </si>
  <si>
    <t>PINE ISLAND GLACIER; MODEL PISM-PIK; GROUNDING-LINE; SHEET; SENSITIVITY; STABILITY; RETREAT; SURFACE; SECTOR; FLOW</t>
  </si>
  <si>
    <t>Antarctica's contribution to global sea-level rise has recently been increasing(1). Whether its ice discharge will become unstable and decouple from anthropogenic forcing(2-4) or increase linearly with the warming of the surrounding ocean is of fundamental importance(5). Under unabated greenhouse-gas emissions, ocean models indicate an abrupt intrusion of warm circumpolar deepwater into the cavity below West Antarctica's Filchner-Ronne ice shelf within the next two centuries(6,7). The ice basin's retrograde bed slope would allow for an unstable ice-sheet retreat(8), but the buttressing of the large ice shelf and the narrow glacier troughs tend to inhibit such instability(9-11). It is unclear whether future ice loss will be dominated by ice instability or anthropogenic forcing. Here we show in regional and continental-scale ice-sheet simulations, which are capable of resolving unstable grounding-line retreat, that the sea-level response of the Filchner-Ronne ice basin is not dominated by ice instability and follows the strength of the forcing quasi-linearly. We find that the ice loss reduces after each pulse of projected warm water intrusion. The long-term sea-level contribution is approximately proportional to the total shelf-ice melt. Although the local instabilities might dominate the ice loss for weak oceanic warming(12), we find that the upper limit of ice discharge from the region is determined by the forcing and not by the marine ice-sheet instability.</t>
  </si>
  <si>
    <t>[Mengel, M.; Feldmann, J.; Levermann, A.] Potsdam Inst Climate Impact Res, D-14473 Potsdam, Germany; [Mengel, M.; Feldmann, J.; Levermann, A.] Univ Potsdam, Inst Phys, D-14476 Golm, Germany</t>
  </si>
  <si>
    <t>Potsdam Institut fur Klimafolgenforschung; University of Potsdam</t>
  </si>
  <si>
    <t>Levermann, A (corresponding author), Potsdam Inst Climate Impact Res, D-14473 Potsdam, Germany.</t>
  </si>
  <si>
    <t>Levermann, Anders/0000-0003-4432-4704; Feldmann, Johannes/0000-0003-4210-0221; Mengel, Matthias/0000-0001-6724-9685</t>
  </si>
  <si>
    <t>Deutsche Forschungsgemeinschaft (DFG); German Federal Environmental Foundation (DBU); NASA [NNX13AM16G, NNX13AK27G]; NASA [NNX13AK27G, 471916, NNX13AM16G, 469331] Funding Source: Federal RePORTER</t>
  </si>
  <si>
    <t>Deutsche Forschungsgemeinschaft (DFG)(German Research Foundation (DFG)); German Federal Environmental Foundation (DBU); NASA(National Aeronautics &amp; Space Administration (NASA)); NASA(National Aeronautics &amp; Space Administration (NASA))</t>
  </si>
  <si>
    <t>The study was partially financially supported by the Deutsche Forschungsgemeinschaft (DFG) and the German Federal Environmental Foundation (DBU). We are grateful to R. Timmermann for providing the FESOM ocean model data. Model development for PISM at the University of Alaska, Fairbanks, USA was supported by the NASA grants NNX13AM16G and NNX13AK27G.</t>
  </si>
  <si>
    <t>NATURE PUBLISHING GROUP</t>
  </si>
  <si>
    <t>MACMILLAN BUILDING, 4 CRINAN ST, LONDON N1 9XW, ENGLAND</t>
  </si>
  <si>
    <t>1758-678X</t>
  </si>
  <si>
    <t>1758-6798</t>
  </si>
  <si>
    <t>NAT CLIM CHANGE</t>
  </si>
  <si>
    <t>Nat. Clim. Chang.</t>
  </si>
  <si>
    <t>+</t>
  </si>
  <si>
    <t>10.1038/NCLIMATE2808</t>
  </si>
  <si>
    <t>Environmental Sciences; Environmental Studies; Meteorology &amp; Atmospheric Sciences</t>
  </si>
  <si>
    <t>CZ3UZ</t>
  </si>
  <si>
    <t>WOS:000367030800025</t>
  </si>
  <si>
    <t>Scroxton, N; Gagan, MK; Dunbar, GB; Ayliffe, LK; Hantoro, WS; Shen, CC; Hellstrom, JC; Zhao, JX; Cheng, H; Edwards, RL; Sun, HL; Rifai, H</t>
  </si>
  <si>
    <t>Scroxton, Nick; Gagan, Michael K.; Dunbar, Gavin B.; Ayliffe, Linda K.; Hantoro, Wahyoe S.; Shen, Chuan-Chou; Hellstrom, John C.; Zhao, Jian-xin; Cheng, Hai; Edwards, R. Lawrence; Sun, Hailong; Rifai, Hamdi</t>
  </si>
  <si>
    <t>Natural attrition and growth frequency variations of stalagmites in southwest Sulawesi over the past 530,000 years</t>
  </si>
  <si>
    <t>PALAEOGEOGRAPHY PALAEOCLIMATOLOGY PALAEOECOLOGY</t>
  </si>
  <si>
    <t>Indonesia; Stalagmite growth; U-Th dating; Palaeoclimatology; Australasian monsoon</t>
  </si>
  <si>
    <t>PLASMA-MASS SPECTROMETRY; LAST GLACIAL PERIOD; PACIFIC WARM POOL; LATE PLEISTOCENE; MEDITERRANEAN CLIMATE; MILLENNIAL-SCALE; SEA-LEVEL; ICP-MS; SPELEOTHEMS; MONSOON</t>
  </si>
  <si>
    <t>Previous studies have analysed the age distributions of stalagmites harvested from multiple caves and inferred important palaeoclimate changes that explain stalagmite growth phases. However, stalagmites may grow over tens of thousands of years; thus, they are irreplaceable. The value of speleothems to science must be weighed against their potential and current aesthetic and cultural value. In this study, we show that some palaeoclimate information can be extracted from a cave system without the removal of stalagmites. Our case study is based on basal U-Th dates for 77 individual stalagmites from thirteen caves located in and around Bantimurung-Bulusaraung National Park, southwest Sulawesi, Indonesia. The stalagmites grew during discrete intervals within the last similar to 530,000 years, and an analysis of their age distribution shows a first-order exponential decrease in the number of older stalagmites surviving to the present day. Further, this exponential relationship is observed in stalagmite populations around the world and is therefore likely to be a general cave phenomenon. Superimposed on the first-order exponential age distribution in southwest Sulawesi are positive anomalies in stalagmite growth frequency at 425-400, 385-370, 345-335, 330-315, 160-155, 75-70 and 10-5 Ka, which are typically coincident with wet periods on Borneo. To explain this distribution, we present a simple model of stalagmite growth and attrition. A first-order trend is controlled by processes intrinsic to karst systems that govern the natural attrition of stalagmites. These processes are nearly constant over time and result in the observed exponential relationship of stalagmite basal ages. Second-order variation is controlled by changes in the rate of stalagmite generation caused by fluctuating climates, which is a well-known concept in the speleothem literature. Removal of the exponential baseline allows for better assessment of relative peak heights and basic palaeoclimate information to be inferred. Importantly, the first- and second-order growth frequency variations can be characterised using basal stalagmite ages only, without the removal of stalagmites, thereby helping reduce the impact of scientific sampling on the cave environment. (C) 2015 Elsevier B.V. All rights reserved.</t>
  </si>
  <si>
    <t>[Scroxton, Nick; Gagan, Michael K.; Ayliffe, Linda K.] Australian Natl Univ, Res Sch Earth Sci, Canberra, ACT 0200, Australia; [Dunbar, Gavin B.] Victoria Univ Wellington, Antarctic Res Ctr, Wellington 6140, New Zealand; [Hantoro, Wahyoe S.] Indonesian Inst Sci, Res Ctr Geotechnol, Bandung 40135, Indonesia; [Shen, Chuan-Chou; Sun, Hailong] Natl Taiwan Univ, Dept Geosci, High Precis Mass Spectrometry &amp; Environm Change L, Taipei 10617, Taiwan; [Hellstrom, John C.] Univ Melbourne, Sch Earth Sci, Parkville, Vic 3010, Australia; [Zhao, Jian-xin] Univ QLD, Sch Earth Sci, Brisbane, Qld 4072, Australia; [Cheng, Hai; Edwards, R. Lawrence] Univ Minnesota, Dept Earth Sci, Minneapolis, MN 55455 USA; [Cheng, Hai] Xi An Jiao Tong Univ, Inst Global Environm Change, Xian 710049, Peoples R China; [Sun, Hailong] Chinese Acad Sci, Inst Geochem, State Key Lab Environm Geochem, Guiyang 550002, Peoples R China; [Rifai, Hamdi] State Univ Padang, Dept Phys, Padang 25131, Indonesia</t>
  </si>
  <si>
    <t>Australian National University; Victoria University Wellington; National Research &amp; Innovation Agency of Indonesia (BRIN); Indonesian Institute of Sciences (LIPI); National Taiwan University; University of Melbourne; University of Queensland; University of Minnesota System; University of Minnesota Twin Cities; Xi'an Jiaotong University; Chinese Academy of Sciences; Institute of Geochemistry, CAS; Universitas Negeri Padang</t>
  </si>
  <si>
    <t>Scroxton, N (corresponding author), Australian Natl Univ, Res Sch Earth Sci, Bldg 142,Mills Rd, Acton, ACT 2601, Australia.</t>
  </si>
  <si>
    <t>Nick.Scroxton@anu.edu.au</t>
  </si>
  <si>
    <t>Hellstrom, John C/B-1770-2008; Ayliffe, Linda K/C-3627-2009; CHENG, HAI/H-3413-2017; lin, ke/GZM-8300-2022; Gagan, Michael K/L-5014-2018; Shen, Chuan-Chou/H-9642-2013; Rifai, Hamdi/AGN-3777-2022; Edwards, Richard/JAX-3732-2023; Edwards, R. Lawrence/I-3124-2014; Shen, Chuan-Chou/JCE-1989-2023; Zhao, Jian-xin/A-5938-2008</t>
  </si>
  <si>
    <t>CHENG, HAI/0000-0002-5305-9458; Shen, Chuan-Chou/0000-0003-2833-2771; Rifai, Hamdi/0000-0002-3967-5019; Shen, Chuan-Chou/0000-0003-2833-2771; Sun, Hailong/0000-0001-7327-3630; Zhao, Jian-xin/0000-0002-2413-6178; Scroxton, Nick/0000-0003-2315-9199; Kasman, Rukun/0000-0003-4567-1513; Hellstrom, John/0000-0001-9427-3525</t>
  </si>
  <si>
    <t>Australian Research Council Discovery [DP0663274, DPI 095673]; National Natural Science Foundation of China [NSFC-41230524]; ROC MOST; NTU [102-2116-M-002-022, 103-2119-M-002-022, 101R7625]</t>
  </si>
  <si>
    <t>Australian Research Council Discovery(Australian Research Council); National Natural Science Foundation of China(National Natural Science Foundation of China (NSFC)); ROC MOST; NTU(Nanyang Technological University)</t>
  </si>
  <si>
    <t>We would like to thank David Heslop for his help with the statistics and for providing insight into the early versions of this paper. We thank the Indonesian Institute of Sciences (LIPI) for logistical support, Engkos Kosasih, Djupriono, and the staff of Bantimurung-Bulusaraung National Park (with special thanks to Saiful) for assistance in the field during the 2009 and 2011 expeditions. We are particularly grateful to Neil Anderson, Dan Zwartz, Garry Smith and Bambang Suwargadi, who provided expertise in cave conservation and technical assistance. The work was conducted in Indonesia under Kementerian Negara Riset dan Teknologi (RISTEK) research permit numbers 04/TKPIPA/FRP/SM/IV/2009 and 1b/TKPIPA/FRP/SM/I/2011. Financial support for the research was provided by the Australian Research Council Discovery grants DP0663274 and DPI 095673 to M.K.G., W.S.H., J.-x.Z., J.C.H., R.L.E. and H.C.; and the National Natural Science Foundation of China grant NSFC-41230524 to H.C. U-Th dating at the HISPEC was supported by the ROC MOST and NTU grants (102-2116-M-002-022, 103-2119-M-002-022, and 101R7625) to CCS.</t>
  </si>
  <si>
    <t>0031-0182</t>
  </si>
  <si>
    <t>1872-616X</t>
  </si>
  <si>
    <t>PALAEOGEOGR PALAEOCL</t>
  </si>
  <si>
    <t>Paleogeogr. Paleoclimatol. Paleoecol.</t>
  </si>
  <si>
    <t>10.1016/j.palaeo.2015.10.030</t>
  </si>
  <si>
    <t>Geography, Physical; Geosciences, Multidisciplinary; Paleontology</t>
  </si>
  <si>
    <t>Physical Geography; Geology; Paleontology</t>
  </si>
  <si>
    <t>CZ5AG</t>
  </si>
  <si>
    <t>WOS:000367113900016</t>
  </si>
  <si>
    <t>Schoenrock, KM; Schram, JB; Amsler, CD; McClintock, JB; Angus, RA; Vohra, YK</t>
  </si>
  <si>
    <t>Schoenrock, Kathryn M.; Schram, Julie B.; Amsler, Charles D.; McClintock, James B.; Angus, Robert A.; Vohra, Yogesh K.</t>
  </si>
  <si>
    <t>Climate change confers a potential advantage to fleshy Antarctic crustose macroalgae over calcified species.</t>
  </si>
  <si>
    <t>JOURNAL OF EXPERIMENTAL MARINE BIOLOGY AND ECOLOGY</t>
  </si>
  <si>
    <t>Coralline algae; Antarctica; Ocean acidification; Warming; Hildenbrandia sp.; Climate change</t>
  </si>
  <si>
    <t>MARINE PRIMARY PRODUCERS; CALCITE-ARAGONITE SEAS; OCEAN ACIDIFICATION; CORALLINE ALGAE; SECULAR VARIATION; COMPETITIVE INTERACTIONS; SEAWATER TEMPERATURE; MG/CA RATIO; MG-CALCITE; CO2</t>
  </si>
  <si>
    <t>Climate change impacts were investigated in two species of crustose Antarctic macroalgae that may be natural competitors in their habitat. The seawater parameters oceanic pH and temperature were modified to near future projections for the western Antarctic Peninsula in microcosm experiments. Experiments included two crustose algae, the calcified coralline alga Clathrommphum obtectulum and the fleshy encrusting rhodophyte Hildenbrandia sp., and were run for six weeks. Treatments reflected near future ocean conditions under climate change predictions: increased temperature (3.5 degrees C x pH 8.1), increased pCO(2) (1.5 degrees C x pH 7.8), combined factors (3.5 degrees C x pH 7.8), and ambient conditions (1.5 degrees C x pH 8.1). The physiological responses of the algae were evaluated through photosynthetic parameters (slope to saturation of photo centers (alpha), saturating irradiance (E-k), maximum electron transport rate (ETRmax), maximum quantum yield of photosystem II (F-v/F-m)), growth, chlorophyll a concentration, and for C. obtectulum calcium carbonate content and Mg/Ca ratio. No negative impacts of elevated temperature or increased pCO(2) were observed in either species. The fleshy alga decreased in size in low pH and high temperature treatments alone, but increased growth significantly when these factors were combined. Photosynthetic parameters were depressed by increased temperature in the calcified species and pH in the fleshy species but no significant differences were observed in other parameters in either species. This indicates that Hildenbrandia sp. may have a competitive advantage for space in the subtidal environment in near future oceanic conditions. However because benthic ecology in this geographic region is not well understood it is uncertain how these results will ultimately impact the community. (C) 2015 Elsevier B.V. All rights reserved.</t>
  </si>
  <si>
    <t>[Schoenrock, Kathryn M.; Schram, Julie B.; Amsler, Charles D.; McClintock, James B.; Angus, Robert A.; Vohra, Yogesh K.] Univ Alabama Birmingham, Birmingham, AL 35294 USA</t>
  </si>
  <si>
    <t>University of Alabama System; University of Alabama Birmingham</t>
  </si>
  <si>
    <t>Schoenrock, KM (corresponding author), Univ Alabama Birmingham, 1300 Univ Blvd,Campbell Hall Room 464, Birmingham, AL 35294 USA.</t>
  </si>
  <si>
    <t>Kathryn.Schoenrock@glasgow.ac.uk</t>
  </si>
  <si>
    <t>; Schoenrock, Kathryn/B-9082-2018</t>
  </si>
  <si>
    <t>Amsler, Charles/0000-0002-4843-3759; Schoenrock, Kathryn/0000-0002-0407-3173; Schram, Julie/0000-0002-1556-6483</t>
  </si>
  <si>
    <t>National Science Foundation from the Antarctic Organisms and Ecosystems Program [ANT-1041022]; Raytheon Polar Services Company; Antarctic Support Contract staffs of Palmer Station; Directorate For Geosciences; Office of Polar Programs (OPP) [1041022] Funding Source: National Science Foundation</t>
  </si>
  <si>
    <t>National Science Foundation from the Antarctic Organisms and Ecosystems Program(National Science Foundation (NSF)NSF - Directorate for Geosciences (GEO)); Raytheon Polar Services Company; Antarctic Support Contract staffs of Palmer Station; Directorate For Geosciences; Office of Polar Programs (OPP)(National Science Foundation (NSF)NSF - Directorate for Geosciences (GEO))</t>
  </si>
  <si>
    <t>This work was supported by the National Science Foundation award ANT-1041022 (CDA, RAA, JBM) from the Antarctic Organisms and Ecosystems Program. Field support was provided by the Raytheon Polar Services Company and Antarctic Support Contract staffs of Palmer Station. We would like to specifically acknowledge the boating and dive support from Payot Scheibe, Steve Sweet, Jeff Otten, Paul Queior and Lily Glass, as well as the University of Alabama at Birmingham field team including Maggie Amsler and Nell Herman. We also appreciate the advice of Dr. Cole Easson and Kenan Matterson on statistical analyses and the assistance of Drs. Juan Braga and Craig Bailey for the ongoing work on identification of Antarctic coralline algae.[SW]</t>
  </si>
  <si>
    <t>0022-0981</t>
  </si>
  <si>
    <t>1879-1697</t>
  </si>
  <si>
    <t>J EXP MAR BIOL ECOL</t>
  </si>
  <si>
    <t>J. Exp. Mar. Biol. Ecol.</t>
  </si>
  <si>
    <t>10.1016/j.jembe.2015.09.009</t>
  </si>
  <si>
    <t>Ecology; Marine &amp; Freshwater Biology</t>
  </si>
  <si>
    <t>Environmental Sciences &amp; Ecology; Marine &amp; Freshwater Biology</t>
  </si>
  <si>
    <t>CZ0AU</t>
  </si>
  <si>
    <t>WOS:000366768300009</t>
  </si>
  <si>
    <t>Waterman, C; Calcul, L; Beau, J; Ma, WS; Lebar, MD; von Salm, JL; Harter, C; Mutka, T; Morton, LC; Maignan, P; Barisic, B; van Olphen, A; Kyle, DE; Vrijmoed, L; Pang, KL; Pearce, CJ; Baker, BJ</t>
  </si>
  <si>
    <t>Waterman, Carrie; Calcul, Laurent; Beau, Jeremy; Ma, Wai Sheung; Lebar, Matthew D.; von Salm, Jacqueline L.; Harter, Charles; Mutka, Tina; Morton, Lindsay C.; Maignan, Patrick; Barisic, Betty; van Olphen, Alberto; Kyle, Dennis E.; Vrijmoed, Lilian; Pang, Ka-Lai; Pearce, Cedric J.; Baker, Bill J.</t>
  </si>
  <si>
    <t>Miniaturized Cultivation of Microbiota for Antimalarial Drug Discovery</t>
  </si>
  <si>
    <t>MEDICINAL RESEARCH REVIEWS</t>
  </si>
  <si>
    <t>endophytes; high-throughput screening; malaria; microbe cultivation; natural products</t>
  </si>
  <si>
    <t>ENDOPHYTIC-FUNGUS; NATURAL-PRODUCTS; STARTING POINTS; CYTOCHALASINS-N; MARINE; METABOLITES; ASPERGILLUS; DIVERSITY; ACID; TRICHOTHECENE</t>
  </si>
  <si>
    <t>The ongoing search for effective antiplasmodial agents remains essential in the fight against malaria worldwide. Emerging parasitic drug resistance places an urgent need to explore chemotherapies with novel structures and mechanisms of action. Natural products have historically provided effective antimalarial drug scaffolds. In an effort to search nature's chemical potential for antiplasmodial agents, unconventionally sourced organisms coupled with innovative cultivation techniques were utilized. Approximately 60,000 niche microbes from various habitats (slow-growing terrestrial fungi, Antarctic microbes, and mangrove endophytes) were cultivated on a small-scale, extracted, and used in high-throughput screening to determine antimalarial activity. About 1% of crude extracts were considered active and 6% partially active (67% inhibition at 5 and 50 g/mL, respectively). Active extracts (685) were cultivated on a large-scale, fractionated, and screened for both antimalarial activity and cytotoxicity. High interest fractions (397) with an IC50 &lt; 1.11 g/mL were identified and subjected to chromatographic separation for compound characterization and dereplication. Identifying active compounds with nanomolar antimalarial activity coupled with a selectivity index tenfold higher was accomplished with two of the 52 compounds isolated. This microscale, high-throughput screening project for antiplasmodial agents is discussed in the context of current natural product drug discovery efforts.</t>
  </si>
  <si>
    <t>[Waterman, Carrie; Calcul, Laurent; Beau, Jeremy; Ma, Wai Sheung; Lebar, Matthew D.; von Salm, Jacqueline L.; Harter, Charles; Baker, Bill J.] Univ S Florida, Dept Chem, Tampa, FL 33620 USA; [Mutka, Tina; Morton, Lindsay C.; Maignan, Patrick; Barisic, Betty; van Olphen, Alberto; Kyle, Dennis E.] Univ S Florida, Dept Global Hlth, Tampa, FL 33620 USA; [Vrijmoed, Lilian] City Univ Hong Kong, Dept Biol &amp; Chem, Kowloon, Hong Kong, Peoples R China; [Pang, Ka-Lai] Natl Taiwan Ocean Univ, Inst Marine Biol, Keelung 20224, Taiwan; [Pang, Ka-Lai] Natl Taiwan Ocean Univ, Ctr Excellence Oceans, Keelung 20224, Taiwan; [Pearce, Cedric J.] Mycosynthetix Inc, Hillsborough, NC 27278 USA; [Baker, Bill J.] Univ S Florida, Ctr Drug Discovery &amp; Innovat, Tampa, FL 36612 USA</t>
  </si>
  <si>
    <t>State University System of Florida; University of South Florida; State University System of Florida; University of South Florida; City University of Hong Kong; National Taiwan Ocean University; National Taiwan Ocean University; State University System of Florida; University of South Florida</t>
  </si>
  <si>
    <t>Baker, BJ (corresponding author), Univ S Florida, Ctr Drug Discovery &amp; Innovat, Dept Chem, 4202 E Fowler Ave CHE 205, Tampa, FL 33620 USA.</t>
  </si>
  <si>
    <t>bjbaker@usf.edu</t>
  </si>
  <si>
    <t>Pang, Ka-Lai/ABF-8500-2020; Baker, Bill/N-4312-2019</t>
  </si>
  <si>
    <t>Pang, Ka-Lai/0000-0003-4403-925X; Morton, Lindsay/0000-0002-7295-8475; Lebar, Matthew/0000-0003-4910-1438; Kyle, Dennis/0000-0002-0238-965X; von Salm, Jacqueline/0000-0003-2277-5491</t>
  </si>
  <si>
    <t>MMV [MMV08/0105]</t>
  </si>
  <si>
    <t>MMV</t>
  </si>
  <si>
    <t>This research was supported by MMV, MMV08/0105. Six hundred and 800 MHz NMR data were collected by H. Wu in the Center for Drug Discovery and Innovation (CDDI) at USF. HRESMS was collected by K. Seeley at CDDI. A special thanks to undergraduate students in the Baker lab who performed the medium-throughput fungal extractions.</t>
  </si>
  <si>
    <t>0198-6325</t>
  </si>
  <si>
    <t>1098-1128</t>
  </si>
  <si>
    <t>MED RES REV</t>
  </si>
  <si>
    <t>Med. Res. Rev.</t>
  </si>
  <si>
    <t>10.1002/med.21335</t>
  </si>
  <si>
    <t>Chemistry, Medicinal; Pharmacology &amp; Pharmacy</t>
  </si>
  <si>
    <t>Pharmacology &amp; Pharmacy</t>
  </si>
  <si>
    <t>CY7OR</t>
  </si>
  <si>
    <t>WOS:000366598600006</t>
  </si>
  <si>
    <t>Bidorn, B; Kish, SA; Donoghue, JF; Bidorn, K; Mama, R</t>
  </si>
  <si>
    <t>Kim, JH; Kim, HS; Yoo, DG; Jung, D; Song, CG</t>
  </si>
  <si>
    <t>Bidorn, Butsawan; Kish, Stephen A.; Donoghue, Joseph F.; Bidorn, Komkrit; Mama, Ruethaithip</t>
  </si>
  <si>
    <t>Sediment transport characteristic of the Ping River basin, Thailand</t>
  </si>
  <si>
    <t>12TH INTERNATIONAL CONFERENCE ON HYDROINFORMATICS (HIC 2016) - SMART WATER FOR THE FUTURE</t>
  </si>
  <si>
    <t>Procedia Engineering</t>
  </si>
  <si>
    <t>12th International Conference on Hydroinformatics (HIC) - Smart Water for the Future</t>
  </si>
  <si>
    <t>AUG 21-26, 2016</t>
  </si>
  <si>
    <t>SOUTH KOREA</t>
  </si>
  <si>
    <t>Suspended sediment load; bed load; total sediment load; sediment estimation; river basin</t>
  </si>
  <si>
    <t>NORTHERN THAILAND; FLOOD</t>
  </si>
  <si>
    <t>This study examined the river sediment transport characteristics of the Ping River basin, which is one of the major river basins in Thailand. River surveys of the Ping River were carried out nine times between 2011 and 2013. Survey data included river cross sections, flow velocities, suspended sediment concentration, and bed load transport in the river. Analyzes of these data indicated that suspended transport rates in the Ping River during normal flow conditions in 2012-2013 ranged between 107 and 9,562 metric tons/day (mt/d), but increased to 35,300 mt/d during high flooding conditions (Thailand's Great Flood of 2011). The rate of bed load transport was 1,401 mt/d during the Flood of 2011. However, the measured bed load in 2012-2013 varied between 0 and 482 mt/d. The bed-to-suspended load ratio in the Ping River fluctuated in the broad range of 0-2.0. Estimates of total sediment transport in the Ping River were made using some of the classic equations from the hydrologic literature. The results obtained from the different methods show that the Laursen-Copeland formula gives the best estimate of total sediment transport rate of the Ping River compared to other methods. Results from this study also reveal that the Bhumibol Dam, constructed in 1964, has had a significant effect on suspended sediment load reduction downstream of the dam. (C) 2016 The Authors. Published by Elsevier Ltd.</t>
  </si>
  <si>
    <t>[Bidorn, Butsawan; Kish, Stephen A.] Florida State Univ, 909 Antarctic Way, Tallahassee, FL 32306 USA; [Donoghue, Joseph F.; Bidorn, Komkrit] Univ Cent Florida, 4111 Libra Dr, Orlando, FL 32816 USA; [Bidorn, Butsawan] Chulalongkorn Univ, Phayathai Rd, Bangkok 10330, Thailand; [Mama, Ruethaithip] Chungnam Natl Univ, 99 Daehak Ro St, Daejeon 305764, South Korea</t>
  </si>
  <si>
    <t>State University System of Florida; Florida State University; State University System of Florida; University of Central Florida; Chulalongkorn University; Chungnam National University</t>
  </si>
  <si>
    <t>Bidorn, B (corresponding author), Florida State Univ, 909 Antarctic Way, Tallahassee, FL 32306 USA.;Bidorn, B (corresponding author), Chulalongkorn Univ, Phayathai Rd, Bangkok 10330, Thailand.</t>
  </si>
  <si>
    <t>bb11x@my.fsu.edu</t>
  </si>
  <si>
    <t>Bidorn, Butsawan/N-6439-2018</t>
  </si>
  <si>
    <t>Bidorn, Butsawan/0000-0002-7214-5327</t>
  </si>
  <si>
    <t>1877-7058</t>
  </si>
  <si>
    <t>PROCEDIA ENGINEER</t>
  </si>
  <si>
    <t>10.1016/j.proeng.2016.07.552</t>
  </si>
  <si>
    <t>Water Resources</t>
  </si>
  <si>
    <t>BF9PK</t>
  </si>
  <si>
    <t>WOS:000385793200076</t>
  </si>
  <si>
    <t>Kim, SH; Kim, DJ</t>
  </si>
  <si>
    <t>Kim, Seung Hee; Kim, Duk-Jin</t>
  </si>
  <si>
    <t>UPDATED GROUNDING LINE OF THWAITES GLACIER USING HIGH RESOLUTION TANDEM-X DIGITAL ELEVATION MODEL</t>
  </si>
  <si>
    <t>Antarctica; Grounding Line; TanDEM-X; DEM; Thwaites Glacier</t>
  </si>
  <si>
    <t>ANTARCTIC ICE-SHEET; SHELF</t>
  </si>
  <si>
    <t>Grounding line estimation has substantial importance of determining vulnerability of ice mass in the Polar Regions. In this study, high resolution digital elevation model is utilized to estimate and update grounding line of Thwaites Glacier in West Antarctica in 2011. Estimation is done by comparing the calculated bottom topography of ice with the bathymetry model from Operation IceBridge. The bottom topography is computed by subtracting ice thickness which is also estimated from surface elevation assuming hydrostatic equilibrium. The updated grounding line infers its retreat of up to 5km inland when compared with the grounding line in 2009. The retreat is conspicuous over the bathymetric trough. Conceivable error sources are still present such as ice column density, bathymetry accuracy and firn height. Nonetheless, high resolution digital elevation model shows high practicability of estimating grounding line.</t>
  </si>
  <si>
    <t>[Kim, Seung Hee; Kim, Duk-Jin] Seoul Natl Univ, Sch Earth &amp; Environm Sci, Seoul 151, South Korea</t>
  </si>
  <si>
    <t>Seoul National University (SNU)</t>
  </si>
  <si>
    <t>Kim, SH (corresponding author), Seoul Natl Univ, Sch Earth &amp; Environm Sci, Seoul 151, South Korea.</t>
  </si>
  <si>
    <t>Korea Polar Research Institute under PAP project; ESA [C1P.9593]</t>
  </si>
  <si>
    <t>Korea Polar Research Institute under PAP project(Korea Polar Research Institute of Marine Research Placement (KOPRI)); ESA(European Space Agency)</t>
  </si>
  <si>
    <t>This study was supported by the Korea Polar Research Institute under PAP project. TanDEM-X data used in this study were kindly provided by DLR as a part of ATI_OCEA0391. CryoSat-2 data used in this study were kindly provided by ESA as a part of Project C1P.9593.</t>
  </si>
  <si>
    <t>10.1109/IGARSS.2016.7730854</t>
  </si>
  <si>
    <t>WOS:000388114606229</t>
  </si>
  <si>
    <t>Sousa, TGC; Pinheiro, TA; Coelho, DF; Tambourgi, EB; Sette, LD; Pessoa, A; Cardoso, VL; Campos, ES; Coutinho, U</t>
  </si>
  <si>
    <t>Bardone, E; Bravi, M; Keshavarz, T</t>
  </si>
  <si>
    <t>Sousa, Thamyris G. C.; Pinheiro, Tas A.; Coelho, Diego F.; Tambourgi, Elias B.; Sette, Lara D.; Pessoa, Adalberto, Jr.; Cardoso, Vicelma L.; Campos, Edgar S.; Coutinho-Filho, Ubirajara</t>
  </si>
  <si>
    <t>Evaluation of Biosurfactant Production by Yeasts from Antarctica</t>
  </si>
  <si>
    <t>5TH INTERNATIONAL SYMPOSIUM ON INDUSTRIAL BIOTECHNOLOGY (IBIC 2016)</t>
  </si>
  <si>
    <t>Chemical Engineering Transactions</t>
  </si>
  <si>
    <t>5th International Conference on Industrial Biotechnology (IBIC)</t>
  </si>
  <si>
    <t>APR 10-11, 2016</t>
  </si>
  <si>
    <t>Bologna, ITALY</t>
  </si>
  <si>
    <t>MICROBIAL SURFACTANTS; MICROORGANISMS; DIVERSITY; INDUSTRY</t>
  </si>
  <si>
    <t>Microbial surfactants are surface-active metabolites, produced by microorganisms, which have low toxicity, are biodegradable and biocompatible. Furthermore, these molecules are stable in extreme environmental conditions, such as pH, temperature, and salinity changes. The maim factor for the ever increasing biosurfactant use by industries is its capacity to reduce surface tension and interfacial tension of immiscible solutions. The selection of microorganisms capable to produce biosurfactants has been investigated in the last years, and the Antarctic environment has become of great interest due to its extraordinary diversity. The present work reports the evaluation of biosurfactant production by Antarctic isolated yeasts. Four yeasts isolated in the Antarctic environment were evaluated, coded as L69, L87, L104, and L106, and the biosurfactant production was accessed by the emulsification index in kerosene, diesel oil, engine oil and soybean and surface tension. The biosurfactant containing solution was obtained from a five day old fermentation broth, composed by 3 g L-1 yeast extract, 5 g L-1 peptone, and 20 g L-1 glucose, and incubated at 15 degrees C and 30 degrees C. The emulsification index was accessed by mixing with the oils and the cell free aqueous solution of the fermented broth, in a 1: 1 ratio, and the surface tension was obtained using a Tensiometer. The L69 and L104 yeast showed the best results at the tested conditions, whereas the L69 yeast showed 96, 0, 92 and 50% of emulsification index in kerosene, diesel oil, engine oil and soybean, respectively, while L104 showed 100 and 93 % of emulsification index in engine oil and soybean, and zero for the other tested oils. The results showed that these yeasts were capable to produce biosurfactants, however further tests should be performed to characterize these biomolecules.</t>
  </si>
  <si>
    <t>[Sousa, Thamyris G. C.; Coelho, Diego F.; Tambourgi, Elias B.] Univ Estadual Campinas, Sch Chem Engn, Campinas, SP, Brazil; [Pinheiro, Tas A.; Cardoso, Vicelma L.; Coutinho-Filho, Ubirajara] Univ Fed Uberlandia, Sch Chem Engn, Uberlandia, MG, Brazil; [Campos, Edgar S.] Univ Fed Uberlandia, Genet &amp; Biochem Inst, Uberlandia, MG, Brazil; [Sette, Lara D.] UNESP, Dept Biochem &amp; Microbiol, Rio Claro, SP, Brazil; [Pessoa, Adalberto, Jr.] Univ Sao Paulo, Sch Pharmaceut Sci, Sao Paulo, SP, Brazil</t>
  </si>
  <si>
    <t>Universidade Estadual de Campinas; Universidade Federal de Uberlandia; Universidade Federal de Uberlandia; Universidade Estadual Paulista; Universidade de Sao Paulo</t>
  </si>
  <si>
    <t>Sousa, TGC (corresponding author), Univ Estadual Campinas, Sch Chem Engn, Campinas, SP, Brazil.</t>
  </si>
  <si>
    <t>thamirysgcs@gmail.com</t>
  </si>
  <si>
    <t>tambourgi, elias basile/Q-3736-2019; Basile Tambourgi, Elias/HJP-4162-2023; Pessoa-Junior, Adalberto/B-7963-2012; Tambourgi, Elias B/E-1863-2012; Filho, Ubirajara Coutinho/M-4532-2017; Cardoso, Vicelma Luiz/AAJ-6216-2021; Sette, Lara Durães/C-8298-2013; de Freitas Coelho, Diego/C-3480-2014</t>
  </si>
  <si>
    <t>tambourgi, elias basile/0000-0003-3275-0810; Pessoa-Junior, Adalberto/0000-0002-5268-8690; Filho, Ubirajara Coutinho/0000-0003-2952-9234; Cardoso, Vicelma Luiz/0000-0002-8278-6988; Sette, Lara Durães/0000-0002-5980-3786; de Freitas Coelho, Diego/0000-0002-2123-5891; Sousa, Thamirys/0000-0002-6174-8819</t>
  </si>
  <si>
    <t>AIDIC SERVIZI SRL</t>
  </si>
  <si>
    <t>MILANO</t>
  </si>
  <si>
    <t>VIA GIUSEPPE COLOMBO 81/A, MILANO, MI 20133, ITALY</t>
  </si>
  <si>
    <t>1974-9791</t>
  </si>
  <si>
    <t>978-88-95608-40-2</t>
  </si>
  <si>
    <t>CHEM ENGINEER TRANS</t>
  </si>
  <si>
    <t>10.3303/CET1649092</t>
  </si>
  <si>
    <t>BF6LQ</t>
  </si>
  <si>
    <t>WOS:000383265300092</t>
  </si>
  <si>
    <t>Wicka, M; Wanarska, M; Krajewska, E; Pawlak-Szukalska, A; Kur, J; Cieslinski, H</t>
  </si>
  <si>
    <t>Wicka, Monika; Wanarska, Marta; Krajewska, Ewelina; Pawlak-Szukalska, Anna; Kur, Jozef; Cieslinski, Hubert</t>
  </si>
  <si>
    <t>Cloning, expression, and biochemical characterization of a cold-active GDSL-esterase of a Pseudomonas sp S9 isolated from Spitsbergen island soil</t>
  </si>
  <si>
    <t>ACTA BIOCHIMICA POLONICA</t>
  </si>
  <si>
    <t>GDSL-family; cold-active; esterase; autotransporter; Pseudomonas sp S9</t>
  </si>
  <si>
    <t>PSEUDOALTEROMONAS SP 643A; ANTARCTIC DESERT SOIL; ADAPTED ESTERASE; METAGENOMIC LIBRARY; GENOME SEQUENCE; STRAIN; FAMILY; ENZYMES; PSYCHROTROPH; SECRETION</t>
  </si>
  <si>
    <t>An estS9 gene, encoding an esterase of the psychrotolerant bacterium Pseudomonas sp. S9 was cloned and sequenced. The deduced sequence revealed a protein of 636 amino acid residues with a molecular mass of 69 kDa. Further amino acid sequence analysis revealed that the EstS9 enzyme contained a G-D-S-L motif centered at a catalytic serine, an N-terminal catalytic domain and a C-terminal autotransporter domain. Two recombinant E. coli strains for production of EstS9N (a two domain enzyme) and EstS9 Delta (a one domain enzyme) proteins were constructed, respectively. Both recombinant proteins were successfully produced as inclusion bodies and then purified under denaturing conditions. However, because of the low enzymatic activity of the refolded EstS9 Delta protein, only the EstS9N protein was further characterized. The purified and refolded EstS9N protein was active towards short-chain p-nitrophenyl esters (C2-C8), with optimal activity for the butyrate (C4) ester. With p-nitrophenyl butyrate as the substrate, the enzyme displayed optimal activity at 35 degrees C and pH 9.0. Additionally, the EstS9N esterase retained similar to 90% of its activity from 25-40 degrees C and similar to 40% of its activity at 10 degrees C. Moreover, analysis of its kinetic parameters (K-m, k(cat), k(cat)/K-m) toward p-nitrophenyl butyrate determined at 15 degrees C and 25 degrees C confirmed that the EstS9 enzyme is cold-adapted. To the best of our knowledge, EstS9 is the third characterized cold-active GDSL-esterase and the first one confirmed to contain an autotransporter domain characteristic for enzymes secreted by the type V secretion system.</t>
  </si>
  <si>
    <t>[Wicka, Monika; Wanarska, Marta; Krajewska, Ewelina; Pawlak-Szukalska, Anna; Kur, Jozef; Cieslinski, Hubert] Gdansk Univ Technol, Dept Mol Biotechnol &amp; Microbiol, Gdansk, Poland</t>
  </si>
  <si>
    <t>Fahrenheit Universities; Gdansk University of Technology</t>
  </si>
  <si>
    <t>Cieslinski, H (corresponding author), Gdansk Univ Technol, Dept Mol Biotechnol &amp; Microbiol, Gdansk, Poland.</t>
  </si>
  <si>
    <t>hcieslin@pg.gda.pl</t>
  </si>
  <si>
    <t>Wanarska, Marta/0000-0001-5343-4302; , Hubert/0000-0002-3504-2257; Cieslinski, Hubert/0000-0003-0573-0830</t>
  </si>
  <si>
    <t>PASTEURA 3, 02-093 WARSAW, POLAND</t>
  </si>
  <si>
    <t>0001-527X</t>
  </si>
  <si>
    <t>1734-154X</t>
  </si>
  <si>
    <t>ACTA BIOCHIM POL</t>
  </si>
  <si>
    <t>Acta Biochim. Pol.</t>
  </si>
  <si>
    <t>10.18388/abp.2015_1074</t>
  </si>
  <si>
    <t>DH1MI</t>
  </si>
  <si>
    <t>WOS:000372547900015</t>
  </si>
  <si>
    <t>Machado, JP; Justino, F; Pezzi, LP</t>
  </si>
  <si>
    <t>Machado, Jeferson Prietsch; Justino, Flavio; Pezzi, Luciano Ponzi</t>
  </si>
  <si>
    <t>Impacts of Wind Stress Changes on the Global Heat Transport, Baroclinic Instability, and the Thermohaline Circulation</t>
  </si>
  <si>
    <t>ADVANCES IN METEOROLOGY</t>
  </si>
  <si>
    <t>MERIDIONAL OVERTURNING CIRCULATION; SOUTHERN-OCEAN; TROPICAL PACIFIC; EQUATORIAL OCEAN; SEA-ICE; CLIMATE; ATLANTIC; VARIABILITY; MODEL; ATMOSPHERE</t>
  </si>
  <si>
    <t>The wind stress is a measure of momentum transfer due to the relative motion between the atmosphere and the ocean. This study aims to investigate the anomalous pattern of atmospheric and oceanic circulations due to 50% increase in the wind stress over the equatorial region and the Southern Ocean. In this paper we use a coupled climate model of intermediate complexity (SPEEDO). The results show that the intensification of equatorial wind stress causes a decrease in sea surface temperature in the tropical region due to increased upwelling and evaporative cooling. On the other hand, the intensification of wind stress over the Southern Ocean induces a regional increase in the air and sea surface temperatures which in turn leads to a reduction in Antarctic sea ice thickness. This occurs in association with changes in the global thermohaline circulation strengthening the rate of Antarctic Bottom Water formation and a weakening of the North Atlantic Deep Water. Moreover, changes in the Southern Hemisphere thermal gradient lead to modified atmospheric and oceanic heat transports reducing the storm tracks and baroclinic activity.</t>
  </si>
  <si>
    <t>[Machado, Jeferson Prietsch] Univ Estadual Paulista Julio de Mesquita Filho UN, BR-17012633 Bauru, SP, Brazil; [Justino, Flavio] Univ Fed Vicosa, BR-36570000 Vicosa, MG, Brazil; [Pezzi, Luciano Ponzi] INPE, BR-12227 Sao Jose Dos Campos, SP, Brazil</t>
  </si>
  <si>
    <t>Universidade Estadual Paulista; Universidade Federal de Vicosa; Instituto Nacional de Pesquisas Espaciais (INPE)</t>
  </si>
  <si>
    <t>Machado, JP (corresponding author), Univ Estadual Paulista Julio de Mesquita Filho UN, BR-17012633 Bauru, SP, Brazil.</t>
  </si>
  <si>
    <t>jefpmac@gmail.com</t>
  </si>
  <si>
    <t>Pezzi, Luciano Ponzi/A-6473-2011; Flavio, Justino/AAT-2037-2020; Pezzi, Luciano P/O-4952-2015; Pezzi, Luciano Ponzi/N-7271-2017</t>
  </si>
  <si>
    <t>Pezzi, Luciano Ponzi/0000-0001-6016-4320; Prietsch Machado, Jeferson/0000-0003-2685-3944</t>
  </si>
  <si>
    <t>CNPq [407681/2013-2, 305586/2012-2]</t>
  </si>
  <si>
    <t>CNPq(Conselho Nacional de Desenvolvimento Cientifico e Tecnologico (CNPQ))</t>
  </si>
  <si>
    <t>This research has been supported by the CNPq Project Proposals 407681/2013-2 and 305586/2012-2.</t>
  </si>
  <si>
    <t>1687-9309</t>
  </si>
  <si>
    <t>1687-9317</t>
  </si>
  <si>
    <t>ADV METEOROL</t>
  </si>
  <si>
    <t>Adv. Meteorol.</t>
  </si>
  <si>
    <t>10.1155/2016/2089418</t>
  </si>
  <si>
    <t>DF1GE</t>
  </si>
  <si>
    <t>Green Published, Green Submitted, gold</t>
  </si>
  <si>
    <t>WOS:000371086800001</t>
  </si>
  <si>
    <t>Verde, C; Giordano, D; Bellas, CM; di Prisco, G; Anesio, AM</t>
  </si>
  <si>
    <t>Poole, RK</t>
  </si>
  <si>
    <t>Verde, C.; Giordano, D.; Bellas, C. M.; di Prisco, G.; Anesio, A. M.</t>
  </si>
  <si>
    <t>Polar Marine Microorganisms and Climate Change</t>
  </si>
  <si>
    <t>ADVANCES IN MICROBIAL PHYSIOLOGY, VOL 69</t>
  </si>
  <si>
    <t>Advances in Microbial Physiology</t>
  </si>
  <si>
    <t>Review; Book Chapter</t>
  </si>
  <si>
    <t>16S RIBOSOMAL-RNA; SEA-ICE; LOW-TEMPERATURE; MICROBIAL ECOLOGY; GENOME SEQUENCE; SUMMER BACTERIOPLANKTON; PSYCHROPHILIC ENZYMES; BACTERIAL COMMUNITIES; ARCHAEAL COMMUNITIES; ARCTIC-OCEAN</t>
  </si>
  <si>
    <t>The large diversity of marinemicroorganisms harboured by oceans plays an important role in planet sustainability by driving globally important biogeochemical cycles; all primary and most secondary production in the oceans is performed by microorganisms. The largest part of the planet is covered by cold environments; consequently, cold-adapted microorganisms have crucial functional roles in globally important environmental processes and biogeochemical cycles cold-adapted extremophiles are a remarkable model to shed light on the molecular basis of survival at low temperature. The indigenous populations of Antarctic and Arctic microorganisms are endowed with genetic and physiological traits that allow them to live and effectively compete at the temperatures prevailing in polar regions. Some genes, e.g. glycosyltransferases and glycosylsynthetases involved in the architecture of the cell wall, may have been acquired/retained during evolution of polar strains or lost in tropical strains. This present work focusses on temperature and its role in shaping microbial adaptations; however, in assessing the impacts of climate changes on microbial diversity and biogeochemical cycles in polar oceans, it should not be forgotten that physiological studies need to include the interaction of temperature with other abiotic and biotic factors.</t>
  </si>
  <si>
    <t>[Verde, C.; Giordano, D.; di Prisco, G.] CNR, Inst Biosci &amp; BioResources, Naples, Italy; [Verde, C.; Giordano, D.] Stn Zool Anton Dohrn, Naples, Italy; [Verde, C.] Univ Roma, Rome, Italy; [Bellas, C. M.; Anesio, A. M.] Univ Bristol, Bristol Glaciol Ctr, Bristol, Avon, England</t>
  </si>
  <si>
    <t>Consiglio Nazionale delle Ricerche (CNR); Istituto di Bioscienze e Biorisorse (IBBR-CNR); Stazione Zoologica Anton Dohrn di Napoli; Sapienza University Rome; University of Bristol</t>
  </si>
  <si>
    <t>Verde, C (corresponding author), CNR, Inst Biosci &amp; BioResources, Naples, Italy.;Verde, C (corresponding author), Stn Zool Anton Dohrn, Naples, Italy.;Verde, C (corresponding author), Univ Roma, Rome, Italy.</t>
  </si>
  <si>
    <t>c.verde@ibp.cnr.it</t>
  </si>
  <si>
    <t>Giordano, Daniela/AFK-7772-2022; Bellas, Christopher M/C-6292-2015; Anesio, Alexandre/A-7597-2008</t>
  </si>
  <si>
    <t>Giordano, Daniela/0000-0002-8891-6245; Anesio, Alexandre/0000-0003-2990-4014; Bellas, Christopher/0000-0001-5084-7830; VERDE, Cinzia/0000-0001-6185-282X</t>
  </si>
  <si>
    <t>0065-2911</t>
  </si>
  <si>
    <t>2162-5468</t>
  </si>
  <si>
    <t>978-0-12-805238-9; 978-0-12-804822-1</t>
  </si>
  <si>
    <t>ADV MICROB PHYSIOL</t>
  </si>
  <si>
    <t>Adv.Microb.Physiol.</t>
  </si>
  <si>
    <t>10.1016/bs.ampbs.2016.07.002</t>
  </si>
  <si>
    <t>Biochemistry &amp; Molecular Biology; Microbiology</t>
  </si>
  <si>
    <t>Book Citation Index – Science (BKCI-S); Science Citation Index Expanded (SCI-EXPANDED)</t>
  </si>
  <si>
    <t>BH3HC</t>
  </si>
  <si>
    <t>WOS:000399650900004</t>
  </si>
  <si>
    <t>Jin, S; Abd-Elbaky, M; Feng, G</t>
  </si>
  <si>
    <t>Jin, Shuanggen; Abd-Elbaky, Mosta; Feng, Guping</t>
  </si>
  <si>
    <t>Accelerated ice-sheet mass loss in Antarctica from 18-year satellite laser ranging measurements</t>
  </si>
  <si>
    <t>ANNALS OF GEOPHYSICS</t>
  </si>
  <si>
    <t>SEA-LEVEL RISE; GREENLAND; GRAVITY; BALANCE; GRACE; GRAVIMETRY; ERRORS</t>
  </si>
  <si>
    <t>Accurate estimation of the ice-sheet mass balance in Antarctic is very difficult due to complex ice sheet condition and sparse in-situ measurements. In this paper, the low-degree gravity field coefficients of up to degree and order 5 derived from Satellite Laser Ranging (SLR) measurements are the first used to determine the ice mass variations in Antarctica for the period 1993-2011, which are compared to Gravity Recovery and Climate Experiment (GRACE). Results show that the ice mass is is decreasing at the rate of -36 +/- 13 Gt/y in Antarctica, -42 +/- 11 Gt/y in West Antarctica and increasing at 6 +/- 10 Gt/y in East Antarctica from 1993 to 2011. The ice mass variations from the SLR 5x5 have a good agreement with the GRACE 5x5, GRACE 5x5 (1&amp;2) and GRACE (60x60) for the entire continent since 2003, but SLR solution of 5x5 is not sufficient to quantify ice losses in West and East Antarctica, respectively. The rate of ice loss in Antarctica is -28 +/- 17 Gt/y for 1993-2002 and -55 +/- 17 Gt/y for 2003-2011 within one sigma, indicating significant accelerated ice mass losses since 2003. Furthermore, the results from SLR are comparable with GRACE measurements.</t>
  </si>
  <si>
    <t>[Jin, Shuanggen; Abd-Elbaky, Mosta; Feng, Guping] Chinese Acad Sci, Shanghai Astron Observ, Shanghai, Peoples R China; [Jin, Shuanggen] Bulent Ecevit Univ, Dept Geomat Engn, Zonguldak, Turkey; [Abd-Elbaky, Mosta] Univ Chinese Acad Sci, Beijing, Peoples R China</t>
  </si>
  <si>
    <t>Chinese Academy of Sciences; Shanghai Astronomical Observatory, CAS; Bulent Ecevit University; Chinese Academy of Sciences; University of Chinese Academy of Sciences, CAS</t>
  </si>
  <si>
    <t>Jin, S (corresponding author), Chinese Acad Sci, Shanghai Astron Observ, Shanghai, Peoples R China.;Jin, S (corresponding author), Bulent Ecevit Univ, Dept Geomat Engn, Zonguldak, Turkey.</t>
  </si>
  <si>
    <t>sgjin@shao.ac.cn</t>
  </si>
  <si>
    <t>Jin, Shuanggen/B-8094-2008</t>
  </si>
  <si>
    <t>Jin, Shuanggen/0000-0002-5108-4828</t>
  </si>
  <si>
    <t>Main Direction Project of Chinese Academy of Sciences [KJCX2-EW-T03]; Shanghai Science and Technology Commission Project [12DZ2273300]; National Natural Science Foundation of China (NSFC) Project [11173050, 11373059]</t>
  </si>
  <si>
    <t>Main Direction Project of Chinese Academy of Sciences; Shanghai Science and Technology Commission Project; National Natural Science Foundation of China (NSFC) Project(National Natural Science Foundation of China (NSFC))</t>
  </si>
  <si>
    <t>We gratefully thank the Center for Space Research of University of Texas at Austin for providing gravity field coefficients from GRACE and SLR. This research is supported by the Main Direction Project of Chinese Academy of Sciences (Grant No. KJCX2-EW-T03), Shanghai Science and Technology Commission Project (Grant No. 12DZ2273300) and National Natural Science Foundation of China (NSFC) Project (Grant No. 11173050 and 11373059).</t>
  </si>
  <si>
    <t>IST NAZIONALE DI GEOFISICA E VULCANOLOGIA</t>
  </si>
  <si>
    <t>ROME</t>
  </si>
  <si>
    <t>VIA VIGNA MURATA 605, ROME, 00143, ITALY</t>
  </si>
  <si>
    <t>1593-5213</t>
  </si>
  <si>
    <t>2037-416X</t>
  </si>
  <si>
    <t>ANN GEOPHYS-ITALY</t>
  </si>
  <si>
    <t>S0101</t>
  </si>
  <si>
    <t>10.4401/ag-6782</t>
  </si>
  <si>
    <t>DG3ZN</t>
  </si>
  <si>
    <t>WOS:000372009800003</t>
  </si>
  <si>
    <t>Chown, SL; Convey, P</t>
  </si>
  <si>
    <t>Berenbaum, MR</t>
  </si>
  <si>
    <t>Chown, Steven L.; Convey, Peter</t>
  </si>
  <si>
    <t>Antarctic Entomology</t>
  </si>
  <si>
    <t>ANNUAL REVIEW OF ENTOMOLOGY, VOL 61</t>
  </si>
  <si>
    <t>Annual Review of Entomology</t>
  </si>
  <si>
    <t>biogeography; conservation; community ecology; genomics; life history; physiology</t>
  </si>
  <si>
    <t>SOUTHERN-OCEAN ISLANDS; BEETLE MERIZODUS-SOLEDADINUS; LIFE-HISTORY; BELGICA-ANTARCTICA; CLIMATE-CHANGE; MARION ISLAND; HUMAN IMPACTS; COLEOPTERA-CURCULIONIDAE; ECOLOGICAL BIOGEOGRAPHY; BOTHROMETOPUS-HUNTLEYI</t>
  </si>
  <si>
    <t>The Antarctic region comprises the continent, the Maritime Antarctic, the sub-Antarctic islands, and the southern cold temperate islands. Continental Antarctica is devoid of insects, but elsewhere diversity varies from 2 to more than 200 species, of which flies and beetles constitute the majority. Much is known about the drivers of this diversity at local and regional scales; current climate and glacial history play important roles. Investigations of responses to low temperatures, dry conditions, and varying salinity have spanned the ecological to the genomic, revealing new insights into how insects respond to stressful conditions. Biological invasions are common across much of the region and are expected to increase as climates become warmer. The drivers of invasion are reasonably well understood, although less is known about the impacts of invasion. Antarctic entomology has advanced considerably over the past 50 years, but key areas, such as interspecific interactions, remain underexplored.</t>
  </si>
  <si>
    <t>[Chown, Steven L.] Monash Univ, Sch Biol Sci, Clayton, Vic 3800, Australia; [Convey, Peter] British Antarctic Survey, NERC, Cambridge CB3 0ET, England</t>
  </si>
  <si>
    <t>Monash University; UK Research &amp; Innovation (UKRI); Natural Environment Research Council (NERC); NERC British Antarctic Survey</t>
  </si>
  <si>
    <t>Chown, SL (corresponding author), Monash Univ, Sch Biol Sci, Clayton, Vic 3800, Australia.</t>
  </si>
  <si>
    <t>steven.chown@monash.edu; pcon@bas.ac.uk</t>
  </si>
  <si>
    <t>Chown, Steven/ABD-7646-2021; Convey, Peter/AAV-5728-2020</t>
  </si>
  <si>
    <t>Convey, Peter/0000-0001-8497-9903</t>
  </si>
  <si>
    <t>NERC [bas0100036] Funding Source: UKRI; Natural Environment Research Council [bas0100036] Funding Source: researchfish</t>
  </si>
  <si>
    <t>NERC(UK Research &amp; Innovation (UKRI)Natural Environment Research Council (NERC)); Natural Environment Research Council(UK Research &amp; Innovation (UKRI)Natural Environment Research Council (NERC))</t>
  </si>
  <si>
    <t>ANNUAL REVIEWS</t>
  </si>
  <si>
    <t>PALO ALTO</t>
  </si>
  <si>
    <t>4139 EL CAMINO WAY, PO BOX 10139, PALO ALTO, CA 94303-0897 USA</t>
  </si>
  <si>
    <t>0066-4170</t>
  </si>
  <si>
    <t>1545-4487</t>
  </si>
  <si>
    <t>978-0-8243-0161-3</t>
  </si>
  <si>
    <t>ANNU REV ENTOMOL</t>
  </si>
  <si>
    <t>Annu. Rev. Entomol.</t>
  </si>
  <si>
    <t>10.1146/annurev-ento-010715-023537</t>
  </si>
  <si>
    <t>BE5AB</t>
  </si>
  <si>
    <t>WOS:000372413800008</t>
  </si>
  <si>
    <t>Gent, PR</t>
  </si>
  <si>
    <t>Carlson, CA; Giovannoni, SJ</t>
  </si>
  <si>
    <t>Gent, Peter R.</t>
  </si>
  <si>
    <t>Effects of Southern Hemisphere Wind Changes on the Meridional Overturning Circulation in Ocean Models</t>
  </si>
  <si>
    <t>ANNUAL REVIEW OF MARINE SCIENCE, VOL 8</t>
  </si>
  <si>
    <t>Annual Review of Marine Science</t>
  </si>
  <si>
    <t>Southern Ocean; eddy compensation; Atlantic Ocean</t>
  </si>
  <si>
    <t>ANTARCTIC CIRCUMPOLAR CURRENT; MESOSCALE EDDIES; AGULHAS LEAKAGE; CLIMATE-CHANGE; THERMOHALINE CIRCULATION; GLOBAL CONVEYOR; ANNULAR MODE; ATLANTIC; STRATIFICATION; STRESS</t>
  </si>
  <si>
    <t>Observations show that the Southern Hemisphere zonal wind stress maximum has increased significantly over the past 30 years. Eddy-resolving ocean models show that the resulting increase in the Southern Ocean mean flow meridional overturning circulation (MOC) is partially compensated by an increase in the eddy MOC. This effect can be reproduced in the non-eddy-resolving ocean component of a climate model, providing the eddy parameterization coefficient is variable and not a constant. If the coefficient is a constant, then the Southern Ocean mean MOC change is balanced by an unrealistically large change in the Atlantic Ocean MOC. Southern Ocean eddy compensation means that Southern Hemisphere winds cannot be the dominant mechanism driving midlatitude North Atlantic MOC variability.</t>
  </si>
  <si>
    <t>[Gent, Peter R.] Natl Ctr Atmospher Res, POB 3000, Boulder, CO 80307 USA</t>
  </si>
  <si>
    <t>National Center Atmospheric Research (NCAR) - USA</t>
  </si>
  <si>
    <t>Gent, PR (corresponding author), Natl Ctr Atmospher Res, POB 3000, Boulder, CO 80307 USA.</t>
  </si>
  <si>
    <t>gent@ucar.edu</t>
  </si>
  <si>
    <t>Gent, Peter/HGB-9457-2022</t>
  </si>
  <si>
    <t>1941-1405</t>
  </si>
  <si>
    <t>978-0-8243-4508-2</t>
  </si>
  <si>
    <t>ANNU REV MAR SCI</t>
  </si>
  <si>
    <t>Annu. Rev. Mar. Sci.</t>
  </si>
  <si>
    <t>10.1146/annurev-marine-122414-033929</t>
  </si>
  <si>
    <t>Geochemistry &amp; Geophysics; Marine &amp; Freshwater Biology; Oceanography</t>
  </si>
  <si>
    <t>BE1QC</t>
  </si>
  <si>
    <t>WOS:000368369200005</t>
  </si>
  <si>
    <t>Talley, LD; Feely, RA; Sloyan, BM; Wanninkhof, R; Baringer, MO; Bullister, JL; Carlson, CA; Doney, SC; Fine, RA; Firing, E; Gruber, N; Hansell, DA; Ishii, M; Johnson, GC; Katsumata, K; Key, RM; Kramp, M; Langdon, C; Macdonald, AM; Mathis, JT; McDonagh, EL; Mecking, S; Millero, FJ; Mordy, CW; Nakano, T; Sabine, CL; Smethie, WM; Swift, JH; Tanhua, T; Thurnherr, AM; Warner, MJ; Zhang, JZ</t>
  </si>
  <si>
    <t>Talley, L. D.; Feely, R. A.; Sloyan, B. M.; Wanninkhof, R.; Baringer, M. O.; Bullister, J. L.; Carlson, C. A.; Doney, S. C.; Fine, R. A.; Firing, E.; Gruber, N.; Hansell, D. A.; Ishii, M.; Johnson, G. C.; Katsumata, K.; Key, R. M.; Kramp, M.; Langdon, C.; Macdonald, A. M.; Mathis, J. T.; McDonagh, E. L.; Mecking, S.; Millero, F. J.; Mordy, C. W.; Nakano, T.; Sabine, C. L.; Smethie, W. M.; Swift, J. H.; Tanhua, T.; Thurnherr, A. M.; Warner, M. J.; Zhang, J. -Z.</t>
  </si>
  <si>
    <t>Changes in Ocean Heat, Carbon Content, and Ventilation: A Review of the First Decade of GO-SHIP Global Repeat Hydrography</t>
  </si>
  <si>
    <t>anthropogenic climate change; ocean temperature change; salinity change; ocean carbon cycle; ocean oxygen and nutrients; ocean chlorofluorocarbons; ocean circulation change; ocean mixing</t>
  </si>
  <si>
    <t>DISSOLVED ORGANIC-CARBON; APPARENT OXYGEN UTILIZATION; ANTARCTIC BOTTOM WATER; MERIDIONAL OVERTURNING CIRCULATION; TRANSIT-TIME DISTRIBUTIONS; NORTH-ATLANTIC OCEAN; SUB-ARCTIC PACIFIC; SEA-LEVEL RISE; ANTHROPOGENIC CO2; SOUTHERN-OCEAN</t>
  </si>
  <si>
    <t>Global ship-based programs, with highly accurate, full water column physical and biogeochemical observations repeated decadally since the 1970s, provide a crucial resource for documenting ocean change. The ocean, a central component of Earth's climate system, is taking up most of Earth's excess anthropogenic heat, with about 19% of this excess in the abyssal ocean beneath 2,000 m, dominated by Southern Ocean warming. The ocean also has taken up about 27% of anthropogenic carbon, resulting in acidification of the upper ocean. Increased stratification has resulted in a decline in oxygen and increase in nutrients in the Northern Hemisphere thermocline and an expansion of tropical oxygen minimum zones. Southern Hemisphere thermocline oxygen increased in the 2000s owing to stronger wind forcing and ventilation. The most recent decade of global hydrography has mapped dissolved organic carbon, a large, bioactive reservoir, for the first time and quantified its contribution to export production (similar to 20%) and deep-ocean oxygen utilization. Ship-based measurements also show that vertical diffusivity increases from a minimum in the thermocline to a maximum within the bottom 1,500 m, shifting our physical paradigm of the ocean's overturning circulation.</t>
  </si>
  <si>
    <t>[Talley, L. D.; Swift, J. H.] Univ Calif San Diego, Scripps Inst Oceanog, La Jolla, CA 92093 USA; [Feely, R. A.; Bullister, J. L.; Johnson, G. C.; Mathis, J. T.; Mordy, C. W.; Sabine, C. L.] NOAA, Pacific Marine Environm Lab, 7600 Sand Point Way Ne, Seattle, WA 98115 USA; [Sloyan, B. M.] CSIRO, Hobart, Tas 7001, Australia; [Wanninkhof, R.; Baringer, M. O.; Zhang, J. -Z.] NOAA, Atlantic Oceanog &amp; Meteorol Lab, Miami, FL 33149 USA; [Carlson, C. A.] Univ Calif Santa Barbara, Dept Ecol Evolut &amp; Marine Biol, Santa Barbara, CA 93106 USA; [Doney, S. C.; Fine, R. A.; Macdonald, A. M.] Woods Hole Oceanog Inst, Woods Hole, MA 02543 USA; [Fine, R. A.; Hansell, D. A.; Langdon, C.; Millero, F. J.] Univ Miami, Rosenstiel Sch Marine &amp; Atmospher Sci, 4600 Rickenbacker Causeway, Miami, FL 33149 USA; [Firing, E.] Univ Hawaii Manoa, Dept Oceanog, Honolulu, HI 96822 USA; [Gruber, N.] ETH, Inst Biogeochem &amp; Pollutant Dynam, CH-8092 Zurich, Switzerland; [Ishii, M.] Japan Meteorol Agcy, Res Inst, Tsukuba, Ibaraki 3050052, Japan; [Katsumata, K.] Japan Agcy Marine Earth Sci &amp; Technol JAMSTEC, Yokosuka, Kanagawa 2370061, Japan; [Key, R. M.] Princeton Univ, Program Atmospher &amp; Ocean Sci, Princeton, NJ 08544 USA; [Kramp, M.] Technopole Brest Iroise, JCOMM In Situ Observat Programme Support Ctr JCOM, F-29280 Plouzane, France; [McDonagh, E. L.] Natl Oceanog Ctr, Southampton SO14 3ZH, Hants, England; [Mecking, S.] Univ Washington, Appl Phys Lab, Seattle, WA 98105 USA; [Mordy, C. W.] Univ Washington, Joint Inst Study Atmosphere &amp; Ocean, Seattle, WA 98195 USA; [Nakano, T.] Japan Meteorol Agcy, Tokyo 1008122, Japan; [Smethie, W. M.; Thurnherr, A. M.] Columbia Univ, Lamont Doherty Earth Observ, Palisades, NY 10964 USA; [Tanhua, T.] GEOMAR Helmholtz Ctr Ocean Res Kiel, D-24015 Kiel, Germany; [Warner, M. J.] Univ Washington, Sch Oceanog, Seattle, WA 98195 USA</t>
  </si>
  <si>
    <t>University of California System; University of California San Diego; Scripps Institution of Oceanography; National Oceanic Atmospheric Admin (NOAA) - USA; Commonwealth Scientific &amp; Industrial Research Organisation (CSIRO); National Oceanic Atmospheric Admin (NOAA) - USA; Atlantic Oceanographic &amp; Meteorological Laboratory (AOML); University of California System; University of California Santa Barbara; Woods Hole Oceanographic Institution; University of Miami; University of Hawaii System; University of Hawaii Manoa; Swiss Federal Institutes of Technology Domain; ETH Zurich; Japan Meteorological Agency; Japan Agency for Marine-Earth Science &amp; Technology (JAMSTEC); Princeton University; National Oceanic Atmospheric Admin (NOAA) - USA; NERC National Oceanography Centre; University of Washington; University of Washington Seattle; University of Washington; University of Washington Seattle; Japan Meteorological Agency; Columbia University; Helmholtz Association; GEOMAR Helmholtz Center for Ocean Research Kiel; University of Washington; University of Washington Seattle</t>
  </si>
  <si>
    <t>Talley, LD; Swift, JH (corresponding author), Univ Calif San Diego, Scripps Inst Oceanog, La Jolla, CA 92093 USA.;Feely, RA; Bullister, JL; Johnson, GC; Mathis, JT; Mordy, CW; Sabine, CL (corresponding author), NOAA, Pacific Marine Environm Lab, 7600 Sand Point Way Ne, Seattle, WA 98115 USA.;Sloyan, BM (corresponding author), CSIRO, Hobart, Tas 7001, Australia.;Wanninkhof, R; Baringer, MO; Zhang, JZ (corresponding author), NOAA, Atlantic Oceanog &amp; Meteorol Lab, Miami, FL 33149 USA.;Carlson, CA (corresponding author), Univ Calif Santa Barbara, Dept Ecol Evolut &amp; Marine Biol, Santa Barbara, CA 93106 USA.;Doney, SC; Fine, RA; Macdonald, AM (corresponding author), Woods Hole Oceanog Inst, Woods Hole, MA 02543 USA.;Fine, RA; Hansell, DA; Langdon, C; Millero, FJ (corresponding author), Univ Miami, Rosenstiel Sch Marine &amp; Atmospher Sci, 4600 Rickenbacker Causeway, Miami, FL 33149 USA.;Firing, E (corresponding author), Univ Hawaii Manoa, Dept Oceanog, Honolulu, HI 96822 USA.;Gruber, N (corresponding author), ETH, Inst Biogeochem &amp; Pollutant Dynam, CH-8092 Zurich, Switzerland.;Ishii, M (corresponding author), Japan Meteorol Agcy, Res Inst, Tsukuba, Ibaraki 3050052, Japan.;Katsumata, K (corresponding author), Japan Agcy Marine Earth Sci &amp; Technol JAMSTEC, Yokosuka, Kanagawa 2370061, Japan.;Key, RM (corresponding author), Princeton Univ, Program Atmospher &amp; Ocean Sci, Princeton, NJ 08544 USA.;Kramp, M (corresponding author), Technopole Brest Iroise, JCOMM In Situ Observat Programme Support Ctr JCOM, F-29280 Plouzane, France.;McDonagh, EL (corresponding author), Natl Oceanog Ctr, Southampton SO14 3ZH, Hants, England.;Mecking, S (corresponding author), Univ Washington, Appl Phys Lab, Seattle, WA 98105 USA.;Mordy, CW (corresponding author), Univ Washington, Joint Inst Study Atmosphere &amp; Ocean, Seattle, WA 98195 USA.;Nakano, T (corresponding author), Japan Meteorol Agcy, Tokyo 1008122, Japan.;Smethie, WM; Thurnherr, AM (corresponding author), Columbia Univ, Lamont Doherty Earth Observ, Palisades, NY 10964 USA.;Tanhua, T (corresponding author), GEOMAR Helmholtz Ctr Ocean Res Kiel, D-24015 Kiel, Germany.;Warner, MJ (corresponding author), Univ Washington, Sch Oceanog, Seattle, WA 98195 USA.</t>
  </si>
  <si>
    <t>ltalley@ucsd.edu; richard.a.feely@noaa.gov; bernadette.sloyan@csiro.au; rik.wanninkhof@noaa.gov; molly.baringer@noaa.gov; john.l.bullister@noaa.gov; carlson@lifesci.ucsb.edu; sdoney@whoi.edu; rfine@rsmas.miami.edu; efiring@hawaii.edu; nicolas.gruber@env.ethz.ch; dhansell@rsmas.miami.edu; mishii@mri-jma.go.jp; gregory.c.johnson@noaa.gov; k.katsumata@jamstec.go.jp; key@princeton.edu; mkramp@jcommops.org; clangdon@rsmas.miami.edu; amacdonald@whoi.edu; jeremy.mathis@noaa.gov; e.mcdonagh@noc.ac.uk; mecking@uw.edu; fmillero@rsmas.miami.edu; mordy@uw.edu; ant@ldeo.columbia.edu; chris.sabine@noaa.gov; bsmeth@ldeo.columbia.edu; jswift@ucsd.edu; ttanhua@geomar.de; ant@ldeo.columbia.edu; warner@u.washington.edu; jia-zhong.zhang@noaa.gov</t>
  </si>
  <si>
    <t>Tanhua, Toste/HLX-5402-2023; Sloyan, Bernadette/N-8989-2014; Feely, Richard A./ABI-5740-2020; Zhang, Jia-Zhong/B-7708-2008; Mordy, Calvin W/J-6808-2017; Gruber, Nicolas/B-7013-2009; Hansell, Dennis A./AAC-1271-2019; Doney, Scott/F-9247-2010; Langdon, Chris/A-1543-2016; Johnson, Gregory C/I-6559-2012; Baringer, Molly O/D-2277-2012; Katsumata, Katsuro/AAR-5034-2020</t>
  </si>
  <si>
    <t>Sloyan, Bernadette/0000-0003-0250-0167; Zhang, Jia-Zhong/0000-0002-1138-2556; Gruber, Nicolas/0000-0002-2085-2310; Hansell, Dennis A./0000-0001-9275-3445; Doney, Scott/0000-0002-3683-2437; Langdon, Chris/0000-0002-3043-3806; Johnson, Gregory C/0000-0002-8023-4020; Katsumata, Katsuro/0000-0002-4683-7610; Thurnherr, Andreas/0000-0002-1977-7122; Talley, Lynne/0000-0003-1574-729X; Warner, Mark J/0000-0001-7678-441X; NAKANO, Toshiya/0000-0003-1846-907X; Ishii, Masao/0000-0002-7328-4599; McDonagh, Elaine/0000-0002-8813-4585; Swift, James/0000-0003-0957-5444; Firing, Eric/0000-0002-7745-6888</t>
  </si>
  <si>
    <t>Directorate For Geosciences; Division Of Ocean Sciences [1437015, 1059886, 0752972] Funding Source: National Science Foundation; Division Of Ocean Sciences; Directorate For Geosciences [1434000] Funding Source: National Science Foundation; Natural Environment Research Council [NE/N018095/1, NE/M005046/1, NE/K004387/1, NE/K00249X/1, noc010012, NE/K002473/1] Funding Source: researchfish; NERC [NE/M005046/1, NE/K002473/1, NE/K004387/1, NE/N018095/1, NE/K00249X/1] Funding Source: UKRI; Grants-in-Aid for Scientific Research [24121003] Funding Source: KAKEN</t>
  </si>
  <si>
    <t>Directorate For Geosciences; Division Of Ocean Sciences(National Science Foundation (NSF)NSF - Directorate for Geosciences (GEO)); Division Of Ocean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</si>
  <si>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10.1146/annurev-marine-052915-100829</t>
  </si>
  <si>
    <t>WOS:000368369200009</t>
  </si>
  <si>
    <t>Edgar, GJ; Bates, AE; Bird, TJ; Jones, AH; Kininmonth, S; Stuart-Smith, RD; Webb, TJ</t>
  </si>
  <si>
    <t>Edgar, Graham J.; Bates, Amanda E.; Bird, Tomas J.; Jones, Alun H.; Kininmonth, Stuart; Stuart-Smith, Rick D.; Webb, Thomas J.</t>
  </si>
  <si>
    <t>New Approaches to Marine Conservation Through the Scaling Up of Ecological Data</t>
  </si>
  <si>
    <t>biological diversity; citizen science; ecological monitoring; ecosystem management; macroecology; underwater visual census</t>
  </si>
  <si>
    <t>ESTIMATING SITE OCCUPANCY; SIZE-BASED INDICATORS; PROTECTED AREAS; SPATIAL AUTOCORRELATION; GLOBAL OCEAN; BIODIVERSITY INFORMATICS; MAXIMUM-LIKELIHOOD; RECAPTURE-RECOVERY; CLIMATE-CHANGE; MODELS</t>
  </si>
  <si>
    <t>In an era of rapid global change, conservation managers urgently need improved tools to track and counter declining ecosystem conditions. This need is particularly acute in the marine realm, where threats are out of sight, inadequately mapped, cumulative, and often poorly understood, thereby generating impacts that are inefficiently managed. Recent advances in macroecology, statistical analysis, and the compilation of global data will play a central role in improving conservation outcomes, provided that global, regional, and local data streams can be integrated to produce locally relevant and interpretable outputs. Progress will be assisted by (a) expanded rollout of systematic surveys that quantify species patterns, including some carried out with help from citizen scientists; (b) coordinated experimental research networks that utilize large-scale manipulations to identify mechanisms underlying these patterns; (c) improved understanding of consequences of threats through the application of recently developed statistical techniques to analyze global species' distributional data and associated environmental and socioeconomic factors; (d) development of reliable ecological indicators for accurate and comprehensible tracking of threats; and (e) improved data-handling and communication tools.</t>
  </si>
  <si>
    <t>[Edgar, Graham J.; Stuart-Smith, Rick D.] Univ Tasmania, Inst Marine &amp; Antarctic Studies, Hobart, Tas 7004, Australia; [Bates, Amanda E.] Univ Southampton, Natl Oceanog Ctr Southampton, Southampton SO14 3ZH, Hants, England; [Bird, Tomas J.] Univ Southampton, Dept Geog &amp; Environm, Southampton SO17 1BJ, Hants, England; [Jones, Alun H.; Webb, Thomas J.] Univ Sheffield, Dept Anim &amp; Plant Sci, Sheffield S10 2TN, S Yorkshire, England; [Kininmonth, Stuart] Stockholm Univ, Stockholm Resilience Ctr, SE-10691 Stockholm, Sweden</t>
  </si>
  <si>
    <t>University of Tasmania; NERC National Oceanography Centre; University of Southampton; University of Southampton; University of Sheffield; Stockholm University</t>
  </si>
  <si>
    <t>Edgar, GJ; Stuart-Smith, RD (corresponding author), Univ Tasmania, Inst Marine &amp; Antarctic Studies, Hobart, Tas 7004, Australia.;Bates, AE (corresponding author), Univ Southampton, Natl Oceanog Ctr Southampton, Southampton SO14 3ZH, Hants, England.;Bird, TJ (corresponding author), Univ Southampton, Dept Geog &amp; Environm, Southampton SO17 1BJ, Hants, England.;Bird, TJ; Jones, AH; Webb, TJ (corresponding author), Univ Sheffield, Dept Anim &amp; Plant Sci, Sheffield S10 2TN, S Yorkshire, England.;Kininmonth, S (corresponding author), Stockholm Univ, Stockholm Resilience Ctr, SE-10691 Stockholm, Sweden.</t>
  </si>
  <si>
    <t>g.edgar@utas.edu.au; a.e.bates@soton.ac.uk; tomasbird@gmail.com; ahjones1@sheffield.ac.uk; stuart@kininmonth.com.au; rick.stuartsmith@utas.edu.au; t.j.webb@sheffield.ac.uk</t>
  </si>
  <si>
    <t>Stuart-Smith, Rick/I-5214-2019; Stuart-Smith, Rick D/M-1829-2013; Edgar, Graham/AAY-3797-2020; Kininmonth, Stuart/N-9299-2013; Bates, Amanda E./ABD-6874-2021; Webb, Tom/D-5224-2011</t>
  </si>
  <si>
    <t>Stuart-Smith, Rick/0000-0002-8874-0083; Stuart-Smith, Rick D/0000-0002-8874-0083; Edgar, Graham/0000-0003-0833-9001; Kininmonth, Stuart/0000-0001-9198-3396; Bates, Amanda E./0000-0002-0198-4537; Jones, Alun/0000-0001-9326-6542; Webb, Tom/0000-0003-3183-8116</t>
  </si>
  <si>
    <t>Natural Environment Research Council [NE/L00321X/1, 1517129] Funding Source: researchfish; NERC [NE/L00321X/1] Funding Source: UKRI</t>
  </si>
  <si>
    <t>Natural Environment Research Council(UK Research &amp; Innovation (UKRI)Natural Environment Research Council (NERC)); NERC(UK Research &amp; Innovation (UKRI)Natural Environment Research Council (NERC))</t>
  </si>
  <si>
    <t>10.1146/annurev-marine-122414-033921</t>
  </si>
  <si>
    <t>WOS:000368369200019</t>
  </si>
  <si>
    <t>Benoit-Bird, KJ; Lawson, GL</t>
  </si>
  <si>
    <t>Benoit-Bird, Kelly J.; Lawson, Gareth L.</t>
  </si>
  <si>
    <t>Ecological Insights from Pelagic Habitats Acquired Using Active Acoustic Techniques</t>
  </si>
  <si>
    <t>ecology; ocean; sonar; echo sounder; acoustical oceanography; fisheries acoustics</t>
  </si>
  <si>
    <t>SHALLOW SCATTERING LAYER; VERTICAL MIGRATION; ANTARCTIC KRILL; HERRING SCHOOL; EUPHAUSIID AGGREGATIONS; MOZAMBIQUE CHANNEL; FISH AGGREGATIONS; SOUND-SCATTERING; PACIFIC-OCEAN; LIFE-HISTORY</t>
  </si>
  <si>
    <t>Marine pelagic ecosystems present fascinating opportunities for ecological investigation but pose important methodological challenges for sampling. Active acoustic techniques involve producing sound and receiving signals from organisms and other water column sources, offering the benefit of high spatial and temporal resolution and, via integration into different platforms, the ability to make measurements spanning a range of spatial and temporal scales. As a consequence, a variety of questions concerning the ecology of pelagic systems lend themselves to active acoustics, ranging from organism-level investigations and physiological responses to the environment to ecosystem-level studies and climate. As technologies and data analysis methods have matured, the use of acoustics in ecological studies has grown rapidly. We explore the continued role of active acoustics in addressing questions concerning life in the ocean, highlight creative applications to key ecological themes ranging from physiology and behavior to biogeography and climate, and discuss emerging avenues where acoustics can help determine how pelagic ecosystems function.</t>
  </si>
  <si>
    <t>[Benoit-Bird, Kelly J.] Oregon State Univ, Coll Earth Ocean &amp; Atmospher Sci, Corvallis, OR 97333 USA; [Lawson, Gareth L.] Woods Hole Oceanog Inst, Dept Biol, Woods Hole, MA 02543 USA</t>
  </si>
  <si>
    <t>Oregon State University; Woods Hole Oceanographic Institution</t>
  </si>
  <si>
    <t>Benoit-Bird, KJ (corresponding author), Oregon State Univ, Coll Earth Ocean &amp; Atmospher Sci, Corvallis, OR 97333 USA.;Lawson, GL (corresponding author), Woods Hole Oceanog Inst, Dept Biol, Woods Hole, MA 02543 USA.</t>
  </si>
  <si>
    <t>kbenoit@coas.oregonstate.edu; glawson@whoi.edu</t>
  </si>
  <si>
    <t>Benoit-Bird, Kelly J./0000-0002-5868-0390</t>
  </si>
  <si>
    <t>10.1146/annurev-marine-122414-034001</t>
  </si>
  <si>
    <t>WOS:000368369200020</t>
  </si>
  <si>
    <t>Jungblut, AD; Hawes, I; Mackey, TJ; Krusor, M; Doran, PT; Sumner, DY; Eisen, JA; Hillman, C; Goroncy, AK</t>
  </si>
  <si>
    <t>Jungblut, Anne D.; Hawes, Ian; Mackey, Tyler J.; Krusor, Megan; Doran, Peter T.; Sumner, Dawn Y.; Eisen, Jonathan A.; Hillman, Colin; Goroncy, Alexander K.</t>
  </si>
  <si>
    <t>Microbial Mat Communities along an Oxygen Gradient in a Perennially Ice-Covered Antarctic Lake</t>
  </si>
  <si>
    <t>APPLIED AND ENVIRONMENTAL MICROBIOLOGY</t>
  </si>
  <si>
    <t>MCMURDO DRY VALLEYS; ENVIRONMENTAL-CHANGE; FRYXELL BASIN; TAYLOR VALLEY; DIVERSITY; HOARE; GROWTH; SULFIDE; PHOTOSYNTHESIS; GEOCHEMISTRY</t>
  </si>
  <si>
    <t>Lake Fryxell is a perennially ice-covered lake in the McMurdo Dry Valleys, Antarctica, with a sharp oxycline in a water column that is density stabilized by a gradient in salt concentration. Dissolved oxygen falls from 20 mg liter(-1) to undetectable over one vertical meter from 8.9- to 9.9-m depth. We provide the first description of the benthic mat community that falls within this oxygen gradient on the sloping floor of the lake, using a combination of micro-and macroscopic morphological descriptions, pigment analysis, and 16S rRNA gene bacterial community analysis. Our work focused on three macroscopic mat morphologies that were associated with different parts of the oxygen gradient: (i) cuspate pinnacles in the upper hyperoxic zone, which displayed complex topography and were dominated by phycoerythrin-rich cyanobacteria attributable to the genus Leptolyngbya and a diverse but sparse assemblage of pennate diatoms; (ii) a less topographically complex ridge-pit mat located immediately above the oxic-anoxic transition containing Leptolyngbya and an increasing abundance of diatoms; and (iii) flat prostrate mats in the upper anoxic zone, dominated by a green cyanobacterium phylogenetically identified as Phormidium pseudopriestleyi and a single diatom, Diadesmis contenta. Zonation of bacteria was by lake depth and by depth into individual mats. Deeper mats had higher abundances of bacteriochlorophylls and anoxygenic phototrophs, including Chlorobi and Chloroflexi. This suggests that microbial communities form assemblages specific to niche-like locations. Mat morphologies, underpinned by cyanobacterial and diatom composition, are the result of local habitat conditions likely defined by irradiance and oxygen and sulfide concentrations.</t>
  </si>
  <si>
    <t>[Jungblut, Anne D.] Nat Hist Museum, Dept Life Sci, Cromwell Rd, London SW7 5BD, England; [Hawes, Ian; Hillman, Colin; Goroncy, Alexander K.] Univ Canterbury, Christchurch 1, New Zealand; [Mackey, Tyler J.; Sumner, Dawn Y.] Univ Calif Davis, Dept Earth &amp; Planetary Sci, Davis, CA 95616 USA; [Krusor, Megan; Eisen, Jonathan A.] Univ Calif Davis, Microbiol Grad Grp, Davis, CA 95616 USA; [Doran, Peter T.; Eisen, Jonathan A.] Louisiana State Univ, Dept Geol &amp; Geophys, Baton Rouge, LA 70803 USA</t>
  </si>
  <si>
    <t>Natural History Museum London; University of Canterbury; University of California System; University of California Davis; University of California System; University of California Davis; Louisiana State University System; Louisiana State University</t>
  </si>
  <si>
    <t>Jungblut, AD (corresponding author), Nat Hist Museum, Dept Life Sci, Cromwell Rd, London SW7 5BD, England.</t>
  </si>
  <si>
    <t>a.jungblut@nhm.ac.uk</t>
  </si>
  <si>
    <t>Dillon, Megan/U-8656-2019; Eisen, Jonathan A./H-2706-2019; Sumner, Dawn/E-8744-2011</t>
  </si>
  <si>
    <t>Dillon, Megan/0000-0002-5706-6989; Eisen, Jonathan A./0000-0002-0159-2197; Sumner, Dawn/0000-0002-7343-2061; Hawes, Ian/0000-0003-2471-6903; Mackey, Tyler/0000-0001-6377-3797; Goroncy, Alexander/0000-0002-9192-174X</t>
  </si>
  <si>
    <t>NSF [1115245]; NASA Astrobiology grant [NN13AI60G]; MiSeq Competition MkIIm by New Zealand Genome limited award; Office of Polar Programs (OPP); Directorate For Geosciences [1115245] Funding Source: National Science Foundation</t>
  </si>
  <si>
    <t>NSF(National Science Foundation (NSF)); NASA Astrobiology grant; MiSeq Competition MkIIm by New Zealand Genome limited award; Office of Polar Programs (OPP); Directorate For Geosciences(National Science Foundation (NSF)NSF - Directorate for Geosciences (GEO))</t>
  </si>
  <si>
    <t>The work was supported in part by NSF grant 1115245 to P.T.D., NASA Astrobiology grant NN13AI60G to D.Y.S., and a MiSeq Competition MkIIm by New Zealand Genome limited award to I.H. and A.D.J.</t>
  </si>
  <si>
    <t>AMER SOC MICROBIOLOGY</t>
  </si>
  <si>
    <t>1752 N ST NW, WASHINGTON, DC 20036-2904 USA</t>
  </si>
  <si>
    <t>0099-2240</t>
  </si>
  <si>
    <t>1098-5336</t>
  </si>
  <si>
    <t>APPL ENVIRON MICROB</t>
  </si>
  <si>
    <t>Appl. Environ. Microbiol.</t>
  </si>
  <si>
    <t>10.1128/AEM.02699-15</t>
  </si>
  <si>
    <t>Biotechnology &amp; Applied Microbiology; Microbiology</t>
  </si>
  <si>
    <t>DC7BL</t>
  </si>
  <si>
    <t>Green Published, Bronze</t>
  </si>
  <si>
    <t>WOS:000369373200021</t>
  </si>
  <si>
    <t>Kaur-Kahlon, G; Kumar, S; Rehnstam-Holm, AS; Rai, A; Bhavya, PS; Edler, L; Singh, A; Andersson, B; Karunasagar, I; Ramesh, R; Godhe, A</t>
  </si>
  <si>
    <t>Kaur-Kahlon, Gurpreet; Kumar, Sanjeev; Rehnstam-Holm, Ann-Sofi; Rai, Ashwin; Bhavya, P. S.; Edler, Lars; Singh, Arvind; Andersson, Bjorn; Karunasagar, Indrani; Ramesh, Rengaswamy; Godhe, Anna</t>
  </si>
  <si>
    <t>Response of a coastal tropical pelagic microbial community to changing salinity and temperature</t>
  </si>
  <si>
    <t>AQUATIC MICROBIAL ECOLOGY</t>
  </si>
  <si>
    <t>Phytoplankton; Bacteria; Climate change; Temperature; Salinity; Structural equation modeling; Tropical microbial community</t>
  </si>
  <si>
    <t>HETEROTROPHIC SEAWATER MESOCOSMS; VIBRIO-PARAHAEMOLYTICUS; CLIMATE-CHANGE; PHYTOPLANKTON; DYNAMICS; BACTERIA; MONSOON; SEA; PATTERNS; DIATOMS</t>
  </si>
  <si>
    <t>Studies on the responses of tropical microbial communities to changing hydrographic conditions are poorly represented. We present here the results from a mesocosm experiment conducted in coastal southwestern India to investigate how changes in temperature and salinity may affect a coastal tropical microbial community. The onset of algal and bacterial blooms, maximum production and biomass, and the interrelationship between phytoplankton and bacteria were studied in replicated mesocosms. The treatments were set up to feature ambient conditions (28 degrees C, 35 PSU), hyposalinity (31 PSU), warming (31 degrees C), and a double manipulation treatment with warming and hyposalinity (31 degrees C, 31 PSU). The hyposaline treatment had the most considerable influence, manifested as significantly lower primary production, and the most dissimilar micro-phytoplankton species community. The increased temperature acted as a catalyst in the double manipulation treatment, and higher primary production was maintained. We investigated the dynamics of the microbial community with a structural equation model and found a significant interrelationship between phytoplankton biomass and bacterial abundance. Using this methodology, it became evident that temperature and salinity changes, individually and together, mediate direct and indirect effects that influence different compartments of the microbial loop. In the face of climate change, we suggest that in relatively nutrient-replete tropical coastal zones, salinity and temperature changes will affect nutrient assimilation, with subsequent significant effects on the quantity of microbial biomass and production.</t>
  </si>
  <si>
    <t>[Kaur-Kahlon, Gurpreet; Singh, Arvind; Andersson, Bjorn; Godhe, Anna] Univ Gothenburg, Dept Marine Sci, S-40530 Gothenburg, Sweden; [Kumar, Sanjeev; Bhavya, P. S.; Singh, Arvind; Ramesh, Rengaswamy] Phys Res Lab, Geosci Div, Ahmadabad 380009, Gujarat, India; [Rehnstam-Holm, Ann-Sofi] Kristianstad Univ, Dept Sci, S-29188 Kristianstad, Sweden; [Rai, Ashwin; Karunasagar, Indrani] Karnataka Vet Anim &amp; Fisheries Sci Univ, Coll Fisheries, Dept Fishery Microbiol, Mangalore 575002, India; [Edler, Lars] WEAQ Lab, S-26252 Angelholm, Sweden; [Karunasagar, Indrani] Nitte Univ, Mangalore 575018, India</t>
  </si>
  <si>
    <t>University of Gothenburg; Department of Space (DoS), Government of India; Physical Research Laboratory - India; Kristianstad University; College of Fisheries, Mangalore; NITTE (Deemed to be University)</t>
  </si>
  <si>
    <t>Godhe, A (corresponding author), Univ Gothenburg, Dept Marine Sci, S-40530 Gothenburg, Sweden.</t>
  </si>
  <si>
    <t>anna.godhe@marine.gu.se</t>
  </si>
  <si>
    <t>Kumar, Sanjeev/JTV-5459-2023; Singh, Arvind/AAW-7130-2020</t>
  </si>
  <si>
    <t>Singh, Arvind/0000-0002-3060-891X; Andersson, Bjorn/0000-0003-4297-2927</t>
  </si>
  <si>
    <t>Graduate School in Marine Environmental Research; Gothenburg Centre for Marine Sciences, University of Gothenburg; Sida-Formas [2009-1949]; VR-Swedish Research Links [2009-6499]</t>
  </si>
  <si>
    <t>Graduate School in Marine Environmental Research; Gothenburg Centre for Marine Sciences, University of Gothenburg; Sida-Formas; VR-Swedish Research Links</t>
  </si>
  <si>
    <t>We thank Professor Helle Ploug, Department of Marine Sciences at the University of Gothenburg, Dr. Sebastien Moreau, Institute for Marine and Antarctic Studies at the University of Tasmania, and 2 anonymous reviewers; all for constructive criticism on the manuscript. G.K.K. is supported by the Graduate School in Marine Environmental Research, Gothenburg Centre for Marine Sciences, University of Gothenburg. This work was supported by grants to A.G. from Sida-Formas (2009-1949) and VR-Swedish Research Links (2009-6499).</t>
  </si>
  <si>
    <t>0948-3055</t>
  </si>
  <si>
    <t>1616-1564</t>
  </si>
  <si>
    <t>AQUAT MICROB ECOL</t>
  </si>
  <si>
    <t>Aquat. Microb. Ecol.</t>
  </si>
  <si>
    <t>10.3354/ame01785</t>
  </si>
  <si>
    <t>Ecology; Marine &amp; Freshwater Biology; Microbiology</t>
  </si>
  <si>
    <t>Environmental Sciences &amp; Ecology; Marine &amp; Freshwater Biology; Microbiology</t>
  </si>
  <si>
    <t>DQ5MH</t>
  </si>
  <si>
    <t>WOS:000379249000004</t>
  </si>
  <si>
    <t>Lee, K; Yim, JH; Lee, HK; Pyo, S</t>
  </si>
  <si>
    <t>Lee, Kyoungran; Yim, Joung-Han; Lee, Hong-Kum; Pyo, Suhkneung</t>
  </si>
  <si>
    <t>Inhibition of VCAM-1 expression on mouse vascular smooth muscle cells by lobastin via downregulation of p38, ERK 1/2 and NF-κB signaling pathways</t>
  </si>
  <si>
    <t>ARCHIVES OF PHARMACAL RESEARCH</t>
  </si>
  <si>
    <t>Lobastin; Vascular cell adhesion molecule-1; Atherosclerosis; NF-kappa B; MAPK</t>
  </si>
  <si>
    <t>TUMOR-NECROSIS-FACTOR; ADHESION MOLECULE-1 EXPRESSION; FACTOR-ALPHA; TNF-ALPHA; TRANSCRIPTIONAL REGULATION; INTIMAL HYPERPLASIA; EPITHELIAL-CELLS; GENE-EXPRESSION; ATHEROSCLEROSIS; INVOLVEMENT</t>
  </si>
  <si>
    <t>Atherosclerosis is a chronic inflammatory disease, the progression of which is associated with the increased expression of cell adhesion molecules on vascular smooth muscle cells (VSMCs). Lobastin is a new pseudodepsidone isolated from Stereocaulon alpinum, Antarctic lichen, which is known to have antioxidant and antibacterial activities. However, the nature of the biological effects of lobastin still remains unclear. In the present study, we examine the effect of lobastin on the expression of vascular cell adhesion molecules (VCAM-1) induced by TNF-alpha in the cultured mouse VSMC cell line, MOVAS-1. Pretreatment of VSMCs for 2 h with lobastin (0.1-10 mu g/ml) concentration-dependently inhibited TNF-alpha-induced protein expression of VCAM-1. Lobastin also inhibited TNF-alpha-induced production of intracellular reactive oxygen species (ROS). Lobastin abrogated TNF-alpha-induced phosphorylation of p38 and ERK 1/2, but not JNK, and also inhibited TNF-alpha-induced NK-kappa B activation. In addition, lobastin suppressed TNF-alpha-induced I kappa B kinase activation, subsequent degradation of I kappa B alpha and nuclear translocation of p65 NF-kappa B. Our results indicate that lobastin downregulates the TNF-alpha-mediated induction of VCAM-1 in VSMC by inhibiting the p38, ERK 1/2 and NF-kappa B signaling pathways and intracellular ROS generation. Thus, lobastin may be an important regulator of inflammation in the atherosclerotic lesion and a novel therapeutic drug for the treatment of atherosclerosis.</t>
  </si>
  <si>
    <t>[Lee, Kyoungran; Pyo, Suhkneung] Sungkyunkwan Univ, Sch Pharm, Suwon 440746, Gyeonggi Do, South Korea; [Yim, Joung-Han; Lee, Hong-Kum] KORDI, Korea Polar Res Inst, Polar BioCtr, Inchon, South Korea</t>
  </si>
  <si>
    <t>Sungkyunkwan University (SKKU); Korea Polar Research Institute (KOPRI); Korea Institute of Ocean Science &amp; Technology (KIOST)</t>
  </si>
  <si>
    <t>Pyo, S (corresponding author), Sungkyunkwan Univ, Sch Pharm, Suwon 440746, Gyeonggi Do, South Korea.</t>
  </si>
  <si>
    <t>snpyo@skku.edu</t>
  </si>
  <si>
    <t>Ministry of Oceans and Fisheries' RD project [PM13030]; Korea Polar Research Institute (KOPRI) project [PE13040]</t>
  </si>
  <si>
    <t>Ministry of Oceans and Fisheries' RD project; Korea Polar Research Institute (KOPRI) project</t>
  </si>
  <si>
    <t>This research was supported by the grant of the Ministry of Oceans and Fisheries' R&amp;D project (PM13030) and the Korea Polar Research Institute (KOPRI) project (PE13040).</t>
  </si>
  <si>
    <t>PHARMACEUTICAL SOC KOREA</t>
  </si>
  <si>
    <t>1489-3 SUHCHO-DONG, SUHCHO-KU, SEOUL 137-071, SOUTH KOREA</t>
  </si>
  <si>
    <t>0253-6269</t>
  </si>
  <si>
    <t>1976-3786</t>
  </si>
  <si>
    <t>ARCH PHARM RES</t>
  </si>
  <si>
    <t>Arch. Pharm. Res.</t>
  </si>
  <si>
    <t>10.1007/s12272-015-0687-3</t>
  </si>
  <si>
    <t>DB0LR</t>
  </si>
  <si>
    <t>WOS:000368200100010</t>
  </si>
  <si>
    <t>Rajan, S; Krishnan, KP</t>
  </si>
  <si>
    <t>Sakhuja, V; Narula, K</t>
  </si>
  <si>
    <t>Rajan, S.; Krishnan, K. P.</t>
  </si>
  <si>
    <t>India's Scientific Endeavours in the Arctic</t>
  </si>
  <si>
    <t>ASIA AND THE ARCTIC: NARRATIVES, PERSPECTIVES AND POLICIES</t>
  </si>
  <si>
    <t>Springer Geology</t>
  </si>
  <si>
    <t>[Rajan, S.] Indian Natl Ctr Ocean Information Serv INCOIS, Minist Earth Sci, Int Indian Ocean Expedit 2, Pragati Nagar PO, Hyderabad 500090, Andhra Pradesh, India; [Krishnan, K. P.] Natl Ctr Antarctic &amp; Ocean Res NCAOR, Arctic Studies Div, Vasco Da Gama 403804, Goa, India</t>
  </si>
  <si>
    <t>Ministry of Earth Sciences (MoES) - India; Indian National Centre for Ocean Information Services (INCOIS); Ministry of Earth Sciences (MoES) - India; National Centre for Polar and Ocean Research (NCPOR)</t>
  </si>
  <si>
    <t>Rajan, S (corresponding author), Indian Natl Ctr Ocean Information Serv INCOIS, Minist Earth Sci, Int Indian Ocean Expedit 2, Pragati Nagar PO, Hyderabad 500090, Andhra Pradesh, India.</t>
  </si>
  <si>
    <t>rajan.ncaor@gmail.com; krishnan@ncaor.gov.in</t>
  </si>
  <si>
    <t>P, Krishnan K/ABF-8783-2020</t>
  </si>
  <si>
    <t>SPRINGER-VERLAG SINGAPORE PTE LTD</t>
  </si>
  <si>
    <t>SINGAPORE</t>
  </si>
  <si>
    <t>SINGAPORE, SINGAPORE</t>
  </si>
  <si>
    <t>2197-9545</t>
  </si>
  <si>
    <t>978-981-10-2059-9; 978-981-10-2058-2</t>
  </si>
  <si>
    <t>SPR GEOL</t>
  </si>
  <si>
    <t>10.1007/978-981-10-2059-9_5</t>
  </si>
  <si>
    <t>10.1007/978-981-10-2059-9</t>
  </si>
  <si>
    <t>BH5BT</t>
  </si>
  <si>
    <t>WOS:000400806800008</t>
  </si>
  <si>
    <t>Dowdeswell, JA; Canals, M; Jakobsson, M; Todd, BJ; Dowdeswell, EK; Hogan, KA</t>
  </si>
  <si>
    <t>Dowdeswell, J. A.; Canals, M.; Jakobsson, M.; Todd, B. J.; Dowdeswell, E. K.; Hogan, K. A.</t>
  </si>
  <si>
    <t>Introduction: an Atlas of Submarine Glacial Landforms</t>
  </si>
  <si>
    <t>ATLAS OF SUBMARINE GLACIAL LANDFORMS: MODERN, QUATERNARY AND ANCIENT</t>
  </si>
  <si>
    <t>Geological Society Memoirs</t>
  </si>
  <si>
    <t>Editorial Material; Book Chapter</t>
  </si>
  <si>
    <t>GLACIGENIC DEBRIS-FLOWS; 3-DIMENSIONAL SEISMIC DATA; QUATERNARY ICE-SHEET; CROSS-SHELF TROUGH; RECESSIONAL MORAINES; ICEBERG PLOUGHMARKS; CONTINENTAL MARGINS; SVALBARD MARGIN; GROUNDING-LINE; TUNNEL VALLEYS</t>
  </si>
  <si>
    <t>[Dowdeswell, J. A.; Dowdeswell, E. K.] Univ Cambridge, Scott Polar Res Inst, Cambridge CB2 1ER, England; [Canals, M.] Univ Barcelona, GRC Geociencies Marines, E-08028 Barcelona, Spain; [Jakobsson, M.] Stockholm Univ, Dept Geol Sci, Svante Arrhenius Vag 8, S-10691 Stockholm, Sweden; [Todd, B. J.] Nat Resources Canada, Geol Survey Canada, POB 1006, Dartmouth, NS B2Y 4A2, Canada; [Hogan, K. A.] British Antarctic Survey, Nat Environm Res Council, Madingley Rd, Cambridge CB3 0ET, England</t>
  </si>
  <si>
    <t>University of Cambridge; University of Barcelona; Stockholm University; Natural Resources Canada; Lands &amp; Minerals Sector - Natural Resources Canada; Geological Survey of Canada; UK Research &amp; Innovation (UKRI); Natural Environment Research Council (NERC); NERC British Antarctic Survey</t>
  </si>
  <si>
    <t>Dowdeswell, JA (corresponding author), Univ Cambridge, Scott Polar Res Inst, Cambridge CB2 1ER, England.</t>
  </si>
  <si>
    <t>jd16@cam.ac.uk</t>
  </si>
  <si>
    <t>Canals, Miquel/F-4922-2013; Jakobsson, Martin/JAN-6828-2023; Jakobsson, Martin/F-6214-2010</t>
  </si>
  <si>
    <t>Jakobsson, Martin/0000-0002-9033-3559; Dowdeswell, Julian/0000-0003-1369-9482</t>
  </si>
  <si>
    <t>NERC [bas0100030, NE/D001986/1] Funding Source: UKRI</t>
  </si>
  <si>
    <t>0435-4052</t>
  </si>
  <si>
    <t>978-1-78620-268-0</t>
  </si>
  <si>
    <t>GEOL SOC MEM</t>
  </si>
  <si>
    <t>10.1144/M46.171</t>
  </si>
  <si>
    <t>BH2ZX</t>
  </si>
  <si>
    <t>WOS:000399497100002</t>
  </si>
  <si>
    <t>Jakobsson, M; Gyllencreutz, R; Mayer, LA; Dowdeswell, JA; Canals, M; Todd, BJ; Dowdeswell, EK; Hogan, KA; Larter, RD</t>
  </si>
  <si>
    <t>Jakobsson, M.; Gyllencreutz, R.; Mayer, L. A.; Dowdeswell, J. A.; Canals, M.; Todd, B. J.; Dowdeswell, E. K.; Hogan, K. A.; Larter, R. D.</t>
  </si>
  <si>
    <t>Mapping submarine glacial landforms using acoustic methods</t>
  </si>
  <si>
    <t>3-DIMENSIONAL SEISMIC DATA; CROSS-SHELF TROUGHS; PAST ICE STREAMS; PINE ISLAND BAY; ICEBERG PLOUGHMARKS; SEA BEAM; CORRUGATION RIDGES; CONTINENTAL-SHELF; SLOPE FAILURE; NORTH-SEA</t>
  </si>
  <si>
    <t>[Jakobsson, M.; Gyllencreutz, R.] Stockholm Univ, Dept Geol Sci, Svante Arrhenius Vag 8, S-10691 Stockholm, Sweden; [Mayer, L. A.] Univ New Hampshire, Ctr Coastal &amp; Ocean Mapping, Durham, NH 03824 USA; [Dowdeswell, J. A.; Dowdeswell, E. K.] Univ Cambridge, Scott Polar Res Inst, Cambridge CB2 1ER, England; [Canals, M.] Univ Barcelona, GRC Geociencies Marines, E-08028 Barcelona, Spain; [Todd, B. J.] Nat Resources Canada, Geol Survey Canada, POB 1006, Dartmouth, NS B2Y 4A2, Canada; [Hogan, K. A.; Larter, R. D.] British Antarctic Survey, Nat Environm Res Council, Madingley Rd, Cambridge CB3 0ET, England</t>
  </si>
  <si>
    <t>Stockholm University; University System Of New Hampshire; University of New Hampshire; University of Cambridge; University of Barcelona; Natural Resources Canada; Lands &amp; Minerals Sector - Natural Resources Canada; Geological Survey of Canada; UK Research &amp; Innovation (UKRI); Natural Environment Research Council (NERC); NERC British Antarctic Survey</t>
  </si>
  <si>
    <t>Jakobsson, M (corresponding author), Stockholm Univ, Dept Geol Sci, Svante Arrhenius Vag 8, S-10691 Stockholm, Sweden.</t>
  </si>
  <si>
    <t>martin.jakobsson@geo.su.se</t>
  </si>
  <si>
    <t>Canals, Miquel/F-4922-2013; Jakobsson, Martin/F-6214-2010; Jakobsson, Martin/JAN-6828-2023</t>
  </si>
  <si>
    <t>Mayer, Larry/0000-0003-1846-5140; Dowdeswell, Julian/0000-0003-1369-9482; Jakobsson, Martin/0000-0002-9033-3559; Gyllencreutz, Richard/0000-0003-3193-8598</t>
  </si>
  <si>
    <t>NERC [bas0100030] Funding Source: UKRI</t>
  </si>
  <si>
    <t>10.1144/M46.182</t>
  </si>
  <si>
    <t>hybrid, Green Published, Green Accepted</t>
  </si>
  <si>
    <t>WOS:000399497100003</t>
  </si>
  <si>
    <t>Ryan, JC; Dowdeswell, JA; Hogan, KA</t>
  </si>
  <si>
    <t>Ryan, J. C.; Dowdeswell, J. A.; Hogan, K. A.</t>
  </si>
  <si>
    <t>Three cross-shelf troughs on the continental shelf of SW Greenland from Olex data</t>
  </si>
  <si>
    <t>SUBMARINE LANDFORMS; ICE; SLOPE; FJORD</t>
  </si>
  <si>
    <t>[Ryan, J. C.; Dowdeswell, J. A.] Univ Cambridge, Scott Polar Res Inst, Cambridge CB2 1ER, England; [Hogan, K. A.] British Antarctic Survey, NERC, Madingley Rd, Cambridge CB3 0ET, England</t>
  </si>
  <si>
    <t>University of Cambridge; UK Research &amp; Innovation (UKRI); Natural Environment Research Council (NERC); NERC British Antarctic Survey</t>
  </si>
  <si>
    <t>Ryan, JC (corresponding author), Univ Cambridge, Scott Polar Res Inst, Cambridge CB2 1ER, England.</t>
  </si>
  <si>
    <t>jor44@aber.ac.uk</t>
  </si>
  <si>
    <t>Dowdeswell, Julian/0000-0003-1369-9482</t>
  </si>
  <si>
    <t>10.1144/M46.9</t>
  </si>
  <si>
    <t>WOS:000399497100057</t>
  </si>
  <si>
    <t>López-Martínez, J; Rivera, J; Dowdeswell, JA; Acosta, J</t>
  </si>
  <si>
    <t>Lopez-Martinez, J.; Rivera, J.; Dowdeswell, J. A.; Acosta, J.</t>
  </si>
  <si>
    <t>Giant ploughmarks on the South Patagonian continental margin produced by Antarctic icebergs</t>
  </si>
  <si>
    <t>ICE-SHEET; SEA</t>
  </si>
  <si>
    <t>[Lopez-Martinez, J.] Univ Autonoma Madrid, Fac Ciencias, Dept Geol &amp; Geoquim, E-28049 Madrid, Spain; [Rivera, J.; Acosta, J.] Inst Espanol Oceanog, Corazon Maria 8, Madrid 28002, Spain; [Dowdeswell, J. A.] Univ Cambridge, Scott Polar Res Inst, Cambridge CB2 1ER, England</t>
  </si>
  <si>
    <t>Autonomous University of Madrid; Spanish Institute of Oceanography; University of Cambridge</t>
  </si>
  <si>
    <t>López-Martínez, J (corresponding author), Univ Autonoma Madrid, Fac Ciencias, Dept Geol &amp; Geoquim, E-28049 Madrid, Spain.</t>
  </si>
  <si>
    <t>jeronimo.lopez@uam.es</t>
  </si>
  <si>
    <t>Lopez-Martinez, Jeronimo/C-5744-2011; Rivera, Jesus/I-8926-2016</t>
  </si>
  <si>
    <t>Lopez-Martinez, Jeronimo/0000-0002-1750-8287; Rivera, Jesus/0000-0002-9766-7105; Dowdeswell, Julian/0000-0003-1369-9482</t>
  </si>
  <si>
    <t>10.1144/M46.57</t>
  </si>
  <si>
    <t>WOS:000399497100110</t>
  </si>
  <si>
    <t>Larter, RD; Hogan, KA; Hillenbrand, CD; Benetti, S</t>
  </si>
  <si>
    <t>Larter, R. D.; Hogan, K. A.; Hillenbrand, C. -D.; Benetti, S.</t>
  </si>
  <si>
    <t>Debris-flow deposits on the West Antarctic continental slope</t>
  </si>
  <si>
    <t>BELLINGSHAUSEN SEA; MARGIN</t>
  </si>
  <si>
    <t>[Larter, R. D.; Hogan, K. A.; Hillenbrand, C. -D.] British Antarctic Survey, Nat Environm Res Council, Madingley Rd, Cambridge CB3 0ET, England; [Benetti, S.] Ulster Univ, Sch Environm Sci, Coleraine BT52 1SA, Londonderry, North Ireland</t>
  </si>
  <si>
    <t>UK Research &amp; Innovation (UKRI); Natural Environment Research Council (NERC); NERC British Antarctic Survey; Ulster University</t>
  </si>
  <si>
    <t>Larter, RD (corresponding author), British Antarctic Survey, Nat Environm Res Council, Madingley Rd, Cambridge CB3 0ET, England.</t>
  </si>
  <si>
    <t>rdla@bas.ac.uk</t>
  </si>
  <si>
    <t>Benetti, Sara/0000-0001-6286-9842</t>
  </si>
  <si>
    <t>NERC [bas0100030, NE/J006548/1] Funding Source: UKRI</t>
  </si>
  <si>
    <t>10.1144/M46.155</t>
  </si>
  <si>
    <t>WOS:000399497100149</t>
  </si>
  <si>
    <t>The variety and distribution of submarine glacial landforms and implications for ice-sheet reconstruction</t>
  </si>
  <si>
    <t>m</t>
  </si>
  <si>
    <t>PINE ISLAND BAY; GROUNDING-ZONE WEDGES; GLACIGENIC DEBRIS-FLOWS; CROSS-SHELF TROUGH; GLACIMARINE SEDIMENTARY PROCESSES; NORTHERN ANTARCTIC PENINSULA; CONTINENTAL-SLOPE SEAWARD; AMUNDSEN SEA EMBAYMENT; SW BARENTS SEA; ICEBERG PLOUGHMARKS</t>
  </si>
  <si>
    <t>Jakobsson, Martin/F-6214-2010; Jakobsson, Martin/JAN-6828-2023; Canals, Miquel/F-4922-2013</t>
  </si>
  <si>
    <t>10.1144/M46.183</t>
  </si>
  <si>
    <t>WOS:000399497100183</t>
  </si>
  <si>
    <t>Iglesias-Suarez, F; Young, PJ; Wild, O</t>
  </si>
  <si>
    <t>Iglesias-Suarez, F.; Young, P. J.; Wild, O.</t>
  </si>
  <si>
    <t>Stratospheric ozone change and related climate impacts over 1850-2100 as modelled by the ACCMIP ensemble</t>
  </si>
  <si>
    <t>BREWER-DOBSON CIRCULATION; SOUTHERN ANNULAR MODE; TROPOSPHERIC OZONE; ATMOSPHERIC CHEMISTRY; NITROUS-OXIDE; TEMPERATURE TRENDS; TROPOPAUSE HEIGHT; INTERACTIVE OZONE; CMIP5; AIR</t>
  </si>
  <si>
    <t>Stratospheric ozone and associated climate impacts in the Atmospheric Chemistry and Climate Model Intercomparison Project (ACCMIP) simulations are evaluated in the recent past (1980-2000), and examined in the longterm (1850-2100) using the Representative Concentration Pathways (RCPs) low- and high-emission scenarios (RCP2.6 and RCP8.5, respectively) for the period 2000-2100. ACCMIP multi-model mean total column ozone (TCO) trends compare favourably, within uncertainty estimates, against observations. Particularly good agreement is seen in the Antarctic austral spring (11.9% dec(-1) compared to observed similar to -13.9 +/- 10.4% dec(-1)), although larger deviations are found in the Arctic's boreal spring (-2.1% dec(-1) compared to observed similar to -5.3 +/- 3.3% dec(-1)). The simulated ozone hole has cooled the lower stratosphere during austral spring in the last few decades (-2.2Kdec(-1)). This cooling results in Southern Hemisphere summertime tropospheric circulation changes captured by an increase in the Southern Annular Mode (SAM) index (1.3 hPa dec(-1) ). In the future, the interplay between the ozone hole recovery and greenhouse gases (GHGs) concentrations may result in the SAM index returning to pre-ozone hole levels or even with a more positive phase from around the second half of the century (-0.4 and 0.3 hPa dec(-1) for the RCP2.6 and RCP8.5, respectively). By 2100, stratospheric ozone sensitivity to GHG concentrations is greatest in the Arctic and Northern Hemisphere midlatitudes (37.7 and 16.1DU difference between the RCP2.6 and RCP8.5, respectively), and smallest over the tropics and Antarctica continent (2.5 and 8.1DU respectively). Future TCO changes in the tropics are mainly determined by the upper stratospheric ozone sensitivity to GHG concentrations, due to a large compensation between tropospheric and lower stratospheric column ozone changes in the two RCP scenarios. These results demonstrate how changes in stratospheric ozone are tightly linked to climate and show the benefit of including the processes interactively in climate models.</t>
  </si>
  <si>
    <t>[Iglesias-Suarez, F.; Young, P. J.; Wild, O.] Univ Lancaster, Lancaster Environm Ctr, Lancaster, England</t>
  </si>
  <si>
    <t>Lancaster University</t>
  </si>
  <si>
    <t>Iglesias-Suarez, F (corresponding author), Univ Lancaster, Lancaster Environm Ctr, Lancaster, England.</t>
  </si>
  <si>
    <t>n.iglesiassuarez@lancaster.ac.uk</t>
  </si>
  <si>
    <t>Iglesias-Suarez, Fernando/AAE-1388-2021; Young, Paul J/E-8739-2010; Wild, Oliver/A-4909-2009</t>
  </si>
  <si>
    <t>Iglesias-Suarez, Fernando/0000-0003-3403-8245; Wild, Oliver/0000-0002-6227-7035</t>
  </si>
  <si>
    <t>NERC [NE/L501736/1]; Natural Environment Research Council [ceh010010, 1367752] Funding Source: researchfish</t>
  </si>
  <si>
    <t>This work was supported by NERC, under project number NE/L501736/1. F. Iglesias-Suarez would like to acknowledge NERC for a PhD studentship. We thank the modelling groups that contributed to the ACCMIP, CMIP5 and CCMVal2 model intercomparison projects and provided the model results used in this study.</t>
  </si>
  <si>
    <t>10.5194/acp-16-343-2016</t>
  </si>
  <si>
    <t>gold, Green Accepted</t>
  </si>
  <si>
    <t>WOS:000371283900022</t>
  </si>
  <si>
    <t>Elvidge, AD; Renfrew, IA; Weiss, AI; Brooks, IM; Lachlan-Cope, TA; King, JC</t>
  </si>
  <si>
    <t>Elvidge, A. D.; Renfrew, I. A.; Weiss, A. I.; Brooks, I. M.; Lachlan-Cope, T. A.; King, J. C.</t>
  </si>
  <si>
    <t>Observations of surface momentum exchange over the marginal ice zone and recommendations for its parametrisation</t>
  </si>
  <si>
    <t>ATMOSPHERIC BOUNDARY-LAYER; AIR-SEA FLUXES; DRAG COEFFICIENTS; CLIMATE MODELS; WIND STRESS; ST-LAWRENCE; BARENTS SEA; FORM DRAG; PARAMETERIZATION; OCEAN</t>
  </si>
  <si>
    <t>Comprehensive aircraft observations are used to characterise surface roughness over the Arctic marginal ice zone (MIZ) and consequently make recommendations for the parametrisation of surface momentum exchange in the MIZ. These observations were gathered in the Barents Sea and Fram Strait from two aircraft as part of the Aerosol-Cloud Coupling And Climate Interactions in the Arctic (ACCA-CIA) project. They represent a doubling of the total number of such aircraft observations currently available over the Arctic MIZ. The eddy covariance method is used to derive estimates of the 10m neutral drag coefficient (C-DN10) from turbulent wind velocity measurements, and a novel method using albedo and surface temperature is employed to derive ice fraction. Peak surface roughness is found at ice fractions in the range 0.6 to 0.8 (with a mean interquartile range in C-DN10 of 1.25 to 2.85 +/- 10(-3) ). C-DN10 as a function of ice fraction is found to be well approximated by the negatively skewed distribution provided by a leading parametrisation scheme (Lupkes et al., 2012) tailored for sea-ice drag over the MIZ in which the two constituent components of drag-skin and form drag-are separately quantified. Current parametrisation schemes used in the weather and climate models are compared with our results and the majority are found to be physically unjustified and unrepresentative. The Lupkes et al. (2012) scheme is recommended in a computationally simple form, with adjusted parameter settings. A good agreement holds for subsets of the data from different locations, despite differences in sea-ice conditions. Ice conditions in the Barents Sea, characterised by small, unconsolidated ice floes, are found to be associated with higher C-DN10 values-especially at the higher ice fractions-than those of Fram Strait, where typically larger, smoother floes are observed. Consequently, the important influence of sea-ice morphology and floe size on surface roughness is recognised, and improvement in the representation of this in parametrisation schemes is suggested for future study.</t>
  </si>
  <si>
    <t>[Elvidge, A. D.; Renfrew, I. A.] Univ E Anglia, Sch Environm Sci, Norwich NR4 7TJ, Norfolk, England; [Weiss, A. I.; Lachlan-Cope, T. A.; King, J. C.] British Antarctic Survey, Cambridge CB3 0ET, England; [Brooks, I. M.] Univ Leeds, Sch Earth &amp; Environm, Leeds, W Yorkshire, England; [Elvidge, A. D.] Met Off, Atmospher Proc &amp; Parametrisat, Fitzroy Rd, Exeter, Devon, England</t>
  </si>
  <si>
    <t>University of East Anglia; UK Research &amp; Innovation (UKRI); Natural Environment Research Council (NERC); NERC British Antarctic Survey; University of Leeds; Met Office - UK</t>
  </si>
  <si>
    <t>Elvidge, AD (corresponding author), Univ E Anglia, Sch Environm Sci, Norwich NR4 7TJ, Norfolk, England.;Elvidge, AD (corresponding author), Met Off, Atmospher Proc &amp; Parametrisat, Fitzroy Rd, Exeter, Devon, England.</t>
  </si>
  <si>
    <t>andy.elvidge@metoffice.gov.uk</t>
  </si>
  <si>
    <t>Renfrew, Ian A/E-4057-2010; Brooks, Ian M/E-1378-2012</t>
  </si>
  <si>
    <t>Renfrew, Ian/0000-0001-9379-8215; Lachlan-Cope, Tom/0000-0002-0657-3235; King, John/0000-0003-3315-7568; Elvidge, Andrew/0000-0002-7099-902X</t>
  </si>
  <si>
    <t>NERC as part of its Arctic Research Programme [NE/I028653/1, NE/I028858/1, NE/I028297/1]; NERC [NE/I028858/1, NE/I028653/1, NE/I028297/1, bas0100032] Funding Source: UKRI; Natural Environment Research Council [NE/I028858/1, bas0100032, NE/I028297/1, 1230241, NE/I028653/1] Funding Source: researchfish</t>
  </si>
  <si>
    <t>NERC as part of its Arctic Research Programme; NERC(UK Research &amp; Innovation (UKRI)Natural Environment Research Council (NERC)); Natural Environment Research Council(UK Research &amp; Innovation (UKRI)Natural Environment Research Council (NERC))</t>
  </si>
  <si>
    <t>This work was funded by the NERC (grant numbers NE/I028653/1, NE/I028858/1, and NE/I028297/1) as part of its Arctic Research Programme. We thank the FAAM and MASIN pilots, crew, flight planners, and mission scientists; Christof Lupkes, Jean Bidlot, Jamie Rae, and John Edwards for discussions; and Barbara Brooks for providing photographs.</t>
  </si>
  <si>
    <t>10.5194/acp-16-1545-2016</t>
  </si>
  <si>
    <t>WOS:000371284100022</t>
  </si>
  <si>
    <t>Massart, S; Agustí-Panareda, A; Heymann, J; Buchwitz, M; Chevallier, F; Reuter, M; Hilker, M; Burrows, JP; Deutscher, NM; Feist, DG; Hase, F; Sussmann, R; Desmet, F; Dubey, MK; Griffith, DWT; Kivi, R; Petri, C; Schneider, M; Velazco, VA</t>
  </si>
  <si>
    <t>Massart, Sebastien; Agusti-Panareda, Anna; Heymann, Jens; Buchwitz, Michael; Chevallier, Frederic; Reuter, Maximilian; Hilker, Michael; Burrows, John P.; Deutscher, Nicholas M.; Feist, Dietrich G.; Hase, Frank; Sussmann, Ralf; Desmet, Filip; Dubey, Manvendra K.; Griffith, David W. T.; Kivi, Rigel; Petri, Christof; Schneider, Matthias; Velazco, Voltaire A.</t>
  </si>
  <si>
    <t>Ability of the 4-D-Var analysis of the GOSAT BESD XCO2 retrievals to characterize atmospheric CO2 at large and synoptic scales</t>
  </si>
  <si>
    <t>SCIAMACHY; VALIDATION; SATELLITE; ALGORITHM; PRODUCTS; TANSO</t>
  </si>
  <si>
    <t>This study presents results from the European Centre for Medium-Range Weather Forecasts (ECMWF) carbon dioxide (CO2) analysis system where the atmospheric CO2 is controlled through the assimilation of column-averaged dry-air mole fractions of CO2 (XCO2) from the Greenhouse gases Observing Satellite (GOSAT). The analysis is compared to a free-run simulation (without assimilation of XCO2), and they are both evaluated against XCO2 data from the Total Carbon Column Observing Network (TC-CON). We show that the assimilation of the GOSAT XCO2 product from the Bremen Optimal Estimation Differential Optical Absorption Spectroscopy (BESD) algorithm during the year 2013 provides XCO2 fields with an improved mean absolute error of 0.6 parts per million (ppm) and an improved station-to-station bias deviation of 0.7 ppm compared to the free run (1.1 and 1.4 ppm, respectively) and an improved estimated precision of 1 ppm compared to the GOSAT BESD data (3.3 ppm). We also show that the analysis has skill for synoptic situations in the vicinity of frontal systems, where the GOSAT retrievals are sparse due to cloud contamination. We finally computed the 10-day forecast from each analysis at 00: 00 UTC, and we demonstrate that the CO2 forecast shows synoptic skill for the largest-scale weather patterns (of the order of 1000 km) even up to day 5 compared to its own analysis.</t>
  </si>
  <si>
    <t>[Massart, Sebastien; Agusti-Panareda, Anna] European Ctr Medium Range Weather Forecasts, Shinfield Pk, Reading RG2 9AX, Berks, England; [Heymann, Jens; Buchwitz, Michael; Reuter, Maximilian; Hilker, Michael; Burrows, John P.; Deutscher, Nicholas M.; Petri, Christof] Univ Bremen, Inst Environm Phys, D-28359 Bremen, Germany; [Chevallier, Frederic] IPSL, CEA CNRS UVSQ, Lab Sci Climat &amp; Environm, Gif Sur Yvette, France; [Feist, Dietrich G.] Max Planck Inst Biogeochem, D-07745 Jena, Germany; [Hase, Frank; Schneider, Matthias] IMK ASF, Karlsruhe Inst Technol, Karlsruhe, Germany; [Sussmann, Ralf] IMK IFU, Karlsruhe Inst Technol, Garmisch Partenkirchen, Germany; [Desmet, Filip] Univ Antwerp, Dept Chem, B-2020 Antwerp, Belgium; [Dubey, Manvendra K.] Los Alamos Natl Lab, Earth &amp; Environm Sci, Los Alamos, NM USA; [Deutscher, Nicholas M.; Griffith, David W. T.; Velazco, Voltaire A.] Univ Wollongong, Sch Chem, Ctr Atmospher Chem, Wollongong, NSW, Australia; [Kivi, Rigel] Arctic &amp; Antarctic Res Inst, Finnish Meteorol Inst, Sodankyla, Finland</t>
  </si>
  <si>
    <t>European Centre for Medium-Range Weather Forecasts (ECMWF); University of Bremen; CEA; Centre National de la Recherche Scientifique (CNRS); Universite Paris Saclay; Universite Paris Cite; Max Planck Society; Helmholtz Association; Karlsruhe Institute of Technology; Helmholtz Association; Karlsruhe Institute of Technology; University of Antwerp; United States Department of Energy (DOE); Los Alamos National Laboratory; University of Wollongong; Arctic &amp; Antarctic Research Institute; Finnish Meteorological Institute</t>
  </si>
  <si>
    <t>Massart, S (corresponding author), European Ctr Medium Range Weather Forecasts, Shinfield Pk, Reading RG2 9AX, Berks, England.</t>
  </si>
  <si>
    <t>sebastien.massart@ecmwf.int</t>
  </si>
  <si>
    <t>Dubey, Manvendra/N-5423-2019; Feist, Dietrich G./B-6489-2013; Reuter, Maximilian/AGE-3156-2022; Sussmann, Ralf/K-3999-2012; Deutscher, Nicholas M/E-3683-2015; Dubey, Manvendra Krishna/E-3949-2010; Petri, Christof/ABD-2640-2020; Chevallier, Frederic/E-9608-2016; Burrows, John Philip/AAF-8468-2019; Schneider, Matthias/B-1441-2013; Velazco, Voltaire A/H-2280-2011; Desmet, Filip/D-5229-2017</t>
  </si>
  <si>
    <t>Dubey, Manvendra/0000-0002-3492-790X; Feist, Dietrich G./0000-0002-5890-6687; Reuter, Maximilian/0000-0001-9141-3895; Sussmann, Ralf/0000-0002-1970-7538; Deutscher, Nicholas M/0000-0002-2906-2577; Petri, Christof/0000-0002-7010-5532; Chevallier, Frederic/0000-0002-4327-3813; Burrows, John Philip/0000-0002-6821-5580; Velazco, Voltaire A/0000-0002-1376-438X; Desmet, Filip/0000-0001-7516-5748; Buchwitz, Michael/0000-0001-7616-1837</t>
  </si>
  <si>
    <t>European Commission under the European Union's Horizon 2020 programme; European Space Agency (ESA) Greenhouse Gases Climate Change Initiative (GHG-CCI); LANL's LDRD programme; NASA [NAG5-12247, NNG05-GD07G]; Australian Research Council [DP140101552, DP110103118, DP0879468, LE0668470, LP0562346]; ICOS-INWIRE; InGOS; Senate of Bremen; ARC-DECRA fellowship [DE140100178]; Australian Research Council [LP0562346] Funding Source: Australian Research Council</t>
  </si>
  <si>
    <t>European Commission under the European Union's Horizon 2020 programme; European Space Agency (ESA) Greenhouse Gases Climate Change Initiative (GHG-CCI); LANL's LDRD programme; NASA(National Aeronautics &amp; Space Administration (NASA)); Australian Research Council(Australian Research Council); ICOS-INWIRE; InGOS; Senate of Bremen; ARC-DECRA fellowship(Australian Research Council); Australian Research Council(Australian Research Council)</t>
  </si>
  <si>
    <t>This study was funded by the European Commission under the European Union's Horizon 2020 programme. The development of the GOSAT BESD algorithm received funding from the European Space Agency (ESA) Greenhouse Gases Climate Change Initiative (GHG-CCI). TCCON data were obtained from the TCCON Data Archive, hosted by the Carbon Dioxide Information Analysis Center (CDIAC) - http://tccon.ornl.gov/.Garmisch work was funded in part via the ESA GHG-CCI project. Four Corners TCCON was funded by LANL's LDRD programme. Darwin and Wollongong TCCON measurements are funded by NASA grants NAG5-12247 and NNG05-GD07G and the Australian Research Council grants DP140101552, DP110103118, DP0879468, LE0668470 and LP0562346. We are grateful to the DOE ARM programme for technical support in Darwin, and Clare Murphy, Nicholas Jones and others for support in Wollongong. TCCON measurements in Bialystok and Orleans are supported by ICOS-INWIRE, InGOS and the Senate of Bremen. N. Deutscher is supported by an ARC-DECRA fellowship, DE140100178. The authors are grateful to Marijana Crepulja for the acquisition of the BESD GOSAT data at ECMWF and the preparation of the data for the assimilation. The authors would like to acknowledge Paul Wennberg, PI of the Lamont and Park Falls TCCON stations. Finally, we would like to express our great appreciation to William Lahoz, editor of this paper, for his useful comments during the revision process.</t>
  </si>
  <si>
    <t>10.5194/acp-16-1653-2016</t>
  </si>
  <si>
    <t>WOS:000371284100028</t>
  </si>
  <si>
    <t>Stone, KA; Morgenstern, O; Karoly, DJ; Klekociuk, AR; French, WJ; Abraham, NL; Schofield, R</t>
  </si>
  <si>
    <t>Stone, Kane A.; Morgenstern, Olaf; Karoly, David J.; Klekociuk, Andrew R.; French, W. John; Abraham, N. Luke; Schofield, Robyn</t>
  </si>
  <si>
    <t>Evaluation of the ACCESS - chemistry-climate model for the Southern Hemisphere</t>
  </si>
  <si>
    <t>ANTARCTIC OZONE-HOLE; STRATOSPHERIC OZONE; ANNULAR MODE; IMPLEMENTATION; CONFIGURATION; SIMULATION; PHOTOLYSIS; DEPLETION; RECOVERY; IMPACTS</t>
  </si>
  <si>
    <t>Chemistry-climate models are important tools for addressing interactions of composition and climate in the Earth system. In particular, they are used to assess the combined roles of greenhouse gases and ozone in Southern Hemisphere climate and weather. Here we present an evaluation of the Australian Community Climate and Earth System Simulator - chemistry-climate model (ACCESS-CCM), focusing on the Southern Hemisphere and the Australian region. This model is used for the Australian contribution to the international Chemistry-Climate Model Initiative, which is soliciting hindcast, future projection and sensitivity simulations. The model simulates global total column ozone (TCO) distributions accurately, with a slight delay in the onset and recovery of springtime Antarctic ozone depletion, and consistently higher ozone values. However, October-averaged Antarctic TCO from 1960 to 2010 shows a similar amount of depletion compared to observations. Comparison with model precursors shows large improvements in the representation of the Southern Hemisphere stratosphere, especially in TCO concentrations. A significant innovation is seen in the evaluation of simulated vertical profiles of ozone and temperature with ozonesonde data from Australia, New Zealand and Antarctica from 38 to 90 degrees S. Excess ozone concentrations (greater than 26% at Davis and the South Pole during winter) and stratospheric cold biases (up to 10K at the South Pole during summer and autumn) outside the period of perturbed springtime ozone depletion are seen during all seasons compared to ozonesondes. A disparity in the vertical location of ozone depletion is seen: centred around 100 hPa in ozonesonde data compared to above 50 hPa in the model. Analysis of vertical chlorine monoxide profiles indicates that colder Antarctic stratospheric temperatures (possibly due to reduced mid-latitude heat flux) are artificially enhancing polar stratospheric cloud formation at high altitudes. The model's inability to explicitly simulate a supercooled ternary solution may also explain the lack of depletion at lower altitudes. Analysis of the simulated Southern Annular Mode (SAM) index compares well with ERAInterim data, an important metric for correct representation of Australian climate. Accompanying these modulations of the SAM, 50 hPa zonal wind differences between 2001-2010 and 1979-1998 show increasing zonal wind strength southward of 60 degrees S during December for both the model simulations and ERA-Interim data. These model diagnostics show that the model reasonably captures the stratospheric ozone-driven chemistry-climate interactions important for Australian climate and weather while highlighting areas for future model development.</t>
  </si>
  <si>
    <t>[Stone, Kane A.; Karoly, David J.; Schofield, Robyn] Univ Melbourne, Sch Earth Sci, Melbourne, Vic, Australia; [Stone, Kane A.; Karoly, David J.; Schofield, Robyn] ARC Ctr Excellence Climate Syst Sci, Sydney, NSW, Australia; [Morgenstern, Olaf] Natl Inst Water &amp; Atmospher Res, Lauder, New Zealand; [Klekociuk, Andrew R.; French, W. John] Australian Antarctic Div, Hobart, Tas, Australia; [Klekociuk, Andrew R.; French, W. John] Antarctic Climate &amp; EcoSyst Cooperat Res Ctr, Hobart, Tas, Australia; [Abraham, N. Luke] Univ Cambridge, Natl Ctr Atmospher Sci, Cambridge, England; [Abraham, N. Luke] Univ Cambridge, Dept Chem, Ctr Atmospher Sci, Lensfield Rd, Cambridge CB2 1EW, England</t>
  </si>
  <si>
    <t>University of Melbourne; Melbourne Bioinformatics; ARC Centre of Excellence for Climate System Science; National Institute of Water &amp; Atmospheric Research (NIWA) - New Zealand; Australian Antarctic Division; Antarctic Climate &amp; Ecosystems Cooperative Research Centre (ACE CRC); UK Research &amp; Innovation (UKRI); Natural Environment Research Council (NERC); NERC National Centre for Atmospheric Science; University of Cambridge; University of Cambridge</t>
  </si>
  <si>
    <t>Stone, KA (corresponding author), Univ Melbourne, Sch Earth Sci, Melbourne, Vic, Australia.;Stone, KA (corresponding author), ARC Ctr Excellence Climate Syst Sci, Sydney, NSW, Australia.</t>
  </si>
  <si>
    <t>stonek@student.unimelb.edu.au</t>
  </si>
  <si>
    <t>Schofield, Robyn/A-4062-2010; Karoly, David/C-8262-2011; Klekociuk, Andrew/A-4498-2015</t>
  </si>
  <si>
    <t>Schofield, Robyn/0000-0002-4230-717X; Abraham, Nathan Luke/0000-0003-3750-3544; Morgenstern, Olaf/0000-0002-9967-9740; Karoly, David/0000-0002-8671-2994; Klekociuk, Andrew/0000-0003-3335-0034; French, John/0000-0001-9305-6190</t>
  </si>
  <si>
    <t>Australian Government's Australian Antarctic science grant program [FoRCES 4012]; Australian Research Council's Centre of Excellence for Climate System Science [CE110001028]; Commonwealth Department of the Environment [2011/16853]; NIWA as part of its New Zealand government; Marsden Fund Council [12-NIW-006]; NERC [ncas10006, ncas10001] Funding Source: UKRI; Natural Environment Research Council [ncas10001, ncas10006] Funding Source: researchfish</t>
  </si>
  <si>
    <t>Australian Government's Australian Antarctic science grant program(Australian Government); Australian Research Council's Centre of Excellence for Climate System Science(Australian Research Council); Commonwealth Department of the Environment; NIWA as part of its New Zealand government; Marsden Fund Council(Royal Society of New ZealandMarsden Fund (NZ)); NERC(UK Research &amp; Innovation (UKRI)Natural Environment Research Council (NERC)); Natural Environment Research Council(UK Research &amp; Innovation (UKRI)Natural Environment Research Council (NERC))</t>
  </si>
  <si>
    <t>This work was supported through funding by the Australian Government's Australian Antarctic science grant program (FoRCES 4012), the Australian Research Council's Centre of Excellence for Climate System Science (CE110001028), the Commonwealth Department of the Environment (grant 2011/16853), and NIWA as part of its New Zealand government-funded, core research, and by the Marsden Fund Council from government funding, administered by the Royal Society of New Zealand (grant 12-NIW-006). This research was undertaken with the assistance of resources provided at the NCI National Facility systems at the Australian National University through the National Computational Merit Allocation Scheme supported by the Australian Government. The authors wish to thank all past ozonesonde observers. All data used in this paper can be downloaded from the CCMI web portal (http://www.met.reading.ac.uk/ccmi/) or obtained from the lead author. We acknowledge the UK Met Office for use of the MetUM.</t>
  </si>
  <si>
    <t>10.5194/acp-16-2401-2016</t>
  </si>
  <si>
    <t>WOS:000372971500034</t>
  </si>
  <si>
    <t>Savarino, J; Vicars, WC; Legrand, M; Preunkert, S; Jourdain, B; Frey, MM; Kukui, A; Caillon, N; Roca, JG</t>
  </si>
  <si>
    <t>Savarino, Joel; Vicars, William C.; Legrand, Michel; Preunkert, Suzanne; Jourdain, Bruno; Frey, Markus M.; Kukui, Alexandre; Caillon, Nicolas; Roca, Jaime Gil</t>
  </si>
  <si>
    <t>Oxygen isotope mass balance of atmospheric nitrate at Dome C, East Antarctica, during the OPALE campaign</t>
  </si>
  <si>
    <t>SURFACE OZONE DEPLETION; GAS-PHASE REACTIONS; NITROGEN-OXIDES NO; SOUTH-POLE; TROPOSPHERIC OZONE; PHOTOCHEMICAL PRODUCTION; ICE-CORE; ANOMALY DELTA-O-17; BOUNDARY-LAYER; CHEMISTRY</t>
  </si>
  <si>
    <t>Variations in the stable oxygen isotope composition of atmospheric nitrate act as novel tools for studying oxidative processes taking place in the troposphere. They provide both qualitative and quantitative constraints on the pathways determining the fate of atmospheric nitrogen oxides (NO + NO2 = NOx). The unique and distinctive O-17 excess (Delta O-17 = delta O-17-0.52 x delta O-18) of ozone, which is transferred to NOx via oxidation, is a particularly useful isotopic fingerprint in studies of NOx transformations. Constraining the propagation of O-17 excess within the NOx cycle is critical in polar areas, where there exists the possibility of extending atmospheric investigations to the glacial-interglacial timescale using deep ice core records of nitrate. Here we present measurements of the comprehensive isotopic composition of atmospheric nitrate collected at Dome C (East Antarctic Plateau) during the austral summer of 2011/2012. Nitrate isotope analysis has been here combined for the first time with key precursors involved in nitrate production (NOx, O-3, OH, HO2, RO2, etc.) and direct observations of the transferrable Delta O-17 of surface ozone, which was measured at Dome C throughout 2012 using our recently developed analytical approach. Assuming that nitrate is mainly produced in Antarctica in summer through the OH + NO2 pathway and using concurrent measurements of OH and NO2, we calculated a Delta O-17 signature for nitrate on the order of (21-22 + 3) %. These values are lower than the measured values that ranged between 27 and 31 %. This discrepancy between expected and observed Delta O-17(NO3-)values suggests the existence of an unknown process that contributes significantly to the atmospheric nitrate budget over this East Antarctic region. However, systematic errors or false isotopic balance transfer functions are not totally excluded.</t>
  </si>
  <si>
    <t>[Savarino, Joel; Vicars, William C.; Legrand, Michel; Preunkert, Suzanne; Jourdain, Bruno; Caillon, Nicolas] Univ Grenoble Alpes, Lab Glaciol &amp; Geophys Environm, F-38000 Grenoble, France; [Savarino, Joel; Vicars, William C.; Legrand, Michel; Preunkert, Suzanne; Jourdain, Bruno; Caillon, Nicolas] CNRS, Lab Glaciol &amp; Geophys Environm, F-38000 Grenoble, France; [Frey, Markus M.] British Antarctic Survey, Nat Environm Res Council, Cambridge CB3 0ET, England; [Kukui, Alexandre; Roca, Jaime Gil] Univ Paris 06, Univ Versailles St Quentin, Lab Atmosphere Milieux &amp; Observat Spatiales LATMO, CNRS,UMR8190, Paris, France; [Kukui, Alexandre; Roca, Jaime Gil] Univ Orleans, Lab Phys &amp; Chim Environm &amp; Espace LPC2E, UMR6115, CNRS, F-45071 Orleans 2, France; [Vicars, William C.] Colorado Dept Publ Hlth &amp; Environm, Air Pollut Control Div, Tech Serv Program, Denver, CO USA</t>
  </si>
  <si>
    <t>Communaute Universite Grenoble Alpes; Universite Grenoble Alpes (UGA); Communaute Universite Grenoble Alpes; Universite Grenoble Alpes (UGA); Centre National de la Recherche Scientifique (CNRS); UK Research &amp; Innovation (UKRI); Natural Environment Research Council (NERC); NERC British Antarctic Survey; Centre National de la Recherche Scientifique (CNRS); CNRS - National Institute for Earth Sciences &amp; Astronomy (INSU); Universite Paris Saclay; Sorbonne Universite; Centre National de la Recherche Scientifique (CNRS); Universite de Orleans; Colorado Department of Public Health &amp; Environment</t>
  </si>
  <si>
    <t>Savarino, J (corresponding author), Univ Grenoble Alpes, Lab Glaciol &amp; Geophys Environm, F-38000 Grenoble, France.;Savarino, J (corresponding author), CNRS, Lab Glaciol &amp; Geophys Environm, F-38000 Grenoble, France.</t>
  </si>
  <si>
    <t>jsavarino@ujf-grenoble.fr</t>
  </si>
  <si>
    <t>Legrand, Michel/AAU-4678-2020; Frey, Markus/G-1756-2012; Kukui, Alexandre/K-6643-2012; Savarino, Joel/H-9730-2012; Caillon, Nicolas/B-7127-2019</t>
  </si>
  <si>
    <t>Frey, Markus/0000-0003-0535-0416; Savarino, Joel/0000-0002-6708-9623; Kukui, Alexandre/0000-0002-3657-0414; Caillon, Nicolas/0000-0002-6318-6194</t>
  </si>
  <si>
    <t>European Community's Seventh Framework Programme [237890]; INSU; Agence nationale de la recherche (ANR) [NT09-451281]; Institute Polaire Paul-Emile Victor (IPEV) [1011]; Labex OSUG (Investissements d'avenir) [ANR10 LABX56]; Natural Environment Research Council [bas0100032] Funding Source: researchfish; NERC [bas0100032, NE/N011813/1] Funding Source: UKRI</t>
  </si>
  <si>
    <t>European Community's Seventh Framework Programme(European Union (EU)); INSU(Centre National de la Recherche Scientifique (CNRS)); Agence nationale de la recherche (ANR)(Agence Nationale de la Recherche (ANR)); Institute Polaire Paul-Emile Victor (IPEV); Labex OSUG (Investissements d'avenir)(Agence Nationale de la Recherche (ANR)); Natural Environment Research Council(UK Research &amp; Innovation (UKRI)Natural Environment Research Council (NERC)); NERC(UK Research &amp; Innovation (UKRI)Natural Environment Research Council (NERC))</t>
  </si>
  <si>
    <t>The research leading to these results received funding from the European Community's Seventh Framework Programme (FP7/2007-2013) under the grant agreement number 237890. We would like to thank INSU for its financial support for lab experiments through its LEFE program. The Agence nationale de la recherche (ANR) is gratefully acknowledged for its financial support through the OPALE project (contract NT09-451281). The Institute Polaire Paul-Emile Victor (IPEV) supported the research and polar logistics through the program SUNITEDC No. 1011. This work has been partially supported by a grant from Labex OSUG@2020 (Investissements d'avenir - ANR10 LABX56). We would also like to thank all the field team members present during the OPALE campaign. Meteorological data were obtained from IPEV/PNRA: Routine Meteorological Observation at Station Concordia. B. Alexander and the anonymous reviewer are acknowledged for their critical comments and suggestions, which helped in improving the manuscript. Data are available in the Supplement.</t>
  </si>
  <si>
    <t>10.5194/acp-16-2659-2016</t>
  </si>
  <si>
    <t>Green Accepted, Green Submitted, gold</t>
  </si>
  <si>
    <t>WOS:000372971500049</t>
  </si>
  <si>
    <t>Hansen, J; Sato, M; Hearty, P; Ruedy, R; Kelley, M; Masson-Delmotte, V; Russell, G; Tselioudis, G; Cao, JJ; Rignot, E; Velicogna, I; Tormey, B; Donovan, B; Kandiano, E; von Schuckmann, K; Kharecha, P; Legrande, AN; Bauer, M; Lo, KW</t>
  </si>
  <si>
    <t>Hansen, James; Sato, Makiko; Hearty, Paul; Ruedy, Reto; Kelley, Maxwell; Masson-Delmotte, Valerie; Russell, Gary; Tselioudis, George; Cao, Junji; Rignot, Eric; Velicogna, Isabella; Tormey, Blair; Donovan, Bailey; Kandiano, Evgeniya; von Schuckmann, Karina; Kharecha, Pushker; Legrande, Allegra N.; Bauer, Michael; Lo, Kwok-Wai</t>
  </si>
  <si>
    <t>Ice melt, sea level rise and superstorms: evidence from paleoclimate data, climate modeling, and modern observations that 2 A°C global warming could be dangerous</t>
  </si>
  <si>
    <t>ATLANTIC THERMOHALINE CIRCULATION; INDUCED SEDIMENTARY STRUCTURES; INTERGLACIAL COASTAL DEPOSITS; EARTHS ENERGY IMBALANCE; GLACIAL LAKE AGASSIZ; FRESH-WATER RELEASE; NORTH-ATLANTIC; ANTARCTIC ICE; SOUTHERN-OCEAN; ATMOSPHERIC CO2</t>
  </si>
  <si>
    <t>We use numerical climate simulations, paleoclimate data, and modern observations to study the effect of growing ice melt from Antarctica and Greenland. Meltwater tends to stabilize the ocean column, inducing amplifying feedbacks that increase subsurface ocean warming and ice shelf melting. Cold meltwater and induced dynamical effects cause ocean surface cooling in the Southern Ocean and North Atlantic, thus increasing Earth's energy imbalance and heat flux into most of the global ocean's surface. Southern Ocean surface cooling, while lower latitudes are warming, increases precipitation on the Southern Ocean, increasing ocean stratification, slowing deepwater formation, and increasing ice sheet mass loss. These feedbacks make ice sheets in contact with the ocean vulnerable to accelerating disintegration. We hypothesize that ice mass loss from the most vulnerable ice, sufficient to raise sea level several meters, is better approximated as exponential than by a more linear response. Doubling times of 10, 20 or 40 years yield multi-meter sea level rise in about 50, 100 or 200 years. Recent ice melt doubling times are near the lower end of the 10-40-year range, but the record is too short to confirm the nature of the response. The feedbacks, including subsurface ocean warming, help explain paleoclimate data and point to a dominant Southern Ocean role in controlling atmospheric CO2, which in turn exercised tight control on global temperature and sea level. The millennial (500-2000-year) timescale of deep-ocean ventilation affects the timescale for natural CO2 change and thus the timescale for paleo-global climate, ice sheet, and sea level changes, but this paleo-millennial timescale should not be misinterpreted as the timescale for ice sheet response to a rapid, large, human-made climate forcing. These climate feedbacks aid interpretation of events late in the prior interglacial, when sea level rose to +6-9 m with evidence of extreme storms while Earth was less than 1 A degrees C warmer than today. Ice melt cooling of the North Atlantic and Southern oceans increases atmospheric temperature gradients, eddy kinetic energy and baroclinicity, thus driving more powerful storms. The modeling, paleoclimate evidence, and ongoing observations together imply that 2 A degrees C global warming above the preindustrial level could be dangerous. Continued high fossil fuel emissions this century are predicted to yield (1) cooling of the Southern Ocean, especially in the Western Hemisphere; (2) slowing of the Southern Ocean overturning circulation, warming of the ice shelves, and growing ice sheet mass loss; (3) slowdown and eventual shutdown of the Atlantic overturning circulation with cooling of the North Atlantic region; (4) increasingly powerful storms; and (5) nonlinearly growing sea level rise, reaching several meters over a timescale of 50-150 years. These predictions, especially the cooling in the Southern Ocean and North Atlantic with markedly reduced warming or even cooling in Europe, differ fundamentally from existing climate change assessments. We discuss observations and modeling studies needed to refute or clarify these assertions.</t>
  </si>
  <si>
    <t>[Hansen, James; Sato, Makiko; Kharecha, Pushker] Columbia Univ, Earth Inst, Climate Sci Awareness &amp; Solut, New York, NY 10115 USA; [Hearty, Paul] Univ N Carolina, Dept Environm Studies, Wilmington, NC 28403 USA; [Ruedy, Reto; Kelley, Maxwell; Lo, Kwok-Wai] Trinnovium LLC, New York, NY 10025 USA; [Ruedy, Reto; Kelley, Maxwell; Russell, Gary; Tselioudis, George; Kharecha, Pushker; Legrande, Allegra N.; Bauer, Michael; Lo, Kwok-Wai] NASA, Goddard Inst Space Studies, 2880 Broadway, New York, NY 10025 USA; [Masson-Delmotte, Valerie] CEA CNRS UVSQ, Lab Sci Climat &amp; Environm, Inst Pierre Simon Laplace, Gif Sur Yvette, France; [Cao, Junji] Chinese Acad Sci, Inst Earth Environm, Key Lab Aerosol Chem &amp; Phys, Xian 710075, Peoples R China; [Rignot, Eric; Velicogna, Isabella] CALTECH, Jet Prop Lab, 4800 Oak Grove Dr, Pasadena, CA 91109 USA; [Rignot, Eric; Velicogna, Isabella] Univ Calif Irvine, Dept Earth Syst Sci, Irvine, CA 92697 USA; [Tormey, Blair] Western Carolina Univ, Program Study Developed Shorelines, Cullowhee, NC 28723 USA; [Donovan, Bailey] E Carolina Univ, Dept Geol Sci, Greenville, NC 27858 USA; [Kandiano, Evgeniya] Helmholtz Ctr Ocean Res, GEOMAR, Wischhofstr 1-3, D-24148 Kiel, Germany; [von Schuckmann, Karina] Univ Toulon &amp; Var, Mediterranean Inst Oceanog, La Garde, France; [Bauer, Michael] Columbia Univ, Dept Appl Phys &amp; Appl Math, New York, NY 10027 USA</t>
  </si>
  <si>
    <t>Columbia University; University of North Carolina; University of North Carolina Wilmington; National Aeronautics &amp; Space Administration (NASA); NASA Goddard Space Flight Center; Goddard Institute for Space Studies; Universite Paris Cite; CEA; Centre National de la Recherche Scientifique (CNRS); Universite Paris Saclay; Chinese Academy of Sciences; Institute of Earth Environment, CAS; National Aeronautics &amp; Space Administration (NASA); NASA Jet Propulsion Laboratory (JPL); California Institute of Technology; University of California System; University of California Irvine; University of North Carolina; Western Carolina University; University of North Carolina; East Carolina University; Helmholtz Association; GEOMAR Helmholtz Center for Ocean Research Kiel; Aix-Marseille Universite; Universite de Toulon; Columbia University</t>
  </si>
  <si>
    <t>Hansen, J (corresponding author), Columbia Univ, Earth Inst, Climate Sci Awareness &amp; Solut, New York, NY 10115 USA.</t>
  </si>
  <si>
    <t>jeh1@columbia.edu</t>
  </si>
  <si>
    <t>Masson-Delmotte, Valerie L/G-1995-2011; Velicogna, Isabella/R-5561-2018; von Schuckmann, Karina/AAZ-8897-2021; Rignot, Eric/A-4560-2014; Junji, Cao/D-3259-2014; LeGrande, Allegra N./D-8920-2012</t>
  </si>
  <si>
    <t>Masson-Delmotte, Valerie L/0000-0001-8296-381X; von Schuckmann, Karina/0000-0002-9922-8528; Rignot, Eric/0000-0002-3366-0481; Junji, Cao/0000-0003-1000-7241; LeGrande, Allegra N./0000-0002-5295-0062; Tselioudis, George/0000-0002-7145-9113; Ruedy, Reto/0000-0002-1270-1088; Russell, Gary/0000-0001-7174-5825; Kandiano, Evgenia/0000-0003-1783-9999</t>
  </si>
  <si>
    <t>Grantham Foundation for Protection of the Environment; NASA High-End Computing (HEC) Program through the NASA Center for Climate Simulation (NCCS) at Goddard Space Flight Center</t>
  </si>
  <si>
    <t>This paper is dedicated to Wally Broecker, the father of global warming, whose inquisitive mind has stimulated much of the world's research aimed at understanding global climate. Completion of this study was made possible by a generous gift from the Durst family to the Climate Science, Awareness and Solutions program at the Columbia University Earth Institute. That program was initiated in 2013 primarily via support from the Grantham Foundation for Protection of the Environment, Jim and Krisann Miller, and Gerry Lenfest and sustained via their continuing support. Other substantial support is provided by the Flora Family Foundation, Elisabeth Mannschott, Alexander Totic and Hugh Perrine. Concepts about greenhouse, icehouse, madhouse conditions during MIS 5e in Bermuda and the Bahamas were fostered by A. Conrad Neumann, while John T. Hollin understood nearly half a century ago the importance of West Antarctica's contributions to rapid climate, ice surge, and sea-level changes. We are grateful to numerous friends and colleagues who are passionate about the geology and natural history of Bermuda and the Bahamas. We thank Anders Carlson, Elsa Cortijo, Nil Irvali, Kurt Lambeck, Scott Lehman, and Ulysses Ninnemann for their kind provision of data and related information, the editors of ACP for development of effective publication mechanisms, and referees and commenters for many helpful suggestions on the discussion version of the paper. Support for climate simulations was provided by the NASA High-End Computing (HEC) Program through the NASA Center for Climate Simulation (NCCS) at Goddard Space Flight Center.</t>
  </si>
  <si>
    <t>10.5194/acp-16-3761-2016</t>
  </si>
  <si>
    <t>DK1VG</t>
  </si>
  <si>
    <t>Green Accepted, Green Published, Green Submitted, gold</t>
  </si>
  <si>
    <t>Y</t>
  </si>
  <si>
    <t>N</t>
  </si>
  <si>
    <t>WOS:000374702300006</t>
  </si>
  <si>
    <t>Reed, C; Evans, MJ; Di Carlo, P; Lee, JD; Carpenter, LJ</t>
  </si>
  <si>
    <t>Reed, Chris; Evans, Mathew J.; Di Carlo, Piero; Lee, James D.; Carpenter, Lucy J.</t>
  </si>
  <si>
    <t>Interferences in photolytic NO2 measurements: explanation for an apparent missing oxidant?</t>
  </si>
  <si>
    <t>GAS-PHASE REACTIONS; INDUCED FLUORESCENCE INSTRUMENT; NITROGEN-OXIDES NO; PEROXYACETYL NITRATE; PHOTOSTATIONARY STATE; NITRIC-OXIDE; THERMAL-DECOMPOSITION; ATMOSPHERIC CHEMISTRY; PHOTOCHEMICAL DATA; CHEMILUMINESCENT REACTION</t>
  </si>
  <si>
    <t>Measurement of NO2 at low concentrations (tens of ppts) is non-trivial. A variety of techniques exist, with the conversion of NO2 into NO followed by chemiluminescent detection of NO being prevalent. Historically this conversion has used a catalytic approach (molybdenum); however, this has been plagued with interferences. More recently, photolytic conversion based on UV-LED irradiation of a reaction cell has been used. Although this appears to be robust there have been a range of observations in low-NOx environments which have measured higher NO2 concentrations than might be expected from steady-state analysis of simultaneously measured NO, O-3, jNO(2), etc. A range of explanations exist in the literature, most of which focus on an unknown and unmeasured compound X that is able to convert NO to NO2 selectively. Here we explore in the laboratory the interference on the photolytic NO2 measurements from the thermal decomposition of peroxyacetyl nitrate (PAN) within the photolysis cell. We find that approximately 5aEuro-% of the PAN decomposes within the instrument, providing a potentially significant interference. We parameterize the decomposition in terms of the temperature of the light source, the ambient temperature, and a mixing timescale (aEuro parts per thousand 0.4aEuro-s for our instrument) and expand the parametric analysis to other atmospheric compounds that decompose readily to NO2 (HO2NO2, N2O5, CH3O2NO2, IONO2, BrONO2, higher PANs). We apply these parameters to the output of a global atmospheric model (GEOS-Chem) to investigate the global impact of this interference on (1) the NO2 measurements and (2) the NO(2)aEuro-:aEuro-NO ratio, i.e. the Leighton relationship. We find that there are significant interferences in cold regions with low NOx concentrations such as the Antarctic, the remote Southern Hemisphere, and the upper troposphere. Although this interference is likely instrument-specific, the thermal decomposition to NO2 within the instrument's photolysis cell could give an at least partial explanation for the anomalously high NO2 that has been reported in remote regions. The interference can be minimized by better instrument characterization, coupled to instrumental designs which reduce the heating within the cell, thus simplifying interpretation of data from remote locations.</t>
  </si>
  <si>
    <t>[Reed, Chris; Evans, Mathew J.; Lee, James D.; Carpenter, Lucy J.] Univ York, Dept Chem, Wolfson Atmospher Chem Labs, York YO10 5DD, N Yorkshire, England; [Evans, Mathew J.; Lee, James D.] Univ York, NCAS, York YO10 5DD, N Yorkshire, England; [Di Carlo, Piero] Univ Aquila, Ctr Excellence CEMTEPs, Via Vetoio, I-67010 Laquila, Italy; [Di Carlo, Piero] Univ Aquila, Dipartmento Sci Fis &amp; Chim, Via Vetoio, I-67010 Laquila, Italy</t>
  </si>
  <si>
    <t>University of York - UK; University of York - UK; University of L'Aquila; University of L'Aquila</t>
  </si>
  <si>
    <t>Reed, C (corresponding author), Univ York, Dept Chem, Wolfson Atmospher Chem Labs, York YO10 5DD, N Yorkshire, England.</t>
  </si>
  <si>
    <t>chris.paul.reed@gmail.com</t>
  </si>
  <si>
    <t>lee, sooyoon/JEP-0415-2023; Carpenter, Laura/JPY-0437-2023; Carpenter, Lucy J/E-6742-2013; Di Carlo, Piero/Q-4450-2016; Evans, Mathew John/A-3886-2012; Di Carlo, Piero/C-1657-2016</t>
  </si>
  <si>
    <t>Lee, James D/0000-0001-5397-2872; Reed, Chris/0000-0002-9886-5875; Evans, Mathew John/0000-0003-4775-032X; Carpenter, Lucy/0000-0002-6257-3950; Di Carlo, Piero/0000-0003-4971-4509</t>
  </si>
  <si>
    <t>National Centre for Atmospheric Science (NCAS); Natural Environmental Research Council (NERC); NERC [ncas10007] Funding Source: UKRI; Natural Environment Research Council [ncas10007] Funding Source: researchfish</t>
  </si>
  <si>
    <t>National Centre for Atmospheric Science (NCAS); Natural Environmental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</si>
  <si>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express their gratitude to Stephane Bauguitte of FAAM for their scientific discussion, as well as to Lisa Whalley of Leeds for the PAN generator and spectral radiometer/calibration equipment. The financial support of the National Centre for Atmospheric Science (NCAS) and the Natural Environmental Research Council (NERC) is gratefully acknowledged for the studentship of Chris Reed.</t>
  </si>
  <si>
    <t>10.5194/acp-16-4707-2016</t>
  </si>
  <si>
    <t>Green Submitted, Green Accepted, Green Published, gold</t>
  </si>
  <si>
    <t>WOS:000374703000030</t>
  </si>
  <si>
    <t>Dittmann, A; Schlosser, E; Masson-Delmotte, V; Powers, JG; Manning, KW; Werner, M; Fujita, K</t>
  </si>
  <si>
    <t>Dittmann, Anna; Schlosser, Elisabeth; Masson-Delmotte, Valerie; Powers, Jordan G.; Manning, Kevin W.; Werner, Martin; Fujita, Koji</t>
  </si>
  <si>
    <t>Precipitation regime and stable isotopes at Dome Fuji, East Antarctica</t>
  </si>
  <si>
    <t>DRONNING MAUD LAND; MESOSCALE PREDICTION SYSTEM; ICE-CORE INTERPRETATION; SURFACE MASS-BALANCE; DEUTERIUM EXCESS; ATMOSPHERIC CIRCULATION; SPATIAL VARIABILITY; WATER-VAPOR; STATION; SNOW</t>
  </si>
  <si>
    <t>A unique set of 1-year precipitation and stable water isotope measurements from the Japanese Antarctic station, Dome Fuji, has been used to study the impact of the synoptic situation and the precipitation origin on the isotopic composition of precipitation on the Antarctic Plateau. The Antarctic Mesoscale Prediction System (AMPS) archive data are used to analyse the synoptic situations that cause precipitation. These situations are investigated and divided into five categories. The most common weather situation during a precipitation event is an upper-level ridge that extends onto the Antarctic Plateau and causes strong northerly advection from the ocean. Most precipitation events are associated with an increase in temperature and wind speed, and a local maximum of delta O-18. During the measurement period, 21 synoptically caused precipitation events caused 60aEuro-% of the total annual precipitation, whereas the remaining 40aEuro-% were predominantly attributed to diamond dust. By combining the synoptic analyses with 5-day back-trajectories, the moisture source regions for precipitation events were estimated. An average source region around a latitude of 55A degrees aEuro-S was found. The atmospheric conditions in the source region were used as initial conditions for running a Rayleigh-type isotopic model in order to reproduce the measured isotopic composition of fresh snow and to investigate the influence of the precipitation source region on the isotope ratios. The model represents the measured annual cycle of delta O-18 and the second-order isotopic parameter deuterium excess reasonably well, but yields on average too little fractionation along the transport/cooling path. While simulations with an isotopic general circulation model (GCM) (ECHAM5-wiso) for Dome Fuji are on average closer to the observations, this model cannot reproduce the annual cycle of deuterium excess. In the event-based analysis, no evidence of a correlation of the measured deuterium excess with the latitude of the moisture source region or the corresponding conditions was identified. Contrary to the assumption used for decades in ice core studies, a more northerly moisture source does not necessarily mean a larger temperature difference between source area and deposition site, thus a more depleted precipitation in heavy isotopes with a higher deuterium excess.</t>
  </si>
  <si>
    <t>[Dittmann, Anna; Schlosser, Elisabeth] Univ Innsbruck, Inst Atmospher &amp; Cryospher Sci, A-6020 Innsbruck, Austria; [Schlosser, Elisabeth] Austrian Polar Res Inst, Vienna, Austria; [Masson-Delmotte, Valerie] Lab Sci Climat &amp; Environm, Gif Sur Yvette, France; [Powers, Jordan G.; Manning, Kevin W.] Natl Ctr Atmospher Res, POB 3000, Boulder, CO 80307 USA; [Werner, Martin] Alfred Wegener Inst, Bremerhaven, Germany; [Fujita, Koji] Nagoya Univ, Grad Sch Environm Studies, Chikusa Ku, Nagoya, Aichi 4648601, Japan</t>
  </si>
  <si>
    <t>University of Innsbruck; CEA; Centre National de la Recherche Scientifique (CNRS); Universite Paris Saclay; National Center Atmospheric Research (NCAR) - USA; Helmholtz Association; Alfred Wegener Institute, Helmholtz Centre for Polar &amp; Marine Research; Nagoya University</t>
  </si>
  <si>
    <t>Dittmann, A (corresponding author), Univ Innsbruck, Inst Atmospher &amp; Cryospher Sci, A-6020 Innsbruck, Austria.</t>
  </si>
  <si>
    <t>anna.dittmann@student.uibk.ac.at</t>
  </si>
  <si>
    <t>Fujita, Koji/E-6104-2010; Masson-Delmotte, Valerie L/G-1995-2011; Werner, Martin/C-8067-2014</t>
  </si>
  <si>
    <t>Fujita, Koji/0000-0003-3753-4981; Masson-Delmotte, Valerie L/0000-0001-8296-381X; Werner, Martin/0000-0002-6473-0243; Schlosser, Elisabeth/0000-0003-3659-240X</t>
  </si>
  <si>
    <t>Austrian Science Fund (FWF) [P24223]; Amadee Programm of WTZ [FR 12/2014]; US National Science Foundation, Office of Polar Programs; NSF [ANT-0944018, ANT-1245663]; Austrian Science Fund (FWF) [P 24223] Funding Source: researchfish; Grants-in-Aid for Scientific Research [26241020] Funding Source: KAKEN; Austrian Science Fund (FWF) [P24223] Funding Source: Austrian Science Fund (FWF)</t>
  </si>
  <si>
    <t>Austrian Science Fund (FWF)(Austrian Science Fund (FWF)); Amadee Programm of WTZ; US National Science Foundation, Office of Polar Programs(National Science Foundation (NSF)); NSF(National Science Foundation (NSF)); Austrian Science Fund (FWF)(Austrian Science Fund (FWF)); Grants-in-Aid for Scientific Research(Ministry of Education, Culture, Sports, Science and Technology, Japan (MEXT)Japan Society for the Promotion of ScienceGrants-in-Aid for Scientific Research (KAKENHI)); Austrian Science Fund (FWF)(Austrian Science Fund (FWF))</t>
  </si>
  <si>
    <t>This study was financed by the Austrian Science Fund (FWF) under grant P24223 and by the Amadee Programm of WTZ (FR 12/2014). AMPS is supported by the US National Science Foundation, Office of Polar Programs. We appreciate the support of the University of Wisconsin-Madison Automatic Weather Station Program for the Dome F AWS data set, data display, and information, NSF grant numbers ANT-0944018 and ANT-1245663. The European Centre for Medium-Range Weather Forecasts kindly provided the archive data from ERA-Interim. We thank Lindsey Nicholson for software support. We also thank our editor, Carlo Barbante, and Frederic Parrenin and an anonymous reviewer for their positive reviews and helpful comments.</t>
  </si>
  <si>
    <t>10.5194/acp-16-6883-2016</t>
  </si>
  <si>
    <t>DP2WQ</t>
  </si>
  <si>
    <t>WOS:000378354600014</t>
  </si>
  <si>
    <t>Huang, N; Dai, XQ; Zhang, J</t>
  </si>
  <si>
    <t>Huang, Ning; Dai, Xiaoqing; Zhang, Jie</t>
  </si>
  <si>
    <t>The impacts of moisture transport on drifting snow sublimation in the saltation layer</t>
  </si>
  <si>
    <t>BLOWING-SNOW; SNOWDRIFT SUBLIMATION; WIND; MODEL; SIMULATION; ICE</t>
  </si>
  <si>
    <t>Drifting snow sublimation (DSS) is an important physical process related to moisture and heat transfer that happens in the atmospheric boundary layer, which is of glaciological and hydrological importance. It is also essential in order to understand the mass balance of the Antarctic ice sheets and the global climate system. Previous studies mainly focused on the DSS of suspended snow and ignored that in the saltation layer. Here, a drifting snow model combined with balance equations for heat and moisture is established to simulate the physical DSS process in the saltation layer. The simulated results show that DSS can strongly increase humidity and cooling effects, which in turn can significantly reduce DSS in the saltation layer. However, effective moisture transport can dramatically weaken the feedback effects. Due to moisture advection, DSS rate in the saltation layer can be several orders of magnitude greater than that of the suspended particles. Thus, DSS in the saltation layer has an important influence on the distribution and mass-energy balance of snow cover.</t>
  </si>
  <si>
    <t>[Huang, Ning; Dai, Xiaoqing; Zhang, Jie] Lanzhou Univ, Key Lab Mech Disaster &amp; Environm Western China, Lanzhou 730000, Peoples R China; [Huang, Ning; Zhang, Jie] Lanzhou Univ, Sch Civil Engn &amp; Mech, Lanzhou 730000, Peoples R China</t>
  </si>
  <si>
    <t>Lanzhou University; Lanzhou University</t>
  </si>
  <si>
    <t>Huang, N (corresponding author), Lanzhou Univ, Key Lab Mech Disaster &amp; Environm Western China, Lanzhou 730000, Peoples R China.;Huang, N (corresponding author), Lanzhou Univ, Sch Civil Engn &amp; Mech, Lanzhou 730000, Peoples R China.</t>
  </si>
  <si>
    <t>huangn@lzu.edu.cn</t>
  </si>
  <si>
    <t>Zhang, Jie/AAA-1148-2022</t>
  </si>
  <si>
    <t>Zhang, Jie/0000-0003-1379-5976</t>
  </si>
  <si>
    <t>National Natural Science Foundation of China [91325203, 41371034]; Innovative Research Group of the National Natural Science Foundation of China [11421062]</t>
  </si>
  <si>
    <t>National Natural Science Foundation of China(National Natural Science Foundation of China (NSFC)); Innovative Research Group of the National Natural Science Foundation of China(National Natural Science Foundation of China (NSFC))</t>
  </si>
  <si>
    <t>This work is supported by the State Key Program of National Natural Science Foundation of China (91325203), the National Natural Science Foundation of China (41371034), and Innovative Research Group of the National Natural Science Foundation of China (11421062).</t>
  </si>
  <si>
    <t>10.5194/acp-16-7523-2016</t>
  </si>
  <si>
    <t>DQ7VZ</t>
  </si>
  <si>
    <t>WOS:000379417300002</t>
  </si>
  <si>
    <t>Legrand, M; Preunkert, S; Savarino, J; Frey, MM; Kukui, A; Helmig, D; Jourdain, B; Jones, AE; Weller, R; Brough, N; Gallée, H</t>
  </si>
  <si>
    <t>Legrand, Michel; Preunkert, Susanne; Savarino, Joel; Frey, Markus M.; Kukui, Alexandre; Helmig, Detlev; Jourdain, Bruno; Jones, Anna E.; Weller, Rolf; Brough, Neil; Gallee, Hubert</t>
  </si>
  <si>
    <t>Inter-annual variability of surface ozone at coastal (Dumont d'Urville, 2004-2014) and inland (Concordia, 2007-2014) sites in East Antarctica</t>
  </si>
  <si>
    <t>BOUNDARY-LAYER; SOUTH-POLE; DOME C; TROPOSPHERIC CHEMISTRY; NO; SUMMER; SPECIATION; DEPLETION</t>
  </si>
  <si>
    <t>Surface ozone has been measured since 2004 at the coastal East Antarctic site of Dumont d'Urville (DDU), and since 2007 at the Concordia station located on the high East Antarctic plateau. This paper discusses long-term changes, seasonal and diurnal cycles, as well as inter-annual summer variability observed at these two East Antarctic sites. At Concordia, near-surface ozone data were complemented by balloon soundings and compared to similar measurements done at the South Pole. The DDU record is compared to those obtained at the coastal site of Syowa, also located in East Antarctica, as well as the coastal sites of Neumayer and Halley, both located on the coast of the Weddell Sea in West Antarctica. Surface ozone mixing ratios exhibit very similar seasonal cycles at Concordia and the South Pole. However, in summer the diurnal cycle of ozone is different at the two sites with a drop of ozone in the afternoon at Concordia but not at the South Pole. The vertical distribution of ozone above the snow surface also differs. When present, the ozone-rich layer located near the ground is better mixed and deeper at Concordia (up to 400aEuro-m) than at the South Pole during sunlight hours. These differences are related to different solar radiation and wind regimes encountered at these two inland sites. DDU appears to be the coastal site where the impact of the late winter/spring bromine chemistry is the weakest, but where the impact of elevated ozone levels caused by NOx snow emissions from the high Antarctic plateau is the highest. The highest impact of the bromine chemistry is seen at Halley and Neumayer, and to a lesser extent at Syowa. These three sites are only weakly impacted by the NOx chemistry and the net ozone production occurring on the high Antarctic plateau. The differences in late winter/spring are attributed to the abundance of sea ice offshore from the sites, whereas those in summer are related to the topography of East Antarctica that promotes the katabatic flow bringing oxidant-rich inland air masses to the site. There appears to be a decreasing change in summer surface ozone at the two East Antarctic sites of Concordia and DDU over the most recent period (2004-2014 and 2007-2014). Further research, including continued monitoring, is needed at these two sites to better separate the effect of synoptic transport from possible change of NOx snow emissions in response to recovery of the stratospheric ozone layer leading to penetration of more UV radiation to the surface.</t>
  </si>
  <si>
    <t>[Legrand, Michel; Preunkert, Susanne; Savarino, Joel; Jourdain, Bruno; Gallee, Hubert] Univ Grenoble Alpes, LGGE, Grenoble, France; [Legrand, Michel; Preunkert, Susanne; Savarino, Joel; Jourdain, Bruno; Gallee, Hubert] CNRS, LGGE, Grenoble, France; [Frey, Markus M.; Jones, Anna E.; Brough, Neil] British Antarctic Survey, Nat Environm Res Council, Cambridge, England; [Kukui, Alexandre] Univ Paris 06, Univ Versailles St Quentin, Lab Atmosphere Milieux &amp; Observat Spatiales LATMO, UMR8190,CNRS, Paris, France; [Helmig, Detlev] Univ Colorado, Inst Arctic &amp; Alpine Res INSTAAR, Boulder, CO 80309 USA; [Weller, Rolf] Alfred Wegener Inst Polar &amp; Marine Res, Bremerhaven, Germany</t>
  </si>
  <si>
    <t>Communaute Universite Grenoble Alpes; Universite Grenoble Alpes (UGA); Centre National de la Recherche Scientifique (CNRS); Communaute Universite Grenoble Alpes; Universite Grenoble Alpes (UGA); UK Research &amp; Innovation (UKRI); Natural Environment Research Council (NERC); NERC British Antarctic Survey; Centre National de la Recherche Scientifique (CNRS); CNRS - National Institute for Earth Sciences &amp; Astronomy (INSU); Universite Paris Saclay; Sorbonne Universite; University of Colorado System; University of Colorado Boulder; Helmholtz Association; Alfred Wegener Institute, Helmholtz Centre for Polar &amp; Marine Research</t>
  </si>
  <si>
    <t>Legrand, M (corresponding author), Univ Grenoble Alpes, LGGE, Grenoble, France.;Legrand, M (corresponding author), CNRS, LGGE, Grenoble, France.</t>
  </si>
  <si>
    <t>michel.legrand@lgge.obs.ujf-grenoble.fr</t>
  </si>
  <si>
    <t>Legrand, Michel/AAU-4678-2020; Frey, Markus/G-1756-2012; Kukui, Alexandre/K-6643-2012; brough, neil/AAG-8550-2019; Savarino, Joel/H-9730-2012</t>
  </si>
  <si>
    <t>Frey, Markus/0000-0003-0535-0416; brough, neil/0000-0002-2316-5292; Savarino, Joel/0000-0002-6708-9623; Kukui, Alexandre/0000-0002-3657-0414</t>
  </si>
  <si>
    <t>ANR (Agence National de Recherche) [ANR-09-BLAN-0226]; Institut Polaire Francais-Paul Emile Victor (IPEV) [414, 903]; INSU (CNRS); USA National Science Foundation [PLR 1142145]; NERC [bas0100032] Funding Source: UKRI; Natural Environment Research Council [bas0100032] Funding Source: researchfish; Office of Polar Programs (OPP); Directorate For Geosciences [1142145] Funding Source: National Science Foundation; Agence Nationale de la Recherche (ANR) [ANR-09-BLAN-0226] Funding Source: Agence Nationale de la Recherche (ANR)</t>
  </si>
  <si>
    <t>ANR (Agence National de Recherche)(Agence Nationale de la Recherche (ANR)); Institut Polaire Francais-Paul Emile Victor (IPEV); INSU (CNRS)(Centre National de la Recherche Scientifique (CNRS)); USA National Science Foundation(National Science Foundation (NSF));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 Agence Nationale de la Recherche (ANR)(Agence Nationale de la Recherche (ANR))</t>
  </si>
  <si>
    <t>The OPALE project was funded by the ANR (Agence National de Recherche) through contract ANR-09-BLAN-0226. National financial support and field logistic supplies for the summer campaign were provided by the Institut Polaire Francais-Paul Emile Victor (IPEV) through program nos. 414 and 903. This work was initiated in the framework of the French environmental observation service CESOA (Etude du cycle atmospherique du Soufre en relation avec le climat aux moyennes et hautes latitudes Sud, http://www-lgge.obs.ujf-grenoble.fr/CESOA/spip.php?rubrique2) with the financial support of INSU (CNRS). Detlev Helmig's contribution was funded by the USA National Science Foundation grant PLR 1142145. We also thank the researchers and agencies that conducted the ozone measurements at Syowa, Neumayer, and the South Pole and making them available for their dissemination in the World Data Centre for Greenhouse Gases. We thank Marie Dumont from Centre d'etude de la neige (CEN/Meteo-France) and Giuseppe Camporeale from ENEA who contributed to balloon soundings done in summer 2009-2010. We also thank Christophe Genthon from LGGE, who provided us the Vaisala PTU sondes in the frame of the Concordiasi program, and Marion Marchand from LATMOS, who provided us the ozone sondes and calibration system in the frame of the program IPEV no. 912 during summer 2009-2010. We thank the two anonymous reviewers and the editor for their helpful comments.</t>
  </si>
  <si>
    <t>10.5194/acp-16-8053-2016</t>
  </si>
  <si>
    <t>WOS:000379417300036</t>
  </si>
  <si>
    <t>Casado, M; Landais, A; Masson-Delmotte, V; Genthon, C; Kerstel, E; Kassi, S; Arnaud, L; Picard, G; Prie, F; Cattani, O; Steen-Larsen, HC; Vignon, E; Cermak, P</t>
  </si>
  <si>
    <t>Casado, Mathieu; Landais, Amaelle; Masson-Delmotte, Valerie; Genthon, Christophe; Kerstel, Erik; Kassi, Samir; Arnaud, Laurent; Picard, Ghislain; Prie, Frederic; Cattani, Olivier; Steen-Larsen, Hans-Christian; Vignon, Etienne; Cermak, Peter</t>
  </si>
  <si>
    <t>Continuous measurements of isotopic composition of water vapour on the East Antarctic Plateau</t>
  </si>
  <si>
    <t>ATMOSPHERIC BOUNDARY-LAYER; ICE-CORE RECORD; STABLE-ISOTOPES; DOME-C; SURFACE SNOW; DEUTERIUM EXCESS; VOSTOK STATION; GREENLAND; MODEL; FRACTIONATION</t>
  </si>
  <si>
    <t>Water stable isotopes in central Antarctic ice cores are critical to quantify past temperature changes. Accurate temperature reconstructions require one to understand the processes controlling surface snow isotopic composition. Isotopic fractionation processes occurring in the atmosphere and controlling snowfall isotopic composition are well understood theoretically and implemented in atmospheric models. However, post-deposition processes are poorly documented and understood. To quantitatively interpret the isotopic composition of water archived in ice cores, it is thus essential to study the continuum between surface water vapour, precipitation, surface snow and buried snow. Here, we target the isotopic composition of water vapour at Concordia Station, where the oldest EPICA Dome C ice cores have been retrieved. While snowfall and surface snow sampling is routinely performed, accurate measurements of surface water vapour are challenging in such cold and dry conditions. New developments in infrared spectroscopy enable now the measurement of isotopic composition in water vapour traces. Two infrared spectrometers have been deployed at Concordia, allowing continuous, in situ measurements for 1 month in December 2014-January 2015. Comparison of the results from infrared spectroscopy with laboratory measurements of discrete samples trapped using cryo-genic sampling validates the relevance of the method to measure isotopic composition in dry conditions. We observe very large diurnal cycles in isotopic composition well correlated with temperature diurnal cycles. Identification of different behaviours of isotopic composition in the water vapour associated with turbulent or stratified regime indicates a strong impact of meteorological processes in local vapour/snow interaction. Even if the vapour isotopic composition seems to be, at least part of the time, at equilibrium with the local snow, the slope of delta D against delta O-18 prevents us from identifying a unique origin leading to this isotopic composition.</t>
  </si>
  <si>
    <t>[Casado, Mathieu; Landais, Amaelle; Masson-Delmotte, Valerie; Prie, Frederic; Cattani, Olivier] CEA CNRS UVSQ, UMR 8212, Lab Sci Climat &amp; Environm IPSL, Gif Sur Yvette, France; [Casado, Mathieu; Kerstel, Erik; Kassi, Samir] CNRS, LIPHY, F-38000 Grenoble, France; [Kerstel, Erik] Univ Grenoble Alpes, LIPHY, F-38000 Grenoble, France; [Genthon, Christophe; Arnaud, Laurent; Picard, Ghislain; Vignon, Etienne] Univ Grenoble Alpes, LGGE, F-38041 Grenoble, France; [Genthon, Christophe; Arnaud, Laurent; Picard, Ghislain; Vignon, Etienne] CNRS, LGGE, F-38041 Grenoble, France; [Steen-Larsen, Hans-Christian] Univ Copenhagen, Ctr Ice &amp; Climate, Copenhagen, Denmark; [Cermak, Peter] Comenius Univ, Fac Math Phys &amp; Informat, Dept Expt Phys, Mlynska Dolina F2, Bratislava 84248, Slovakia</t>
  </si>
  <si>
    <t>CEA; Centre National de la Recherche Scientifique (CNRS); Universite Paris Saclay; CNRS - National Institute for Earth Sciences &amp; Astronomy (INSU); Centre National de la Recherche Scientifique (CNRS); Communaute Universite Grenoble Alpes; Universite Grenoble Alpes (UGA); Communaute Universite Grenoble Alpes; Universite Grenoble Alpes (UGA); Communaute Universite Grenoble Alpes; Universite Grenoble Alpes (UGA); Centre National de la Recherche Scientifique (CNRS); University of Copenhagen; Comenius University Bratislava</t>
  </si>
  <si>
    <t>Casado, M (corresponding author), CEA CNRS UVSQ, UMR 8212, Lab Sci Climat &amp; Environm IPSL, Gif Sur Yvette, France.;Casado, M (corresponding author), CNRS, LIPHY, F-38000 Grenoble, France.</t>
  </si>
  <si>
    <t>mathieu.casado@gmail.com</t>
  </si>
  <si>
    <t>Picard, Ghislain/D-4246-2013; Masson-Delmotte, Valerie L/G-1995-2011; Kerstel, Erik/AAG-3042-2020; Cermak, Peter/J-3408-2012; Steen-Larsen, Hans Christian/F-9927-2013</t>
  </si>
  <si>
    <t>Picard, Ghislain/0000-0003-1475-5853; Masson-Delmotte, Valerie L/0000-0001-8296-381X; Kerstel, Erik/0000-0001-5325-7860; Cermak, Peter/0000-0002-9746-1983; LANDAIS, Amaelle/0000-0002-5620-5465; Casado, Mathieu/0000-0002-8185-415X; VIGNON, Etienne/0000-0003-3801-9367; Genthon, Christophe/0000-0002-3678-4447; Steen-Larsen, Hans Christian/0000-0002-7202-5907; arnaud, laurent/0000-0002-4432-4205</t>
  </si>
  <si>
    <t>European Research Council under the European Union [306045]; European Research Council (ERC) [306045] Funding Source: European Research Council (ERC)</t>
  </si>
  <si>
    <t>European Research Council under the European Union(European Research Council (ERC)); European Research Council (ERC)(European Research Council (ERC)Spanish Government)</t>
  </si>
  <si>
    <t>The research leading to these results has received funding from the European Research Council under the European Union's Seventh Framework Programme (FP7/2007-2013)/ERC grant agreement no. 306045. We acknowledge the programs NIVO and GLACIO and all the IPEV that made this campaign possible and LGGE and LIPHY for providing logistic advice and support. We thank Catherine Ritz, Anais Orsi and Xavier Fain for their help during the preparation of the mission. Many thanks to Philippe Ricaud, Doris Thuillier, Nicolas Caillon, Bruno Jourdain, Olivier Magand and all the 11th winter-over team for your support and your presence in Concordia. Thanks to Hubert Gallee for all the discussions about polar meteorology.</t>
  </si>
  <si>
    <t>10.5194/acp-16-8521-2016</t>
  </si>
  <si>
    <t>WOS:000381091400030</t>
  </si>
  <si>
    <t>Hindley, NP; Smith, ND; Wright, CJ; Rees, DAS; Mitchell, NJ</t>
  </si>
  <si>
    <t>Hindley, Neil P.; Smith, Nathan D.; Wright, Corwin J.; Rees, D. Andrew S.; Mitchell, Nicholas J.</t>
  </si>
  <si>
    <t>A two-dimensional Stockwell transform for gravity wave analysis of AIRS measurements</t>
  </si>
  <si>
    <t>ATMOSPHERIC MEASUREMENT TECHNIQUES</t>
  </si>
  <si>
    <t>MOMENTUM FLUX; MOUNTAIN WAVES; S-TRANSFORM; LOCALIZATION; SPECTRUM; ANTARCTICA; HIRDLS</t>
  </si>
  <si>
    <t>Gravity waves (GWs) play a crucial role in the dynamics of the earth's atmosphere. These waves couple lower, middle and upper atmospheric layers by transporting and depositing energy and momentum from their sources to great heights. The accurate parameterisation of GW momentum flux is of key importance to general circulation models but requires accurate measurement of GW properties, which has proved challenging. For more than a decade, the nadir-viewing Atmospheric Infrared Sounder (AIRS) aboard NASA's Aqua satellite has made global, two-dimensional (2-D) measurements of stratospheric radiances in which GWs can be detected. However, one problem with current one-dimensional methods for GW analysis of these data is that they can introduce significant unwanted biases. Here, we present a new analysis method that resolves this problem. Our method uses a 2-D Stockwell transform (2DST) to measure GW amplitudes, horizontal wavelengths and directions of propagation using both the along-track and cross-track dimensions simultaneously. We first test our new method and demonstrate that it can accurately measure GW properties in a specified wave field. We then show that by using a new elliptical spectral window in the 2DST, in place of the traditional Gaussian, we can dramatically improve the recovery of wave amplitude over the standard approach. We then use our improved method to measure GW properties and momentum fluxes in AIRS measurements over two regions known to be intense hotspots of GW activity: (i) the Drake Passage/Antarctic Peninsula and (ii) the isolated mountainous island of South Georgia. The significance of our new 2DST method is that it provides more accurate, unbiased and better localised measurements of key GW properties compared to most current methods. The added flexibility offered by the scaling parameter and our new spectral window presented here extend the usefulness of our 2DST method to other areas of geophysical data analysis and beyond.</t>
  </si>
  <si>
    <t>[Hindley, Neil P.; Smith, Nathan D.; Wright, Corwin J.; Mitchell, Nicholas J.] Univ Bath, Ctr Space Atmosphere &amp; Ocean Sci, Bath, Avon, England; [Rees, D. Andrew S.] Univ Bath, Dept Mech Engn, Bath, Avon, England</t>
  </si>
  <si>
    <t>University of Bath; University of Bath</t>
  </si>
  <si>
    <t>Hindley, NP (corresponding author), Univ Bath, Ctr Space Atmosphere &amp; Ocean Sci, Bath, Avon, England.</t>
  </si>
  <si>
    <t>n.hindley@bath.ac.uk</t>
  </si>
  <si>
    <t>Smith, Nathan John/JXY-5736-2024; Wright, Corwin/J-4598-2014</t>
  </si>
  <si>
    <t>Smith, Nathan John/0009-0000-1982-8420; Wright, Corwin/0000-0003-2496-953X; Rees, D Andrew S/0000-0003-3846-1972; Hindley, Neil/0000-0003-4377-2038</t>
  </si>
  <si>
    <t>NERC [NE/K015117/1]; NERC [NE/K015117/1] Funding Source: UKRI; Natural Environment Research Council [NE/K015117/1]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</si>
  <si>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</si>
  <si>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Neil P. Hindle is funded by a NERC studentship awarded to the University of Bath. Corwin J. Wright and Nicholas J. Mitchell are supported by NERC grant NE/K015117/1. The authors would like to thank the AIRS programme team for many years of hard work producing the data used here and also the handling editor and anonymous reviewers for their very helpful suggestions.</t>
  </si>
  <si>
    <t>1867-1381</t>
  </si>
  <si>
    <t>1867-8548</t>
  </si>
  <si>
    <t>ATMOS MEAS TECH</t>
  </si>
  <si>
    <t>Atmos. Meas. Tech.</t>
  </si>
  <si>
    <t>10.5194/amt-9-2545-2016</t>
  </si>
  <si>
    <t>DQ7OM</t>
  </si>
  <si>
    <t>WOS:000379397100006</t>
  </si>
  <si>
    <t>Garimella, S; Kristensen, TB; Ignatius, K; Welti, A; Voigtländer, J; Kulkarni, GR; Sagan, F; Kok, GL; Dorsey, J; Nichman, L; Rothenberg, DA; Rösch, M; Kirchgässner, ACR; Ladkin, R; Wex, H; Wilson, TW; Ladino, LA; Abbatt, JPD; Stetzer, O; Lohmann, U; Stratmann, F; Cziczo, DJ</t>
  </si>
  <si>
    <t>Garimella, Sarvesh; Kristensen, Thomas Bjerring; Ignatius, Karolina; Welti, Andre; Voigtlaender, Jens; Kulkarni, Gourihar R.; Sagan, Frank; Kok, Gregory Lee; Dorsey, James; Nichman, Leonid; Rothenberg, Daniel Alexander; Rosch, Michael; Kirchgassner, Amelie Catharina Ruth; Ladkin, Russell; Wex, Heike; Wilson, Theodore W.; Ladino, Luis Antonio; Abbatt, Jon P. D.; Stetzer, Olaf; Lohmann, Ulrike; Stratmann, Frank; Cziczo, Daniel James</t>
  </si>
  <si>
    <t>The SPectrometer for Ice Nuclei (SPIN): an instrument to investigate ice nucleation</t>
  </si>
  <si>
    <t>FLOW DIFFUSION CHAMBER; DEPOSITION MODE; AEROSOLS; DISCRIMINATION; MECHANISMS; PARTICLES; IMMERSION; DESIGN; OZONE; LIGHT</t>
  </si>
  <si>
    <t>The SPectrometer for Ice Nuclei (SPIN) is a commercially available ice nucleating particle (INP) counter manufactured by Droplet Measurement Technologies in Boulder, CO. The SPIN is a continuous flow diffusion chamber with parallel plate geometry based on the Zurich Ice Nucleation Chamber and the Portable Ice Nucleation Chamber. This study presents a standard description for using the SPIN instrument and also highlights methods to analyze measurements in more advanced ways. It characterizes and describes the behavior of the SPIN chamber, reports data from laboratory measurements, and quantifies uncertainties associated with the measurements. Experiments with ammonium sulfate are used to investigate homogeneous freezing of deliquesced haze droplets and droplet breakthrough. Experiments with kaolinite, NX illite, and silver iodide are used to investigate heterogeneous ice nucleation. SPIN nucleation results are compared to those from the literature. A machine learning approach for analyzing depolarization data from the SPIN optical particle counter is also presented (as an advanced use). Overall, we report that the SPIN is able to reproduce previous INP counter measurements.</t>
  </si>
  <si>
    <t>[Garimella, Sarvesh; Rothenberg, Daniel Alexander; Rosch, Michael; Cziczo, Daniel James] MIT, Dept Earth Atmospher &amp; Planetary Sci, Cambridge, MA 02139 USA; [Kristensen, Thomas Bjerring; Ignatius, Karolina; Welti, Andre; Voigtlaender, Jens; Wex, Heike; Stratmann, Frank] Leibniz Inst Tropospher Res, Leipzig, Germany; [Kulkarni, Gourihar R.] Pacific Northwest Natl Lab, Richland, WA USA; [Sagan, Frank; Kok, Gregory Lee] Droplet Measurement Technol, Boulder, CO USA; [Dorsey, James; Nichman, Leonid] Univ Manchester, Sch Earth Atmospher &amp; Environm Sci, Manchester, Lancs, England; [Kirchgassner, Amelie Catharina Ruth; Ladkin, Russell] British Antarctic Survey, Cambridge, England; [Wilson, Theodore W.] Univ Leeds, Sch Earth &amp; Environm, Leeds, W Yorkshire, England; [Ladino, Luis Antonio; Abbatt, Jon P. D.] Univ Toronto, Dept Chem, Toronto, ON, Canada; [Stetzer, Olaf] V ZUG AG, Zurich, Switzerland; [Lohmann, Ulrike] Swiss Fed Inst Technol, Dept Environm Syst Sci, Zurich, Switzerland</t>
  </si>
  <si>
    <t>Massachusetts Institute of Technology (MIT); Leibniz Institut fur Tropospharenforschung (TROPOS); United States Department of Energy (DOE); Pacific Northwest National Laboratory; University of Manchester; UK Research &amp; Innovation (UKRI); Natural Environment Research Council (NERC); NERC British Antarctic Survey; University of Leeds; University of Toronto; Swiss Federal Institutes of Technology Domain; ETH Zurich</t>
  </si>
  <si>
    <t>Cziczo, DJ (corresponding author), MIT, Dept Earth Atmospher &amp; Planetary Sci, Cambridge, MA 02139 USA.</t>
  </si>
  <si>
    <t>djcziczo@mit.edu</t>
  </si>
  <si>
    <t>Nichman, Leonid/AAG-3395-2020; Ladino, Luis Antonio./AAF-7614-2019; Lohmann, Ulrike/B-6153-2009; Wex, Heike/X-5882-2018; Wilson, Theodore W/H-2793-2015; Kristensen, Thomas Bjerring/N-4346-2017; Voigtlander, Jens/D-8672-2019; Welti, Andre/J-8425-2013; Rothenberg, Daniel/H-1353-2013</t>
  </si>
  <si>
    <t>Nichman, Leonid/0000-0003-3923-1589; Ladino, Luis Antonio./0000-0002-4941-7945; Wex, Heike/0000-0003-2129-9323; Kristensen, Thomas Bjerring/0000-0002-8254-3302; Dorsey, James/0000-0002-1720-9412; Voigtlander, Jens/0000-0001-7278-3831; /0000-0002-4064-5722; Abbatt, Jonathan/0000-0002-3372-334X; Welti, Andre/0000-0002-3549-1212; Rothenberg, Daniel/0000-0002-8270-4831</t>
  </si>
  <si>
    <t>US Department of Energy, Office of Science, STTR program [DE-SC-0004258]; NASA [NNX13AO15G]; MIT Martin Family Society for Sustainability; German Federal Ministry of Education and Research (BMBF) through the CLOUD-12 project [01LK1222B]; EC Seventh Framework Programme (Marie Curie Initial Training Networks MC-ITN CLOUD-TRAIN) [316662]; Natural Environment Research Council [NE/K004417/1]; Natural Environment Research Council [NE/I013466/1, bas0100032, NE/K004417/1] Funding Source: researchfish; NERC [bas0100032, NE/I013466/1, NE/K004417/1] Funding Source: UKRI; NASA [NNX13AO15G, 466585] Funding Source: Federal RePORTER</t>
  </si>
  <si>
    <t>US Department of Energy, Office of Science, STTR program(United States Department of Energy (DOE)); NASA(National Aeronautics &amp; Space Administration (NASA)); MIT Martin Family Society for Sustainability; German Federal Ministry of Education and Research (BMBF) through the CLOUD-12 project(Federal Ministry of Education &amp; Research (BMBF)); EC Seventh Framework Programme (Marie Curie Initial Training Networks MC-ITN CLOUD-TRAIN)(European Union (EU));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 NASA(National Aeronautics &amp; Space Administration (NASA))</t>
  </si>
  <si>
    <t>The development of the SPIN instrument was supported by the US Department of Energy, Office of Science, STTR program, under award number DE-SC-0004258. S. Garimella and D. J. Cziczo would like to acknowledge NASA grant NNX13AO15G and the MIT Martin Family Society for Sustainability for funding. T. B. Kristensen and F. Stratmann gratefully acknowledge funding from the German Federal Ministry of Education and Research (BMBF) through the CLOUD-12 project (01LK1222B). K. Ignatius and L. Nichman gratefully acknowledge funding from the EC Seventh Framework Programme (Marie Curie Initial Training Networks MC-ITN CLOUD-TRAIN grant no. 316662). T. W. Wilson acknowledges funding from the Natural Environment Research Council (NE/K004417/1). The authors also thank Paul DeMott and other reviewers for the useful comments that have significantly improved the manuscript.</t>
  </si>
  <si>
    <t>10.5194/amt-9-2781-2016</t>
  </si>
  <si>
    <t>DQ7VY</t>
  </si>
  <si>
    <t>Green Published, Green Submitted, Green Accepted, gold</t>
  </si>
  <si>
    <t>WOS:000379417200002</t>
  </si>
  <si>
    <t>Newnham, DA; Ford, GP; Moffat-Griffin, T; Pumphrey, HC</t>
  </si>
  <si>
    <t>Newnham, David A.; Ford, George P.; Moffat-Griffin, Tracy; Pumphrey, Hugh C.</t>
  </si>
  <si>
    <t>Simulation study for measurement of horizontal wind profiles in the polar stratosphere and mesosphere using ground-based observations of ozone and carbon monoxide lines in the 230-250 GHz region</t>
  </si>
  <si>
    <t>LOWER THERMOSPHERE; TEMPERATURE-MEASUREMENTS; MIDDLE-ATMOSPHERE; TROLL STATION; MST RADAR; VALIDATION; INTERFEROMETER; LIDAR; ABSORPTION; TRANSPORT</t>
  </si>
  <si>
    <t>Meteorological and atmospheric models are being extended up to 80 km altitude but there are very few observing techniques that can measure stratospheric-mesospheric winds at altitudes between 20 and 80 km to verify model datasets. Here we demonstrate the feasibility of horizontal wind profile measurements using ground-based passive millimetre-wave spectroradiometric observations of ozone lines centred at 231.28, 249.79, and 249.96 GHz. Vertical profiles of horizontal winds are retrieved from forward and inverse modelling simulations of the line-of-sight Doppler-shifted atmospheric emission lines above Halley station (75 degrees 37'S, 26 degrees 14'W), Antarctica. For a radiometer with a system temperature of 1400K and 30 kHz spectral resolution observing the ozone 231.28 GHz line we estimate that 12 h zonal and meridional wind profiles could be determined over the altitude range 25-74 km in winter, and 28-66 km in summer. Height-dependent measurement uncertainties are in the range 3-8 m s(-1) and vertical resolution similar to 8-16 km. Under optimum observing conditions at Halley a temporal resolution of 1.5 h for measuring either zonal or meridional winds is possible, reducing to 0.5 h for a radiometer with a 700K system temperature. Combining observations of the 231.28 GHz ozone line and the 230.54 GHz carbon monoxide line gives additional altitude coverage at 85 +/- 12 km. The effects of clear-sky seasonal mean winter/summer conditions, zenith angle of the received atmospheric emission, and spectrometer frequency resolution on the altitude coverage, measurement uncertainty, and height and time resolution of the retrieved wind profiles have been determined.</t>
  </si>
  <si>
    <t>[Newnham, David A.; Ford, George P.; Moffat-Griffin, Tracy] British Antarctic Survey, Madingley Rd, Cambridge CB3 0ET, England; [Pumphrey, Hugh C.] Univ Edinburgh, Sch GeoSci, Edinburgh EH9 3FF, Midlothian, Scotland; [Ford, George P.] Met Off, FitzRoy Rd, Exeter EX1 3PB, Devon, England</t>
  </si>
  <si>
    <t>UK Research &amp; Innovation (UKRI); Natural Environment Research Council (NERC); NERC British Antarctic Survey; University of Edinburgh; Met Office - UK</t>
  </si>
  <si>
    <t>Newnham, DA (corresponding author), British Antarctic Survey, Madingley Rd, Cambridge CB3 0ET, England.</t>
  </si>
  <si>
    <t>dawn@bas.ac.uk</t>
  </si>
  <si>
    <t>Pumphrey, Hugh/S-2969-2019</t>
  </si>
  <si>
    <t>Pumphrey, Hugh/0000-0003-0747-1457; Newnham, David/0000-0001-8422-1289</t>
  </si>
  <si>
    <t>UKs Natural Environment Research Council (NERC) Technologies Proof-of-Concept grant [NE/L012197/1]; NERC [NE/P003478/1, bas0100031, NE/L012197/1] Funding Source: UKRI; Natural Environment Research Council [NE/L012197/1, bas0100031, NE/P003478/1] Funding Source: researchfish</t>
  </si>
  <si>
    <t>UKs Natural Environment Research Council (NERC) Technologies Proof-of-Concept grant(UK Research &amp; Innovation (UKRI)Natural Environment Research Council (NERC)); NERC(UK Research &amp; Innovation (UKRI)Natural Environment Research Council (NERC)); Natural Environment Research Council(UK Research &amp; Innovation (UKRI)Natural Environment Research Council (NERC))</t>
  </si>
  <si>
    <t>This work has been supported by the UKs Natural Environment Research Council (NERC) Technologies Proof-of-Concept grant reference NE/L012197/1 awarded to D. A. Newnham, T. Moffat-Griffin, and H. C. Pumphrey. We acknowledge ECMWF for the re-analysis data. The authors thank the ARTS and Qpack development teams and P. Eriksson at Chalmers University of Technology and P. Kirsch at BAS for assistance configuring and running the code, E. C. Turner at BAS for processing ERA data, D. Marsh at the National Center for Atmospheric Research (NCAR) for providing SD-WACCM data, and N. Kampfer, R. Rufenacht, and A. Murk at the University of Bern and N. J. Mitchell at the University of Bath for helpful discussions.</t>
  </si>
  <si>
    <t>10.5194/amt-9-3309-2016</t>
  </si>
  <si>
    <t>DS9HQ</t>
  </si>
  <si>
    <t>WOS:000381094100022</t>
  </si>
  <si>
    <t>Romanin, LM; Hopf, F; Haberle, SG; Bowman, DMJS</t>
  </si>
  <si>
    <t>Romanin, Louise M.; Hopf, Feli; Haberle, Simon G.; Bowman, David M. J. S.</t>
  </si>
  <si>
    <t>Fire regime and vegetation change in the transition from Aboriginal to European land management in a Tasmanian eucalypt savanna</t>
  </si>
  <si>
    <t>AUSTRALIAN JOURNAL OF BOTANY</t>
  </si>
  <si>
    <t>Aboriginal fire management; grassland; grassy woodland historical ecology; landscape ecology; macro-charcoal; palynology</t>
  </si>
  <si>
    <t>NEW-SOUTH-WALES; CENTRAL ARNHEM-LAND; LATE HOLOCENE; HUMAN IMPACT; ENVIRONMENTAL HISTORY; FOREST; CHARCOAL; AUSTRALIA; RECORDS; CLIMATE</t>
  </si>
  <si>
    <t>Using pollen and charcoal analysis we examined how vegetation and fire regimes have changed over the last 600 years in the Midlands of Tasmania. Sediment cores from seven lagoons were sampled, with a chronology developed at one site (Diprose Lagoon) using 210Pb and 14C dating. Statistical contrasts of six cores where Pinus served as a marker of European settlement in the early 19th Century and showed significant changes in pollen composition following settlement with (a) influx of ruderal exotic taxa including Plantago lanceolata L., Brassicaceae, Asteraceae (Liguliflorae) and Rumex, (b) increase in pollen of the aquatics Myriophyllum spp. and Cyperaceae, (c) a decline in native herbaceous pollen taxa, including Chenopodiaceae and Asteraceae (Tubuliflorae) and (d) a decline in Allocasuarina and an initial decline and then increase of Poaceae. The presence of Asteraceae (Liguliflorae) in the pre-European period suggests that an important root vegetable Microseris lanceolata (Walp.) Sch. Bip. may have been abundant. Charcoal deposition was low in the preEuropean period and significantly increased immediately after European arrival. Collectively, these changes suggest substantial ecological impacts following European settlement including cessation of Aboriginal traditions of fire management, a shift in hydrological conditions from open water lagoons to more ephemeral herb covered lagoons, and increased diversity of alien herbaceous species following pasture establishment.</t>
  </si>
  <si>
    <t>[Romanin, Louise M.; Bowman, David M. J. S.] Univ Tasmania, Sch Biol Sci, Private Bag 55, Hobart, Tas 7001, Australia; [Hopf, Feli; Haberle, Simon G.] Australian Natl Univ, ANU Coll Asia &amp; Pacific, Canberra, ACT 0200, Australia</t>
  </si>
  <si>
    <t>University of Tasmania; Australian National University</t>
  </si>
  <si>
    <t>Romanin, LM (corresponding author), Univ Tasmania, Sch Biol Sci, Private Bag 55, Hobart, Tas 7001, Australia.</t>
  </si>
  <si>
    <t>Louise.Romanin@utas.edu.au</t>
  </si>
  <si>
    <t>Bowman, David M.J.S./A-2930-2011; Haberle, Simon/U-4118-2019</t>
  </si>
  <si>
    <t>Bowman, David M.J.S./0000-0001-8075-124X; Romanin, Louise/0000-0003-1824-4516; Haberle, Simon/0000-0001-5802-6535</t>
  </si>
  <si>
    <t>Australian Government's National Environmental Research Programme; University of Tasmania (UTAS); Australian National University (ANU); Murdoch University; Antarctic Climate and Ecosystems Cooperative Research Centre (ACE CRC); Griffith University; Charles Sturt University (CSU)</t>
  </si>
  <si>
    <t>Australian Government's National Environmental Research Programme(Australian Government); University of Tasmania (UTAS); Australian National University (ANU)(Australian National University); Murdoch University; Antarctic Climate and Ecosystems Cooperative Research Centre (ACE CRC)(Australian GovernmentDepartment of Industry, Innovation and ScienceCooperative Research Centres (CRC) Programme); Griffith University(Griffith University - Gold Coast Campus); Charles Sturt University (CSU)</t>
  </si>
  <si>
    <t>This research is an output from the Landscape and Policy Research Hub. The hub was supported through funding from the Australian Government's National Environmental Research Programme and involved researchers from the University of Tasmania (UTAS), The Australian National University (ANU), Murdoch University, the Antarctic Climate and Ecosystems Cooperative Research Centre (ACE CRC), Griffith University and Charles Sturt University (CSU). Henk Heijnis and Atun Zawadzki from Australian Nuclear Science and Technology Organisation assisted with the 210Pb analysis.</t>
  </si>
  <si>
    <t>0067-1924</t>
  </si>
  <si>
    <t>1444-9862</t>
  </si>
  <si>
    <t>AUST J BOT</t>
  </si>
  <si>
    <t>Aust. J. Bot.</t>
  </si>
  <si>
    <t>10.1071/BT16032</t>
  </si>
  <si>
    <t>DV8CP</t>
  </si>
  <si>
    <t>WOS:000383165400006</t>
  </si>
  <si>
    <t>Vonnahme, TR; Devetter, M; Zársky, JD; Sabacká, M; Elster, J</t>
  </si>
  <si>
    <t>Vonnahme, T. R.; Devetter, M.; Zarsky, J. D.; Sabacka, M.; Elster, J.</t>
  </si>
  <si>
    <t>Controls on microalgal community structures in cryoconite holes upon high-Arctic glaciers, Svalbard</t>
  </si>
  <si>
    <t>FRESH-WATER ECOSYSTEMS; MICROBIAL COMMUNITIES; ICE; RATES; BIOGEOCHEMISTRY; ECOPHYSIOLOGY; CYANOBACTERIA; ASSEMBLAGES; SPITSBERGEN; DIVERSITY</t>
  </si>
  <si>
    <t>Glaciers are known to harbor surprisingly complex ecosystems. On their surface, distinct cylindrical holes filled with meltwater and sediments are considered hot spots for microbial life. The present paper addresses possible biological interactions within the community of prokaryotic cyanobacteria and eukaryotic microalgae (microalgae) and relations to their potential grazers, such as tardigrades and rotifers, additional to their environmental controls. Svalbard glaciers with substantial allochthonous input of material from local sources reveal high microalgal densities. Small valley glaciers with high sediment coverages and high impact of birds show high biomasses and support a high biological diversity. Invertebrate grazer densities do not show any significant negative correlation with microalgal abundances but rather a positive correlation with eukaryotic microalgae. Shared environmental preferences and a positive effect of grazing are the proposed mechanisms to explain these correlations. Most microalgae found in this study form colonies (&lt; 10 cells, or &gt; 25 mu m), which may protect them against invertebrate grazing. This finding rather indicates grazing as a positive control on eukaryotic microalgae by nutrient recycling. Density differences between the eukaryotic microalgae and prokaryotic cyanobacteria and their high distinction in redundancy (RDA) and principal component (PCA) analyses indicate that these two groups are in strong contrast. Eukaryotic microalgae occurred mainly in unstable cryoconite holes with high sediment loads, high N:P ratios, and a high impact of nutrient input by bird guano, as a proxy for nutrients. In these environments autochthonous nitrogen fixation appears to be negligible. Selective wind transport of Oscillatoriales via soil and dust particles is proposed to explain their dominance in cryoconites further away from the glacier margins. We propose that, for the studied glaciers, nutrient levels related to recycling of limiting nutrients are the main factor driving variation in the community structure of microalgae and grazers.</t>
  </si>
  <si>
    <t>[Vonnahme, T. R.; Devetter, M.; Zarsky, J. D.; Sabacka, M.; Elster, J.] Univ South Bohemia, Fac Sci, Ctr Polar Ecol, Ceske Budejovice, Czech Republic; [Vonnahme, T. R.] Univ Konstanz, Constance, Germany; [Devetter, M.] Acad Sci Czech Republ, Inst Soil Biol, Ctr Biol, Na Sadkach 7, CR-37005 Ceske Budejovice, Czech Republic; [Zarsky, J. D.] Charles Univ Prague, Dept Ecol, Prague, Czech Republic; [Sabacka, M.] British Antarctic Survey, Cambridge CB3 0ET, England; [Elster, J.] Acad Sci Czech Republ, Inst Bot, Trebon, Czech Republic; [Vonnahme, T. R.] Max Planck Inst Marine Microbiol, Bremen, Germany</t>
  </si>
  <si>
    <t>University of South Bohemia Ceske Budejovice; University of Konstanz; Czech Academy of Sciences; Biology Centre of the Czech Academy of Sciences; Charles University Prague; UK Research &amp; Innovation (UKRI); Natural Environment Research Council (NERC); NERC British Antarctic Survey; Czech Academy of Sciences; Institute of Botany of the Czech Academy of Sciences; Max Planck Society</t>
  </si>
  <si>
    <t>Elster, J (corresponding author), Univ South Bohemia, Fac Sci, Ctr Polar Ecol, Ceske Budejovice, Czech Republic.</t>
  </si>
  <si>
    <t>josef.elster@ibot.cas.cz</t>
  </si>
  <si>
    <t>Vonnahme, Tobias/AHC-2891-2022; Zarsky, Jakub Dan/D-1383-2013; Elster, Josef/B-1031-2008; Devetter, Miloslav/G-1087-2014; Sabacka, Marie/I-6378-2012; Devetter, Miloslav/AAE-1676-2021</t>
  </si>
  <si>
    <t>Vonnahme, Tobias/0000-0003-4339-5471; Zarsky, Jakub Dan/0000-0001-7072-0327; Devetter, Miloslav/0000-0003-1767-4266; Elster, Josef/0000-0002-4535-5636; Sabacka, Marie/0000-0002-0876-2718</t>
  </si>
  <si>
    <t>Ministry of Education, Youth and Sports of the Czech Republic [LM2010009, CZ.1.07/2.2.00/28.0190]; Ministry of Education, Youth and Sports of the Czech Republic through a long-term research development project of the Academy of Sciences of the Czech Republic [RVO 67985939]; European Social Fund [CZ.1.07/2.2.00/28.0190]; governmental budget of the Czech Republic; project GAUK [279715]; Natural Environment Research Council [bas0100035] Funding Source: researchfish; NERC [bas0100035] Funding Source: UKRI</t>
  </si>
  <si>
    <t>Ministry of Education, Youth and Sports of the Czech Republic(Ministry of Education, Youth &amp; Sports - Czech Republic); Ministry of Education, Youth and Sports of the Czech Republic through a long-term research development project of the Academy of Sciences of the Czech Republic; European Social Fund(European Social Fund (ESF)); governmental budget of the Czech Republic; project GAUK; Natural Environment Research Council(UK Research &amp; Innovation (UKRI)Natural Environment Research Council (NERC)); NERC(UK Research &amp; Innovation (UKRI)Natural Environment Research Council (NERC))</t>
  </si>
  <si>
    <t>The field and lab work in the Czech Republic and on Svalbard was funded by the Ministry of Education, Youth and Sports of the Czech Republic through (1) CzechPolar - Czech polar stations, construction and logistic expenses (LM2010009) and (2) the project Establishing of working team and conditions for education in the field of polar ecology and life in extreme environments (no. CZ.1.07/2.2.00/28.0190), as well as through a long-term research development project of the Academy of Sciences of the Czech Republic (RVO 67985939). Project no. CZ.1.07/2.2.00/28.0190 was also funded by the European Social Fund and from the governmental budget of the Czech Republic. Furthermore, we want to thank Jan Kavan for help with the logistics, Jana Snokhousova for her laboratory assistance, and Patrick Downes and Keith Edwards for revision of the English. Jakub Zarsky acknowledges support through project GAUK 279715.</t>
  </si>
  <si>
    <t>10.5194/bg-13-659-2016</t>
  </si>
  <si>
    <t>DE9QV</t>
  </si>
  <si>
    <t>WOS:000370973900003</t>
  </si>
  <si>
    <t>Zhu, ZY; Wu, Y; Liu, SM; Wenger, F; Hu, J; Zhang, J; Zhang, RF</t>
  </si>
  <si>
    <t>Zhu, Zhuo-Yi; Wu, Ying; Liu, Su-Mei; Wenger, Fred; Hu, Jun; Zhang, Jing; Zhang, Rui-Feng</t>
  </si>
  <si>
    <t>Organic carbon flux and particulate organic matter composition in Arctic valley glaciers: examples from the Bayelva River and adjacent Kongsfjorden</t>
  </si>
  <si>
    <t>PERFORMANCE LIQUID-CHROMATOGRAPHY; AMINO-ACIDS; SEDIMENT TRANSPORT; FJORD KONGSFJORDEN; CLASS ABUNDANCES; MASS-BALANCE; SVALBARD; OCEAN; SOUTH; SEA</t>
  </si>
  <si>
    <t>In the face of ongoing global warming and glacier retreat, the composition and flux of organic matter in glacier-fjord systems are key variables for updating the carbon cycle and budget, whereas the role of Arctic valley glaciers seems unimportant when compared with the huge Greenland Ice Sheet. Our field observations of the glacier-fed Bayelva River, Svalbard, and the adjacent Kongsfjorden allowed us to determine the compositions of particulate organic matter from glacier to fjord and also to estimate the flux of organic carbon, both for the river and for Svalbard in general. Particulate organic carbon (POC) and dissolved organic carbon (DOC) in the Bayelva River averaged 56 and 73 mu M, respectively, in August, 2012. Amino acids (AAs) and phytoplankton carbon accounted for similar to 10% of the bulk POC in the Bayelva River, while AAs represented &gt;90% of particulate nitrogen (PN) in fjord surface water, suggesting the strong in situ assimilation of organic matter. Bacteria accounted for 13 and 19% of the POC in the Bayelva River and the Kongsfjorden, respectively, while values for PN were much higher (i.e., 36% in Kongsfjorden). The total discharge from the Bayelva River in 2012 was 29 x 10(6) m(3). Furthermore, we calculated the annual POC, DOC, and PN fluxes for the river as 20 +/- 1.6 tons, 25 +/- 5.6 tons, and 4.7 +/- 0.75 tons, respectively. Using the POC content and DOC concentration data, we then estimated the annual POC and DOC fluxes for Svalbard glaciers. Although the estimated POC (0.056 +/- 0.02 x 10(6) tons year(-1)) and DOC (0.02 +/- 0.01 x 10(6) tons yea(-1)) fluxes of Svalbard glaciers are small in amount, its discharge-weighted flux of DOC was over twice higher than other pan-Arctic glacier systems, suggesting its important role as a terrestrial DOC source.</t>
  </si>
  <si>
    <t>[Zhu, Zhuo-Yi; Wu, Ying; Hu, Jun; Zhang, Jing; Zhang, Rui-Feng] E China Normal Univ, State Key Lab Estuarine &amp; Coastal Res, Shanghai 200062, Peoples R China; [Liu, Su-Mei] Ocean Univ China, Minist Educ, Key Lab Marine Chem Theory &amp; Technol, Qingdao, Shandong, Peoples R China; [Wenger, Fred] Norwegian Water Resources &amp; Energy Directorate, Oslo, Norway</t>
  </si>
  <si>
    <t>East China Normal University; Ocean University of China; Norwegian Water Resources &amp; Energy Directorate</t>
  </si>
  <si>
    <t>Zhu, ZY (corresponding author), E China Normal Univ, State Key Lab Estuarine &amp; Coastal Res, Shanghai 200062, Peoples R China.</t>
  </si>
  <si>
    <t>zyzhu@sklec.ecnu.edu.cn</t>
  </si>
  <si>
    <t>Zhu, Zhuoyi/HNS-4424-2023</t>
  </si>
  <si>
    <t>Zhang, Ruifeng/0000-0002-4411-8153; Zhu, Zhuo-Yi/0000-0002-0276-2418</t>
  </si>
  <si>
    <t>Chinese Arctic and Antarctic Administration [2012YR11011]; SKLEC/ECNU [2011KYYW02]; National Science Foundation of China [41206065]</t>
  </si>
  <si>
    <t>Chinese Arctic and Antarctic Administration; SKLEC/ECNU; National Science Foundation of China(National Natural Science Foundation of China (NSFC))</t>
  </si>
  <si>
    <t>This work was supported by Chinese Arctic and Antarctic Administration (2012YR11011) and SKLEC/ECNU (2011KYYW02), as well as the National Science Foundation of China (41206065). We are grateful to all the team members during our investigation in the Yellow River Station, as well as the staff in Ny-Alesund, who provided us assistance during our field work. The authors are grateful to their German colleagues, Gerhard Kattner, Boris Koch and Kai Uwe Ludwichowskf, who kindly helped us with establishing the amino acids measurement method in the laboratory. We thank the two anonymous reviewers who provided constructive comments to improve the original manuscript.</t>
  </si>
  <si>
    <t>10.5194/bg-13-975-2016</t>
  </si>
  <si>
    <t>DG4ZR</t>
  </si>
  <si>
    <t>WOS:000372082200007</t>
  </si>
  <si>
    <t>Raiswell, R; Hawkings, JR; Benning, LG; Baker, AR; Death, R; Samuel, AA; Mahowald, N; Krom, MD; Poulton, SW; Wadham, J; Tranter, M</t>
  </si>
  <si>
    <t>Raiswell, Robert; Hawkings, Jon R.; Benning, Liane G.; Baker, Alex R.; Death, Ros; Samuel, Albani A.; Mahowald, Natalie; Krom, Michael D.; Poulton, Simon W.; Wadham, Jemma; Tranter, Martyn</t>
  </si>
  <si>
    <t>Potentially bioavailable iron delivery by iceberg-hosted sediments and atmospheric dust to the polar oceans</t>
  </si>
  <si>
    <t>SOUTHERN-OCEAN; MINERAL DUST; ICE; SEA; SOLUBILITY; OXIDES; PHYTOPLANKTON; GREENLAND; CYCLE; BIOGEOCHEMISTRY</t>
  </si>
  <si>
    <t>Iceberg-hosted sediments and atmospheric dust transport potentially bioavailable iron to the Arctic and Southern oceans as ferrihydrite. Ferrihydrite is nanoparticulate and more soluble, as well as potentially more bioavailable, than other iron (oxyhydr)oxide minerals (lepidocrocite, goethite, and hematite). A suite of more than 50 iceberg-hosted sediments contain a mean content of 0.076 wt% Fe as ferrihydrite, which produces iceberg-hosted Fe fluxes ranging from 0.7 to 5.5 and 3.2 to 25 Gmoles yr(-1) to the Arctic and Southern oceans respectively. Atmospheric dust (with little or no combustion products) contains a mean ferrihydrite Fe content of 0.038 wt% (corresponding to a fractional solubility of similar to 1 %) and delivers much smaller Fe fluxes (0.02-0.07 Gmoles yr(-1) to the Arctic Ocean and 0.0-0.02 Gmoles yr(-1) to the Southern Ocean). New dust flux data show that most atmospheric dust is delivered to sea ice where exposure to melting/re-freezing cycles may enhance fractional solubility, and thus fluxes, by a factor of approximately 2.5. Improved estimates for these particulate sources require additional data for the iceberg losses during fjord transit, the sediment content of icebergs, and samples of atmospheric dust delivered to the polar regions.</t>
  </si>
  <si>
    <t>[Raiswell, Robert; Benning, Liane G.; Krom, Michael D.; Poulton, Simon W.] Univ Leeds, Sch Earth &amp; Environm, Cohen Biogeochem Lab, Leeds LS2 9JT, W Yorkshire, England; [Hawkings, Jon R.; Death, Ros; Wadham, Jemma; Tranter, Martyn] Univ Bristol, Sch Geog Sci, Bristol Glaciol Ctr, Bristol BS8 1SS, Avon, England; [Benning, Liane G.] German Res Ctr Geosci, GFZ, D-11473 Potsdam, Germany; [Baker, Alex R.] Univ East Anglia, Sch Environm Sci, Lab Global Marine &amp; Atmospher Chem, Norwich NR4 7TJ, Norfolk, England; [Samuel, Albani A.; Mahowald, Natalie] Cornell Univ, Dept Earth &amp; Atmospher Sci, Ithaca, NY USA; [Krom, Michael D.] Univ Haifa, Dept Marine Biol, Haifa, Israel; [Samuel, Albani A.] Univ Cologne, Inst Geophys &amp; Meteorol, Cologne, Germany</t>
  </si>
  <si>
    <t>University of Leeds; University of Bristol; Helmholtz Association; Helmholtz-Center Potsdam GFZ German Research Center for Geosciences; University of East Anglia; Cornell University; University of Haifa; University of Cologne</t>
  </si>
  <si>
    <t>Raiswell, R (corresponding author), Univ Leeds, Sch Earth &amp; Environm, Cohen Biogeochem Lab, Leeds LS2 9JT, W Yorkshire, England.</t>
  </si>
  <si>
    <t>r.raiswell@see.leeds.ac.uk</t>
  </si>
  <si>
    <t>Krom, Michael/I-5076-2012; Baker, Alex R/D-1233-2011; Albani, Samuel/AAC-5604-2020; Wadham, Jemma L/G-3138-2014; Mahowald, Natalie M/D-8388-2013; Albani, Samuel/G-5329-2015; Benning, Liane G./E-7071-2011; Tranter, Martyn/E-3722-2010</t>
  </si>
  <si>
    <t>Krom, Michael/0000-0003-3386-9215; Albani, Samuel/0000-0001-9736-5134; Mahowald, Natalie M/0000-0002-2873-997X; Albani, Samuel/0000-0001-9736-5134; Baker, Alex/0000-0002-8365-8953; Benning, Liane G./0000-0001-9972-5578; Hawkings, Jon/0000-0003-4813-8474; Poulton, Simon/0000-0001-7621-189X; Tranter, Martyn/0000-0003-2071-3094</t>
  </si>
  <si>
    <t>Leverhulme Foundation [RPG-406]; LGB from the UK Natural Environment Research Council [NE/J008745/1]; NERC DELVE project (NERC) [NE/I008845/1]; NERC [NE/I008845/1] Funding Source: UKRI; Natural Environment Research Council [NE/I008845/1, 1241582] Funding Source: researchfish</t>
  </si>
  <si>
    <t>Leverhulme Foundation(Leverhulme Trust); LGB from the UK Natural Environment Research Council; NERC DELVE project (NERC); NERC(UK Research &amp; Innovation (UKRI)Natural Environment Research Council (NERC)); Natural Environment Research Council(UK Research &amp; Innovation (UKRI)Natural Environment Research Council (NERC))</t>
  </si>
  <si>
    <t>Robert Raiswell thanks the School of Earth and Environment for Greenland fieldwork support and Michael D. Krom acknowledges support from the Leverhulme Foundation with grant RPG-406 and LGB from the UK Natural Environment Research Council grant number NE/J008745/1. Jon R. Hawkings, Martyn Tranter, and Jemma Wadham were funded by the NERC DELVE project (NERC grant NE/I008845/1 and the associated NERC PhD studentship). The authors are grateful to Lyndsay Hilton from the Thomas Hardye School, Dorset, who provided Antarctic glacial ice samples collected during participation on a Fuchs Foundation charity expedition. The Patagonian dust samples were supplied by S. Clerici. We are grateful to Mark Hopwood for drawing our attention to iceberg losses in Greenlandic fjords.</t>
  </si>
  <si>
    <t>10.5194/bg-13-3887-2016</t>
  </si>
  <si>
    <t>DS9JW</t>
  </si>
  <si>
    <t>WOS:000381099900004</t>
  </si>
  <si>
    <t>Schiaparelli, S; Rowden, AA; Clark, MR</t>
  </si>
  <si>
    <t>Clark, MR; Consalvey, M; Rowden, AA</t>
  </si>
  <si>
    <t>Schiaparelli, Stefano; Rowden, Ashley A.; Clark, Malcolm R.</t>
  </si>
  <si>
    <t>Deep-Sea Fauna</t>
  </si>
  <si>
    <t>BIOLOGICAL SAMPLING IN THE DEEP SEA</t>
  </si>
  <si>
    <t>fauna; plankton; nekton; benthos; abundance; diversity; temporal and spatial patterns; adaptations; symbioses</t>
  </si>
  <si>
    <t>WATER DEMERSAL FISH; IN-SITU; COMMUNITY RESPONSE; STANDING STOCK; NORTH-ATLANTIC; SOFT-BOTTOM; WHALE-FALL; DIVERSITY; ECOLOGY; OCEAN</t>
  </si>
  <si>
    <t>After 150 years of exploration, we now know the deep sea represents the largest complex of ecosystems on our planet which embrace the greatest number of animal species and biomass of the living world. However, there is still a great deal more information that is needed to improve our knowledge of deep-sea faunal dynamics which demands more and better targeted sampling. In this chapter we outline the main biological characteristics of deep-sea organisms, describing aspects of animal life forms, behaviours and adaptations to the deep sea that could affect sampling techniques and survey design. Aspects of spatial and temporal distribution patterns of diversity and abundance are also described for both benthic and pelagic fauna, and examples given of various related sampling issues. The deep sea hosts a huge variety of animal types and faunal communities, with highly variable characteristics. Consideration of these characteristics provides a useful biological context for the sampling techniques that are covered in subsequent chapters of this book.</t>
  </si>
  <si>
    <t>[Schiaparelli, Stefano] Univ Genoa, Dept Earth Environm &amp; Life Sci, Genoa, Italy; [Schiaparelli, Stefano] Univ Genoa, Sect Genoa, Italian Natl Antarctic Museum, Genoa, Italy; [Rowden, Ashley A.; Clark, Malcolm R.] Natl Inst Water &amp; Atmospher Res, Wellington, New Zealand</t>
  </si>
  <si>
    <t>University of Genoa; University of Genoa; National Institute of Water &amp; Atmospheric Research (NIWA) - New Zealand</t>
  </si>
  <si>
    <t>Schiaparelli, S (corresponding author), Univ Genoa, Dept Earth Environm &amp; Life Sci, Genoa, Italy.;Schiaparelli, S (corresponding author), Univ Genoa, Sect Genoa, Italian Natl Antarctic Museum, Genoa, Italy.</t>
  </si>
  <si>
    <t>Rowden, Ashley/ABG-6010-2020</t>
  </si>
  <si>
    <t>Rowden, Ashley/0000-0003-2975-2524; Schiaparelli, Stefano/0000-0002-0137-3605</t>
  </si>
  <si>
    <t>JOHN WILEY &amp; SONS LTD</t>
  </si>
  <si>
    <t>CHICHESTER</t>
  </si>
  <si>
    <t>THE ATRIUM, SOUTHERN GATE, CHICHESTER PO19 8SQ, WEST SUSSEX, ENGLAND</t>
  </si>
  <si>
    <t>978-1-118-33253-5; 978-0-470-65674-7</t>
  </si>
  <si>
    <t>10.1002/9781118332535</t>
  </si>
  <si>
    <t>BM7TD</t>
  </si>
  <si>
    <t>WOS:000468388300004</t>
  </si>
  <si>
    <t>Narayanaswamy, BE; Bett, BJ; Lamont, PA; Rowden, AA; Bell, EM; Menot, L</t>
  </si>
  <si>
    <t>Narayanaswamy, Bhavani E.; Bett, Brian J.; Lamont, Peter A.; Rowden, Ashley A.; Bell, Elanor M.; Menot, Lenaick</t>
  </si>
  <si>
    <t>Corers and Grabs</t>
  </si>
  <si>
    <t>box-corer; multi-corer; megacorer; grabs; sampling techniques; sampling protocols; macrofauna; meiofauna; microbes</t>
  </si>
  <si>
    <t>COMMUNITY STRUCTURE; DEEP; ENUMERATION; DIVERSITY; BATHYAL</t>
  </si>
  <si>
    <t>A range of grabs and corers have been used for sampling deep-sea sediments. Grabs are comparatively cheap and simple compared to corers. With the advent of video-guided sampling, more sophisticated grab systems are being developed. Grabs, with their scooping action, return rather disturbed samples that should be regarded as semi-quantitative in nature. Corers collect higher quality samples more suited to quantitative projects. Box-corers and multiple corers are most commonly used by deep-sea ecologists, and are employed for the collection of macro-, meio- and micro-benthos, as well as a wide range of environmental samples. Here we review the range of sediment samplers used in deep-sea studies, providing some general recommendations and guidelines for their operation. Methods for processing samples taken by box-corers and multiple corers are also detailed.</t>
  </si>
  <si>
    <t>[Narayanaswamy, Bhavani E.; Lamont, Peter A.; Bell, Elanor M.] Scottish Assoc Marine Sci, Scottish Marine Inst, Oban, Argyll, Scotland; [Bett, Brian J.] Natl Oceanog Ctr, European Way, Southampton, Hants, England; [Rowden, Ashley A.] Natl Inst Water &amp; Atmospher Res, Wellington, New Zealand; [Menot, Lenaick] IFREMER, Plouzane, France; [Bell, Elanor M.] Australian Marine Mammal Ctr, Australian Antarctic Div, Kingston, Tas, Australia</t>
  </si>
  <si>
    <t>UHI Millennium Institute; NERC National Oceanography Centre; University of Southampton; National Institute of Water &amp; Atmospheric Research (NIWA) - New Zealand; Ifremer; Australian Antarctic Division</t>
  </si>
  <si>
    <t>Narayanaswamy, BE (corresponding author), Scottish Assoc Marine Sci, Scottish Marine Inst, Oban, Argyll, Scotland.</t>
  </si>
  <si>
    <t>MENOT, LENAICK/JAN-7140-2023; MENOT, LENAICK/N-6899-2016; Rowden, Ashley/ABG-6010-2020</t>
  </si>
  <si>
    <t>MENOT, LENAICK/0000-0002-8117-1607; Rowden, Ashley/0000-0003-2975-2524</t>
  </si>
  <si>
    <t>WOS:000468388300012</t>
  </si>
  <si>
    <t>Schiaparelli, S; Schnabel, KE; de Forges, BR; Chan, TY</t>
  </si>
  <si>
    <t>Schiaparelli, Stefano; Schnabel, Kareen E.; de Forges, Bertrand Richer; Chan, Tin-Yam</t>
  </si>
  <si>
    <t>Sorting, Recording, Preservation and Storage of Biological Samples</t>
  </si>
  <si>
    <t>biological samples; sampling; sorting; recording; fixation; preservation; shipping; photography; storage</t>
  </si>
  <si>
    <t>DEEP-SEA; SUNKEN-WOOD; BIODIVERSITY</t>
  </si>
  <si>
    <t>This chapter describes the most important operations related to the sorting, recording, preservation and storage of biological samples on board a research vessel. The primary aim is to provide information on the sequence of events following collection of biological samples, from the organization of a sorting station on board to the shipping of samples after a voyage. For most activities we provide a number of recommendations that are based on the direct experience of the authors during ship-based expeditions around the world, and give guidance and indicate the 'best practices' for situations and problems that may occur while in the field. Specific attention has been devoted to the sorting and processing of different types of samples, with a focus on larger organisms that are individually sorted, photographed and fixed during a research voyage.</t>
  </si>
  <si>
    <t>[Schiaparelli, Stefano] Univ Genoa, Dept Earth Environm &amp; Life Sci, Genoa, Italy; [Schiaparelli, Stefano] Univ Genoa, Sect Genoa, Italian Natl Antarctic Museum, Genoa, Italy; [Schnabel, Kareen E.] Natl Inst Water &amp; Atmospher Res, Wellington, New Zealand; [de Forges, Bertrand Richer] KIWA Consulting, Noumea, New Caledonia; [Chan, Tin-Yam] Natl Taiwan Ocean Univ, Inst Marine Biol, Keelung, Taiwan; [de Forges, Bertrand Richer] MNHN, Paris, France</t>
  </si>
  <si>
    <t>University of Genoa; University of Genoa; National Institute of Water &amp; Atmospheric Research (NIWA) - New Zealand; National Taiwan Ocean University; Museum National d'Histoire Naturelle (MNHN)</t>
  </si>
  <si>
    <t>Schiaparelli, Stefano/0000-0002-0137-3605; Schnabel, Kareen/0000-0002-9965-9010</t>
  </si>
  <si>
    <t>WOS:000468388300017</t>
  </si>
  <si>
    <t>Siegel, Volker</t>
  </si>
  <si>
    <t>Introducing Antarctic Krill Euphausia superba Dana, 1850</t>
  </si>
  <si>
    <t>Taxonomy; Morphology; Zoogeography; Sampling; Length-weight relationship</t>
  </si>
  <si>
    <t>VARIABILITY; ZOOPLANKTON; PHOTOPHORES; DEMOGRAPHY; ABUNDANCE; BIOMASS; GROWTH; SEA</t>
  </si>
  <si>
    <t>The first description of Antarctic krill (Euphausia superba) dates back to 1850. After a period of taxonomic work and the description of several synonyms, detailed studies on the morphology, internal anatomy and general biology of this species commenced with the 'Discovery' investigations beginning in the 1920s. During the BIOMASS project (Biological Investigations Of Marine Antarctic Systems and Stocks) in the 1980s, studies expanded on the biology and ecology of Antarctic krill, including all aspects of zoogeography and zooplankton community structure. The developing krill fishery and the establishment of CCAMLR (Convention for the Conservation of Antarctic Marine Living Resources) resulted in the pressing need for more quantitative data, which required the use of standardized methods of surveying, sampling, and measuring krill. Despite krill becoming one of the most well-known marine species, many questions remain unanswered and require - in addition to well-established methods - different or even new approaches in future krill research.</t>
  </si>
  <si>
    <t>[Siegel, Volker] Thuenen Inst Sea Fisheries, Palmaille 9, D-22767 Hamburg, Germany</t>
  </si>
  <si>
    <t>Johann Heinrich von Thunen Institute</t>
  </si>
  <si>
    <t>Siegel, V (corresponding author), Thuenen Inst Sea Fisheries, Palmaille 9, D-22767 Hamburg, Germany.</t>
  </si>
  <si>
    <t>volker.siegel@thuenen.de</t>
  </si>
  <si>
    <t>10.1007/978-3-319-29279-3_1</t>
  </si>
  <si>
    <t>WOS:000401843300002</t>
  </si>
  <si>
    <t>Hempel, G</t>
  </si>
  <si>
    <t>Hempel, Gotthilf</t>
  </si>
  <si>
    <t>Biology and Ecology of Antarctic Krill Preface</t>
  </si>
  <si>
    <t>XI</t>
  </si>
  <si>
    <t>XIII</t>
  </si>
  <si>
    <t>WOS:000401843300001</t>
  </si>
  <si>
    <t>Siegel, V; Watkins, JL</t>
  </si>
  <si>
    <t>Siegel, Volker; Watkins, Jonathan L.</t>
  </si>
  <si>
    <t>Distribution, Biomass and Demography of Antarctic Krill, Euphausia superba</t>
  </si>
  <si>
    <t>Vertical distribution; Production; Larvae; Seasonal variability; Time series</t>
  </si>
  <si>
    <t>EARLY LIFE-HISTORY; SOUTHEAST ATLANTIC SECTOR; CCAMLR 2000 SURVEY; PRYDZ BAY REGION; SEA-ICE EXTENT; SCOTIA SEA; CLIMATE-CHANGE; POPULATION-DYNAMICS; ELEPHANT ISLAND; AUSTRAL SUMMER</t>
  </si>
  <si>
    <t>There are increasing concerns over potential long-term changes in krill distribution and abundance, determining whether such changes are related to climate change and/or harvesting and how they might be distinguished from multi-scale variability. With nearly a century of observations on krill distribution, the general patterns of occurrence were determined over 50 years ago, however the last decade has seen an important consolidation of details of seasonal and inter-annual distributions, although some potentially important krill habitats such as the Bellingshausen, Amundsen and Ross Seas are still poorly sampled. Moreover the unexplored perennial multi-year pack-ice regions still await survey by remote under-ice samplers. Krill consistently occur in the upper 200 m of the ocean but various recent observations show that a substantial proportion of the population may be found below this pelagic zone. To further understand variability and change there has been a focus on the importance of historic data with the compilation of comprehensive databases, re-analysis of large scale synoptic surveys and the generation of smaller scale time series that now span several decades. In particular the compilation of 90 years of net samples has provided a key resource both in showing changes in large-scale abundance over the last 50 years and together with acoustic data in generating modern estimates of overall krill abundance and biomass. Meanwhile, the increasing availability of ocean circulation models together with remotely sensed data, has enabled the exploration of large-scale teleconnections at both the regional (Scotia Sea) and circum-polar scale and at the seasonal to decadal time scales.</t>
  </si>
  <si>
    <t>[Siegel, Volker] Thuenen Inst Sea Fisheries, Palmaille 9, D-22767 Hamburg, Germany; [Watkins, Jonathan L.] British Antarctic Survey, Nat Environm Res Council, Madingley Rd, Cambridge CB3 OET, England</t>
  </si>
  <si>
    <t>Johann Heinrich von Thunen Institute; UK Research &amp; Innovation (UKRI); Natural Environment Research Council (NERC); NERC British Antarctic Survey</t>
  </si>
  <si>
    <t>volker.siegel@thuenen.de; jlwa@bas.ac.uk</t>
  </si>
  <si>
    <t>10.1007/978-3-319-29279-3_2</t>
  </si>
  <si>
    <t>WOS:000401843300003</t>
  </si>
  <si>
    <t>Meyer, B; Teschke, M</t>
  </si>
  <si>
    <t>Meyer, Bettina; Teschke, Mathias</t>
  </si>
  <si>
    <t>Physiology of Euphausia superba</t>
  </si>
  <si>
    <t>Krill physiology; Larval krill physiology; Krill growth; Photoperiod</t>
  </si>
  <si>
    <t>SIMULATED LIGHT REGIMES; NATURAL GROWTH-RATES; ANTARCTIC KRILL; LARVAL KRILL; SEA-ICE; ELEMENTAL COMPOSITION; ENERGY BUDGETS; COMMUNITY STRUCTURE; EAST ANTARCTICA; GENE-EXPRESSION</t>
  </si>
  <si>
    <t>Since the 1920s, E. superba is one of the best studied species in the Southern Ocean in terms of their general biology. The main driver for this research focus has been the fisheries' requirements for stock forecasting and conservation measures. Nowadays this is joined by concerns over climate change effects and the requirement to take a more holistic view to understand food web structures. So far, however, we do not have a clear understanding of the physiological response of krill and hence their adaptability to cope with ongoing environmental changes, caused by the anthropogenic carbon emissions. This is due to the extreme lack of intense studies on krill physiology, especially of their larval stages in relation to their seasonal environment. A major aim of this book chapter is on the one hand to summarize how physiological functions such as lipid accumulation and utilisation, metabolic activity and growth change with ontogeny and season and to demonstrate which environmental factors are the main drivers for seasonal variability of these functions in adult and larval krill. On the other hand, we draw the attention to the importance of photoperiod (day length) as an entrainment cue for endogenous rhythms and clocks in the life cycle of krill. Furthermore, we give an overview of the current knowledge on the impact of elevated seawater temperature and ocean acidification on krill.</t>
  </si>
  <si>
    <t>[Meyer, Bettina] Alfred Wegener Inst, Helmholtz Ctr Polar &amp; Marine Res, Sect Polar Biol Oceanog, Handelshafen 12, D-27570 Bremerhaven, Germany; [Meyer, Bettina; Teschke, Mathias] Carl von Ossietzky Univ Oldenburg, Inst Chem &amp; Biol Marine Environm, Carl von Ossietzky Str 9-11, D-26111 Oldenburg, Germany</t>
  </si>
  <si>
    <t>Helmholtz Association; Alfred Wegener Institute, Helmholtz Centre for Polar &amp; Marine Research; Carl von Ossietzky Universitat Oldenburg</t>
  </si>
  <si>
    <t>Meyer, B (corresponding author), Alfred Wegener Inst, Helmholtz Ctr Polar &amp; Marine Res, Sect Polar Biol Oceanog, Handelshafen 12, D-27570 Bremerhaven, Germany.;Meyer, B (corresponding author), Carl von Ossietzky Univ Oldenburg, Inst Chem &amp; Biol Marine Environm, Carl von Ossietzky Str 9-11, D-26111 Oldenburg, Germany.</t>
  </si>
  <si>
    <t>bettina.meyer@awi.de; mathias.teschke@awi.de</t>
  </si>
  <si>
    <t>10.1007/978-3-319-29279-3_4</t>
  </si>
  <si>
    <t>WOS:000401843300005</t>
  </si>
  <si>
    <t>Tarling, GA; Fielding, S</t>
  </si>
  <si>
    <t>Tarling, Geraint A.; Fielding, Sophie</t>
  </si>
  <si>
    <t>Swarming and Behaviour in Antarctic Krill</t>
  </si>
  <si>
    <t>Schooling; Aggregation; Swimming; Migration; Superswarm</t>
  </si>
  <si>
    <t>DIEL VERTICAL MIGRATION; SIMULATED LIGHT REGIMES; ANIMAL-BORNE VIDEO; EUPHAUSIA-SUPERBA; SOUTH-GEORGIA; SOCIAL AGGREGATION; SEA-ICE; TEMPORAL VARIABILITY; POPULATION-DYNAMICS; SEASONAL-VARIATION</t>
  </si>
  <si>
    <t>The behavioural ecology of Antarctic krill is dominated by their tendency to swarm. They form amongst the largest monospecific aggregations of biomass in the animal kingdom, with some swarms measuring up to 100 km(2) and containing 2 million tonnes of krill. Swarms come in a multitude of shapes and sizes, and a greater understanding of the functional attributes of different swarm types is starting to emerge. This chapter will consider the spectrum of krill-swarms and -schools that have been described and some of the latest approaches taken to understand their shape and formation. The fundamental needs to avoid predation, feed, mate and spawn have often been attributed to being a major influence on swarming and we will examine these behaviours and their wider impacts. This chapter also considers how krill position themselves in the water column, altering their depth over diel and seasonal cycles, with further levels of modification depending on the environmental context. The ability of krill to migrate large distances is a major ecological feature of the Southern Ocean ecosystem, affecting the productivity of both planktonic and upper-trophic level communities, and we consider how such migrations are driven at the level of the swarm. New technologies are emerging that are providing previously unreported krill behaviours and we assess the future potential of these technologies to develop an even deeper appreciation of krill ethology. Also, we assess what impact predicted changes to the Southern Ocean environment will have on krill behavioural traits.</t>
  </si>
  <si>
    <t>[Tarling, Geraint A.; Fielding, Sophie] British Antarctic Survey, Nat Environm Res Council, Madingley Rd, Cambridge CB3 0ET, England</t>
  </si>
  <si>
    <t>Tarling, GA (corresponding author), British Antarctic Survey, Nat Environm Res Council, Madingley Rd, Cambridge CB3 0ET, England.</t>
  </si>
  <si>
    <t>gant@bas.ac.uk; sof@bas.ac.uk</t>
  </si>
  <si>
    <t>Fielding, Sophie/E-5137-2012</t>
  </si>
  <si>
    <t>10.1007/978-3-319-29279-3_8</t>
  </si>
  <si>
    <t>WOS:000401843300009</t>
  </si>
  <si>
    <t>Nicol, S; Foster, J</t>
  </si>
  <si>
    <t>Nicol, Stephen; Foster, Jacqueline</t>
  </si>
  <si>
    <t>The Fishery for Antarctic Krill: Its Current Status and Management Regime</t>
  </si>
  <si>
    <t>Euphausiid; Harvesting; Commercial; CCAMLR; Catch</t>
  </si>
  <si>
    <t>MARINE LIVING RESOURCES; TROUT ONCORHYNCHUS-MYKISS; SOYBEAN-BASED DIETS; SALMON SALMO-SALAR; EUPHAUSIA-SUPERBA; CHEMICAL-COMPOSITION; SOUTHERN-OCEAN; ECOSYSTEM MANAGEMENT; NUTRITIVE-VALUE; FATTY-ACIDS</t>
  </si>
  <si>
    <t>Antarctic krill has been fished commercially in the Southern Ocean since the 1970s and has been consistently the largest fishery, by tonnage, in the region since then. The fishery has seen changes in the nations involved, with early catches dominated by vessels from the USSR, Japanese vessels in the middle years and, more recently, most of the catch has been taken by vessels from Norway. A variety of products have emerged from the fishery with early efforts aimed at human consumption but latterly, the bulk of the catch has been used as high-end aquaculture feed with a small but valuable fraction being used to produce krill oil. The fishery has been managed by the international Commission for the Conservation of Antarctic Marine Living Resources which recognised the potential threat to the marine ecosystem through krill harvesting and which has implemented a precautionary approach to management of the fishery. Currently the fishery catches approximately 300,000 tonnes annually, all from the South Atlantic, where the precautionary catch limit has been set at 5.6 million tonnes. The fishery and its management regime will face challenges in the future with the emergence of new technologies, increased catches by new entrants and environmental changes.</t>
  </si>
  <si>
    <t>[Nicol, Stephen] Univ Tasmania, Inst Marine &amp; Antarctic Studies, Private Bag 129, Hobart, Tas 7001, Australia; [Foster, Jacqueline] 4 Liriope Dr, Kirkwood, Qld 4680, Australia</t>
  </si>
  <si>
    <t>Nicol, S (corresponding author), Univ Tasmania, Inst Marine &amp; Antarctic Studies, Private Bag 129, Hobart, Tas 7001, Australia.</t>
  </si>
  <si>
    <t>krill1953@gmail.com; jacquikf@hotmail.com</t>
  </si>
  <si>
    <t>10.1007/978-3-319-29279-3_11</t>
  </si>
  <si>
    <t>WOS:000401843300012</t>
  </si>
  <si>
    <t>Lo Giudice, A; Fani, R</t>
  </si>
  <si>
    <t>Rampelotto, PH</t>
  </si>
  <si>
    <t>Lo Giudice, Angelina; Fani, Renato</t>
  </si>
  <si>
    <t>Antimicrobial Potential of Cold-Adapted Bacteria and Fungi from Polar Regions</t>
  </si>
  <si>
    <t>BIOTECHNOLOGY OF EXTREMOPHILES: ADVANCES AND CHALLENGES</t>
  </si>
  <si>
    <t>Grand Challenges in Biology and Biotechnology</t>
  </si>
  <si>
    <t>BURKHOLDERIA-CEPACIA COMPLEX; VOLATILE ORGANIC-COMPOUNDS; SECONDARY METABOLITES; BIOLOGICAL-ACTIVITIES; ANTARCTIC BACTERIUM; PSYCHROTROPHIC BACTERIA; MARINE ACTINOBACTERIA; NATURAL-PRODUCTS; ICE BACTERIUM; ARCTIC-OCEAN</t>
  </si>
  <si>
    <t>[Lo Giudice, Angelina] Natl Res Council IAMC CNR, Inst Coastal Marine Environm, Spianata San Raineri 86, I-98124 Messina, Italy; [Lo Giudice, Angelina] Univ Messina, Dept Biol &amp; Environm Sci, Viale F Stagno dAlcontres 31, I-98166 Messina, Italy; [Fani, Renato] Univ Florence, Dept Biol, Via Madonna del Piano 6, I-50019 Florence, Italy</t>
  </si>
  <si>
    <t>Consiglio Nazionale delle Ricerche (CNR); L'Istituto per l'Ambiente Marino Costiero (IAMC-CNR); University of Messina; University of Florence</t>
  </si>
  <si>
    <t>Lo Giudice, A (corresponding author), Natl Res Council IAMC CNR, Inst Coastal Marine Environm, Spianata San Raineri 86, I-98124 Messina, Italy.;Lo Giudice, A (corresponding author), Univ Messina, Dept Biol &amp; Environm Sci, Viale F Stagno dAlcontres 31, I-98166 Messina, Italy.</t>
  </si>
  <si>
    <t>angelina.logiudice@iamc.cnr.it</t>
  </si>
  <si>
    <t>2367-1017</t>
  </si>
  <si>
    <t>2367-1025</t>
  </si>
  <si>
    <t>978-3-319-13521-2; 978-3-319-13520-5</t>
  </si>
  <si>
    <t>GD CHALL BIO BIOTECH</t>
  </si>
  <si>
    <t>10.1007/978-3-319-13521-2_3</t>
  </si>
  <si>
    <t>10.1007/978-3-319-13521-2</t>
  </si>
  <si>
    <t>Biochemistry &amp; Molecular Biology; Biotechnology &amp; Applied Microbiology; Microbiology</t>
  </si>
  <si>
    <t>BJ4ZO</t>
  </si>
  <si>
    <t>WOS:000425685600005</t>
  </si>
  <si>
    <t>Goin, FJ</t>
  </si>
  <si>
    <t>Goin, FJ; Woodburne, MO; Zimicz, AN; Martin, GM; Chornogubsky, L</t>
  </si>
  <si>
    <t>Goin, Francisco J.</t>
  </si>
  <si>
    <t>Dispersal of Vertebrates from Between the Americas, Antarctica, and Australia in the Late Cretaceous and Early Cenozoic</t>
  </si>
  <si>
    <t>BRIEF HISTORY OF SOUTH AMERICAN METATHERIANS: EVOLUTIONARY CONTEXTS AND INTERCONTINENTAL DISPERSALS</t>
  </si>
  <si>
    <t>Metatheria; South America; Late cretaceous; Paleogene; Dispersals; North America; Australia; Antarctica</t>
  </si>
  <si>
    <t>PLACENTAL MAMMAL ANCESTOR; EOCENE THERMAL MAXIMUM; K-PG RADIATION; ALLEN FORMATION; SOUTH-AMERICA; MIDDLE EOCENE; PALEOCENE; CLIMATE; PALEOGENE; PATAGONIA</t>
  </si>
  <si>
    <t>The early Paleocene diversity of metatherians in Tiupampan faunas of South America and the pre-Tiupampan Paleocene polydolopimorphian Cocatherium speak in favor of an earliest Paleocene or Late Cretaceous dispersal of metatherians from North America. No Late Cretaceous metatherian or eutherian mammals have been recovered to date in South America, but the late Campanian to Maastrichtian hadrosaurine dinosaurs in Argentina, as well as the late Maastrichtian of the Antarctic Peninsula, is evidence of a biotic connection to North America. Placental 'condylarths' in the Tiupampan may have been related to, and dispersed southward relative to, Puercan taxa in North America and perhaps reflect a somewhat later event in comparison to metatherians. Other than hadrosaurine dinosaurs, Late Cretaceous vertebrates of South America are basically Gondwanan in affinities and reflect (and survived) the pre-106 Ma connection between South America, Africa, and Antarctica. The potential for a Late Cretaceous dispersal of metatherians would be compatible with a continued dispersal to Australia at that time, also supported by plate tectonic relationships, notwithstanding the basically endemic coeval Australian dinosaur fauna, and recognizing the essential absence of a Late Maastrichtian land vertebrate record there. An early Paleocene connection between at least Antarctica and South America is documented by the presence of a monotreme in the Peligran fauna of Patagonia. This, coupled with the fact that post-Peligran mammal faunas in South America and the Antarctic Peninsula (from at least 52 Ma in that location) are composed of derived metatherian as well as placental mammals, suggests that dispersal of metatherians to Australia had been achieved prior to the Eocene. Such timing is compatible with the still plesiomorphic level of Australian metatherians from the early Eocene Tingamarra fauna of Australia, the marine sundering of the Tasman Gate at about 50 Ma and the development of a continuously marine southern coastline of Australia from about 45 Ma effectively foreclosed overland mammal and other vertebrate dispersal to Australia thereafter.</t>
  </si>
  <si>
    <t>978-94-017-7420-8; 978-94-017-7418-5</t>
  </si>
  <si>
    <t>10.1007/978-94-017-7420-8_3</t>
  </si>
  <si>
    <t>10.1007/978-94-017-7420-8</t>
  </si>
  <si>
    <t>Evolutionary Biology; Paleontology; Zoology</t>
  </si>
  <si>
    <t>BE3WP</t>
  </si>
  <si>
    <t>WOS:000371325100004</t>
  </si>
  <si>
    <t>Raphael, MN; Marshall, GJ; Turner, J; Fogt, RL; Schneider, D; Dixon, DA; Hosking, JS; Jones, JM; Hobbs, WR</t>
  </si>
  <si>
    <t>Raphael, M. N.; Marshall, G. J.; Turner, J.; Fogt, R. L.; Schneider, D.; Dixon, D. A.; Hosking, J. S.; Jones, J. M.; Hobbs, W. R.</t>
  </si>
  <si>
    <t>THE AMUNDSEN SEA LOW Variability, Change, and Impact on Antarctic Climate</t>
  </si>
  <si>
    <t>BULLETIN OF THE AMERICAN METEOROLOGICAL SOCIETY</t>
  </si>
  <si>
    <t>WEST ANTARCTICA; ICE EXTENT; CMIP5; TRENDS; OCEAN</t>
  </si>
  <si>
    <t>The Amundsen Sea low (ASL) is a climatological low pressure center that exerts considerable influence on the climate of West Antarctica. Its potential to explain important recent changes in Antarctic climate, for example, in temperature and sea ice extent, means that it has become the focus of an increasing number of studies. Here, the authors summarize the current understanding of the ASL, using reanalysis datasets to analyze recent variability and trends, as well as ice-core chemistry and climate model projections, to examine past and future changes in the ASL, respectively. The ASL has deepened in recent decades, affecting the climate through its influence on the regional meridional wind field, which controls the advection of moisture and heat into the continent. Deepening of the ASL in spring is consistent with observed West Antarctic warming and greater sea ice extent in the Ross Sea. Climate model simulations for recent decades indicate that this deepening is mediated by tropical variability while climate model projections through the twenty-first century suggest that the ASL will deepen in some seasons in response to greenhouse gas concentration increases.</t>
  </si>
  <si>
    <t>[Raphael, M. N.] Univ Calif Los Angeles, Los Angeles, CA USA; [Turner, J.; Hosking, J. S.] British Antarctic Survey, Cambridge CB3 0ET, England; [Fogt, R. L.] Ohio Univ, Athens, OH 45701 USA; [Schneider, D.] Natl Ctr Atmospher Res, POB 3000, Boulder, CO 80307 USA; [Dixon, D. A.] Univ Maine, Climate Change Inst, Orono, ME USA; [Jones, J. M.] Univ Sheffield, Dept Geog, Sheffield S10 2TN, S Yorkshire, England; [Hobbs, W. R.] Univ Tasmania, ARC Ctr Excellence Climate Syst Sci, Hobart, Tas, Australia</t>
  </si>
  <si>
    <t>University of California System; University of California Los Angeles; UK Research &amp; Innovation (UKRI); Natural Environment Research Council (NERC); NERC British Antarctic Survey; University System of Ohio; Ohio University; National Center Atmospheric Research (NCAR) - USA; University of Maine System; University of Maine Orono; University of Sheffield; University of Tasmania; ARC Centre of Excellence for Climate System Science</t>
  </si>
  <si>
    <t>Raphael, MN (corresponding author), Dept Geog, 1255 Bunche Hall, Los Angeles, CA 90095 USA.</t>
  </si>
  <si>
    <t>raphael@geog.ucla.edu</t>
  </si>
  <si>
    <t>Hobbs, Will/P-8094-2019; Fogt, Ryan L/B-6989-2008; Schneider, David/E-2726-2010; Hosking, Scott/D-3437-2013</t>
  </si>
  <si>
    <t>Hobbs, Will/0000-0002-2061-0899; Fogt, Ryan L/0000-0002-5398-3990; Jones, Julie/0000-0003-2892-8647; Schneider, David/0000-0001-5308-1834; Hosking, Scott/0000-0002-3646-3504; Turner, John/0000-0002-6111-5122</t>
  </si>
  <si>
    <t>U.K. Natural Research Council through the British Antarctic Survey; National Science Foundation [1235231, 1048899, 1341527, ANT-0944168, ANT-0837883, NSF-1042883]; World Climate Research Programme; Div Atmospheric &amp; Geospace Sciences; Directorate For Geosciences [1048899] Funding Source: National Science Foundation; Natural Environment Research Council [NE/K00445X/1, bas0100023] Funding Source: researchfish; NERC [NE/K00445X/1, bas0100023] Funding Source: UKRI</t>
  </si>
  <si>
    <t>U.K. Natural Research Council through the British Antarctic Survey; National Science Foundation(National Science Foundation (NSF)); World Climate Research Programme; Div Atmospheric &amp; Geospace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</si>
  <si>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GJM, JT, and JSH are supported by the U.K. Natural Research Council through the British Antarctic Survey research program Polar Science for Planet Earth. DS acknowledges many colleagues at NCAR for enabling the CAM4 experiments, especially C. Deser, T. Fan, and A. Phillips. DS also acknowledges funding from National Science Foundation Grants 1235231, 1048899, and 1341527. RF acknowledges support from National Science Foundation Grant ANT-0944168. DD acknowledges support from National Science Foundation Grants ANT-0837883 and NSF-1042883.; This paper is the outcome of a workshop held in the Department of Geography at the University of California, Los Angeles and was supported by the World Climate Research Programme.</t>
  </si>
  <si>
    <t>0003-0007</t>
  </si>
  <si>
    <t>1520-0477</t>
  </si>
  <si>
    <t>B AM METEOROL SOC</t>
  </si>
  <si>
    <t>Bull. Amer. Meteorol. Soc.</t>
  </si>
  <si>
    <t>10.1175/BAMS-D-14-00018.1</t>
  </si>
  <si>
    <t>DD6WY</t>
  </si>
  <si>
    <t>Green Accepted, hybrid</t>
  </si>
  <si>
    <t>WOS:000370066500002</t>
  </si>
  <si>
    <t>Korczak-Abshire, M; Kidawa, A; Zmarz, A; Storvold, R; Karlsen, SR; Rodzewicz, M; Chwedorzewska, K; Znój, A</t>
  </si>
  <si>
    <t>Korczak-Abshire, M.; Kidawa, A.; Zmarz, A.; Storvold, R.; Karlsen, S. R.; Rodzewicz, M.; Chwedorzewska, K.; Znoj, A.</t>
  </si>
  <si>
    <t>Preliminary study on nesting Adelie penguins disturbance by unmanned aerial vehicles</t>
  </si>
  <si>
    <t>PYGOSCELIS PENGUINS; HEART-RATE; ANTARCTICA; RESPONSES; SYSTEM; COLONY</t>
  </si>
  <si>
    <t>The importance of unmanned aerial vehicles (UAVs) in remote sensing is rapidly growing. However, knowledge about their potential impact on wildlife is scant, especially in Antarctica, where they are a new tool used in ecological research and monitoring. In this preliminary study potential effects of wildlife disturbance by fixed-wing UAVs are investigated. In austral summer 2014/15, UAV overflights were conducted in the Adelie penguin (Pygoscelis adeliae) breeding colony at Point. Thomas (Western Shore of Admiralty Bay, King George Island, Antarctica, Subarea 48.1). The impacts of electric and piston engine UAVs flying at 350 m altitude above ground level (AGL) over the colony were compared to the undisturbed colony (control group), and to natural disturbance (skua - Stercorarius sp. flying over nesting penguins). Penguin behaviour was divided into: resting behaviour, comfort behaviour, vigilance/anxiety and aggression. Percentages of birds exhibiting different types of behaviour, time spent on each type of behaviour and number of different types of behaviour displayed by one bird during the observation periods were compared. No differences were found between the control group and overflights by electric UAVs. During the overflight by a UAV powered by piston engine, symptoms of vigilance were observed with penguins looking up and around for a few seconds when the UAV was overhead. Similar symptoms of vigilance were observed when skuas flew (approximately 5 m AGL) over penguin colony without trying to attack nesting birds. No increase in aggressive behaviour was observed during the overflights by either electric or piston engine UAVs. Plans for a systematic monitoring of UAV impact on wildlife, as well as preliminary guidelines for the next field season, were formulated.</t>
  </si>
  <si>
    <t>[Korczak-Abshire, M.; Kidawa, A.; Chwedorzewska, K.; Znoj, A.] Polish Acad Sci, Dept Antarctic Biol, Inst Biochem &amp; Biophys, Pawinskiego 5a, PL-02106 Warsaw, Poland; [Zmarz, A.] Univ Warsaw, Fac Geog &amp; Reg Studies, Dept Geoinformat Cartog &amp; Remote Sensing, Krakowskie Przedmiescie 30, PL-00927 Warsaw, Poland; [Storvold, R.; Karlsen, S. R.] Northern Res Inst Tromso, POB 6434, N-9294 Tromso, Norway; [Rodzewicz, M.] Warsaw Univ Technol, Inst Aeronaut &amp; Appl Mech, Nowowiejska 24, PL-00665 Warsaw, Poland</t>
  </si>
  <si>
    <t>Polish Academy of Sciences; Institute of Biochemistry &amp; Biophysics - Polish Academy of Sciences; University of Warsaw; Warsaw University of Technology</t>
  </si>
  <si>
    <t>Kidawa, A (corresponding author), Polish Acad Sci, Dept Antarctic Biol, Inst Biochem &amp; Biophys, Pawinskiego 5a, PL-02106 Warsaw, Poland.</t>
  </si>
  <si>
    <t>akidawa@arctowski.pl</t>
  </si>
  <si>
    <t>Korczak-Abshire, Malgorzata/AAA-1563-2020; Rodzewicz, Miroslaw/ABD-7241-2020; Znój, Anna/AAX-3819-2021; Chwedorzewska, Katarzyna J/A-9480-2008; Chwedorzewska, Katarzyna/M-9721-2019; Zmarz, Anna/T-9548-2018</t>
  </si>
  <si>
    <t>Korczak-Abshire, Malgorzata/0000-0001-7695-0588; Rodzewicz, Miroslaw/0000-0003-1424-8624; Znój, Anna/0000-0002-8424-6707; Chwedorzewska, Katarzyna/0000-0001-6860-3666; Zmarz, Anna/0000-0001-5846-4017</t>
  </si>
  <si>
    <t>Polish-Norwegian Research Program [197810]</t>
  </si>
  <si>
    <t>Polish-Norwegian Research Program</t>
  </si>
  <si>
    <t>The research leading to these results has received funding from the Polish-Norwegian Research Program operated by the National Centre for Research and Development under the Norwegian Financial Mechanism 2009-2014 in the frame of Project Contract No. 197810.</t>
  </si>
  <si>
    <t>WOS:000389894300001</t>
  </si>
  <si>
    <t>Hill, SL; Atkinson, A; Darby, C; Fielding, S; Krafft, BA; Godo, OR; Skaret, G; Trathan, PN; Watkins, JL</t>
  </si>
  <si>
    <t>Hill, S. L.; Atkinson, A.; Darby, C.; Fielding, S.; Krafft, B. A.; Godo, O. R.; Skaret, G.; Trathan, P. N.; Watkins, J. L.</t>
  </si>
  <si>
    <t>Is current management of the Antarctic krill fishery in the Atlantic sector of the Southern Ocean precautionary?</t>
  </si>
  <si>
    <t>This paper explains the management of the Antarctic krill (Euphausia superba) fishery in the Atlantic sector of the Southern Ocean, and current knowledge about the state of the regional krill stock. In this region, krill fishing is permitted in an area of approximately 3.5 million km(2) which is divided into four subareas (labelled Subareas 48.1 to 48.4) for management and reporting purposes. The effective regional catch limit (or 'trigger level'), established in 1991, is 0.62 million tonnes year(-1), equivalent to similar to 1% of the regional biomass estimated in 2000. Each subarea has also had its own catch limit, between 0.093 and 0.279 million tonnes year(-1), since 2009. There is some evidence fora decline in the abundance of krill in the 1980s, but no evidence of a further decline in recent decades. Local-scale monitoring programs have been established in three of the subareas to monitor krill biomass in survey grids covering between 10 000 and 125 000 km(2). Cautious extrapolation from these local monitoring programs provides conservative estimates of the regional biomass in recent years. This suggests that fishing at the trigger level would be equivalent to a long-term exploitation rate (annual catch divided by biomass) of &lt;7%, which is below the 9.3% level considered appropriate to maintain the krill stock and support krill predators. Subarea catch limits exceed 9.3% of conservatively estimated subarea biomass in up to 20% of years due to high variability in krill biomass indices. The actual exploitation rate in each subarea has remained &lt;3% because annual catches have been &lt;50% of the trigger level since 1991. Comparison with the 9.3% reference exploitation rate suggests that current management is precautionary at the regional scale. The subarea catch limits help prevent excessive concentration of catch at the subarea scale. Finer-scale management might be necessary to manage the risk of adverse impacts which might occur as a result of concentrated fishing in sensitive areas or climate change. Frequent assessment of the krill stock will enhance CCAMLR's ability to manage these risks. Continuing the local monitoring programs will provide valuable information on krill variability, but more information is required on how the monitored biomass relates to biomass at the subarea and regional scales.</t>
  </si>
  <si>
    <t>[Hill, S. L.; Fielding, S.; Trathan, P. N.; Watkins, J. L.] British Antarctic Survey, Madingley Rd, Cambridge CB3 0ET, England; [Atkinson, A.] Plymouth Marine Lab, Prospect Pl, Plymouth PL1 3DH, Devon, England; [Darby, C.] CEFAS, Pakefield Rd, Lowestoft NR33 0HT, Suffolk, England; [Krafft, B. A.; Godo, O. R.; Skaret, G.] Inst Marine Res, Nordnesgaten 50, N-5005 Bergen, Norway</t>
  </si>
  <si>
    <t>UK Research &amp; Innovation (UKRI); Natural Environment Research Council (NERC); NERC British Antarctic Survey; Plymouth Marine Laboratory; Centre for Environment Fisheries &amp; Aquaculture Science; Institute of Marine Research - Norway</t>
  </si>
  <si>
    <t>Hill, SL (corresponding author), British Antarctic Survey, Madingley Rd, Cambridge CB3 0ET, England.</t>
  </si>
  <si>
    <t>sih@bas.ac.uk</t>
  </si>
  <si>
    <t>Atkinson, Angus/HOH-3417-2023; Fielding, Sophie/E-5137-2012; Simeon, Hill L/B-2307-2008</t>
  </si>
  <si>
    <t>VC1YT</t>
  </si>
  <si>
    <t>WOS:000432155800001</t>
  </si>
  <si>
    <t>Clark, MS; Thorne, MAS; Burns, G; Peck, LS</t>
  </si>
  <si>
    <t>Clark, M. S.; Thorne, M. A. S.; Burns, G.; Peck, L. S.</t>
  </si>
  <si>
    <t>Age-related thermal response: the cellular resilience of juveniles</t>
  </si>
  <si>
    <t>CELL STRESS &amp; CHAPERONES</t>
  </si>
  <si>
    <t>Heat shock protein; GRP78; Superoxide dismutase; Immune; MAP kinase; Tissue-specific</t>
  </si>
  <si>
    <t>LATERNULA-ELLIPTICA; ANTARCTIC BIVALVE; OXIDATIVE-STRESS; CDNA MICROARRAY; HEAT-STRESS; TEMPERATURE; TISSUE; ADAPTATION; EXPRESSION; APOPTOSIS</t>
  </si>
  <si>
    <t>Understanding species' responses to environmental challenges is key to predicting future biodiversity. However, there is currently little data on how developmental stages affect responses and also whether universal gene biomarkers to environmental stress can be identified both within and between species. Using the Antarctic clam, Laternula elliptica, as a model species, we examined both the tissue-specific and age-related (juvenile versus mature adult) gene expression response to acute non-lethal warming (12 h at 3 A degrees C). In general, there was a relatively muted response to this sub-lethal thermal challenge when the expression profiles of treated animals, of either age, were compared with those of 0 A degrees C controls, with none of the classical stress response genes up-regulated. The expression profiles were very variable between the tissues of all animals, irrespective of age with no single transcript emerging as a universal biomarker of thermal stress. However, when the expression profiles of treated animals of the different age groups were directly compared, a very different pattern emerged. The profiles of the younger animals showed significant up-regulation of chaperone and antioxidant transcripts when compared with those of the older animals. Thus, the younger animals showed evidence of a more robust cellular response to warming. These data substantiate previous physiological analyses showing a more resilient juvenile population.</t>
  </si>
  <si>
    <t>[Clark, M. S.; Thorne, M. A. S.; Burns, G.; Peck, L. S.] British Antarctic Survey, NERC, Cambridge CB3 0ET, England</t>
  </si>
  <si>
    <t>Clark, MS (corresponding author), British Antarctic Survey, NERC, Madingley Rd, Cambridge CB3 0ET, England.</t>
  </si>
  <si>
    <t>mscl@bas.ac.uk</t>
  </si>
  <si>
    <t>; Clark, Melody/D-7371-2014</t>
  </si>
  <si>
    <t>Thorne, Michael/0000-0001-7759-612X; Clark, Melody/0000-0002-3442-3824</t>
  </si>
  <si>
    <t>NERC; Natural Environment Research Council [dml011000, bas0100036] Funding Source: researchfish; NERC [dml011000, bas0100036]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</si>
  <si>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</si>
  <si>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This paper was funded by NERC core funding to BAS within the Polar Sciences for Planet Earth Programme. We would like to thank the Rothera Dive Team for help in collecting animals. The NERC National Facility for Scientific Diving (Oban) provided overall diving support. We would also like to thank three anonymous reviewers for their very constructive comments and additional references, which have greatly improved the manuscript.</t>
  </si>
  <si>
    <t>1355-8145</t>
  </si>
  <si>
    <t>1466-1268</t>
  </si>
  <si>
    <t>CELL STRESS CHAPERON</t>
  </si>
  <si>
    <t>Cell Stress Chaperones</t>
  </si>
  <si>
    <t>10.1007/s12192-015-0640-x</t>
  </si>
  <si>
    <t>Cell Biology</t>
  </si>
  <si>
    <t>CY8BZ</t>
  </si>
  <si>
    <t>WOS:000366634800008</t>
  </si>
  <si>
    <t>Turney, CSM; Jones, RT; Fogwill, C; Hatton, J; Williams, AN; Hogg, A; Thomas, ZA; Palmer, J; Mooney, S; Reimer, RW</t>
  </si>
  <si>
    <t>Turney, C. S. M.; Jones, R. T.; Fogwill, C.; Hatton, J.; Williams, A. N.; Hogg, A.; Thomas, Z. A.; Palmer, J.; Mooney, S.; Reimer, R. W.</t>
  </si>
  <si>
    <t>A 250-year periodicity in Southern Hemisphere westerly winds over the last 2600 years</t>
  </si>
  <si>
    <t>RADIOCARBON AGE CALIBRATION; FALKLAND ISLANDS; ANNULAR MODE; ANTARCTIC PENINSULA; ATMOSPHERIC CIRCULATION; CENTENNIAL VARIABILITY; ENVIRONMENTAL-CHANGE; CLIMATE VARIABILITY; HOLOCENE CLIMATE; LATE PLEISTOCENE</t>
  </si>
  <si>
    <t>Southern Hemisphere westerly airflow has a significant influence on the ocean-atmosphere system of the mid-to high latitudes with potentially global climate implications. Unfortunately, historic observations only extend back to the late 19th century, limiting our understanding of multi-decadal to centennial change. Here we present a highly resolved (30-year) record of past westerly wind strength from a Falkland Islands peat sequence spanning the last 2600 years. Situated within the core latitude of Southern Hemisphere westerly airflow (the so-called furious fifties), we identify highly variable changes in exotic pollen and charcoal derived from South America which can be used to inform on past westerly air strength. We find a period of high charcoal content between 2000 and 1000 cal. years BP, associated with increased burning in Patagonia, most probably as a result of higher temperatures and stronger westerly airflow. Spectral analysis of the charcoal record identifies a pervasive ca. 250-year periodicity that is coherent with radiocarbon production rates, suggesting that solar variability has a modulating influence on Southern Hemisphere westerly airflow. Our results have important implications for understanding global climate change through the late Holocene.</t>
  </si>
  <si>
    <t>[Turney, C. S. M.; Fogwill, C.; Williams, A. N.; Thomas, Z. A.; Palmer, J.; Mooney, S.] Univ New S Wales, Sch Biol Earth &amp; Environm Sci, Sydney, NSW, Australia; [Turney, C. S. M.; Fogwill, C.; Thomas, Z. A.; Palmer, J.] Univ New S Wales, Sch Biol Earth &amp; Environm Sci, Climate Change Res Ctr, Sydney, NSW, Australia; [Jones, R. T.; Hatton, J.] Univ Exeter, Dept Geog, Exeter EX4 4RJ, Devon, England; [Williams, A. N.] Archaeol &amp; Heritage Management Solut Pty Ltd, 2-729 Elizabeth St, Waterloo, NSW 2017, Australia; [Hogg, A.] Univ Waikato, Waikato Radiocarbon Lab, Private Bag 3105, Hamilton, New Zealand; [Reimer, R. W.] Queens Univ Belfast, Sch Geog Archaeol &amp; Palaeoecol, Belfast BT7 1NN, Antrim, North Ireland</t>
  </si>
  <si>
    <t>University of New South Wales Sydney; University of New South Wales Sydney; University of Exeter; University of Waikato; Queens University Belfast</t>
  </si>
  <si>
    <t>Turney, CSM (corresponding author), Univ New S Wales, Sch Biol Earth &amp; Environm Sci, Sydney, NSW, Australia.;Turney, CSM (corresponding author), Univ New S Wales, Sch Biol Earth &amp; Environm Sci, Climate Change Res Ctr, Sydney, NSW, Australia.</t>
  </si>
  <si>
    <t>c.turney@unsw.edu.au</t>
  </si>
  <si>
    <t>Mooney, Scott/M-5192-2019; López-Goñi, Ignacio/K-2572-2017; Fogwill, Chris/AAW-3502-2021; Fogwill, Christopher/HPF-1150-2023; Hogg, Alan G/M-8427-2014; Palmer, Jonathan/J-7834-2012; Turney, Chris/P-8701-2018; Thomas, Zoe/D-1656-2016</t>
  </si>
  <si>
    <t>Mooney, Scott/0000-0003-4449-5060; López-Goñi, Ignacio/0000-0002-3873-8743; Fogwill, Chris/0000-0002-6471-1106; Palmer, Jonathan/0000-0002-6665-4483; Turney, Chris/0000-0001-6733-0993; Thomas, Zoe/0000-0002-2323-4366</t>
  </si>
  <si>
    <t>Australian Research Council [FL100100195, FT120100004, DP130104156]; Australian Research Council [FT120100004] Funding Source: Australian Research Council</t>
  </si>
  <si>
    <t>Australian Research Council(Australian Research Council); Australian Research Council</t>
  </si>
  <si>
    <t>C. S. M. Turney and C. Fogwill acknowledge the support of the Australian Research Council (FL100100195, FT120100004 and DP130104156). We thank the Falkland Islands Government for permission to undertake sampling on the island (permit number: R07/2011) and Darren Christie for assisting with the fieldwork. Many thanks to Joel Pedro and an anonymous reviewer for their insightful and constructive comments. The data are lodged on the NOAA Paleoclimate Archive.</t>
  </si>
  <si>
    <t>10.5194/cp-12-189-2016</t>
  </si>
  <si>
    <t>WOS:000371625400002</t>
  </si>
  <si>
    <t>Steinthorsdottir, M; Porter, AS; Holohan, A; Kunzmann, L; Collinson, M; McElwain, JC</t>
  </si>
  <si>
    <t>Steinthorsdottir, Margret; Porter, Amanda S.; Holohan, Aidan; Kunzmann, Lutz; Collinson, Margaret; McElwain, Jennifer C.</t>
  </si>
  <si>
    <t>Fossil plant stomata indicate decreasing atmospheric CO2 prior to the Eocene-Oligocene boundary</t>
  </si>
  <si>
    <t>OCEAN CIRCULATION CHANGES; CARBON-DIOXIDE; ANTARCTIC GLACIATION; CLIMATE SENSITIVITY; EARLY MIOCENE; DENSITY; TRANSITION; EVOLUTION; RECORD; VEGETATION</t>
  </si>
  <si>
    <t>A unique stratigraphic sequence of fossil leaves of Eotrigonobalanus furcinervis (extinct trees of the beech family, Fagaceae) from central Germany has been used to derive an atmospheric pCO(2) record with multiple data points spanning the late middle to late Eocene, two sampling levels which may be earliest Oligocene, and two samples from later in the Oligocene. Using the inverse relationship between the density of stomata and pCO(2), we show that pCO(2) decreased continuously from the late middle to late Eocene, reaching a relatively stable low value before the end of the Eocene. Based on the subsequent records, pCO(2) in parts of the Oligocene was similar to latest Eocene values. These results suggest that a decrease in pCO(2) preceded the large shift in marine oxygen isotope records that characterizes the Eocene-Oligocene transition and that when a certain threshold of pCO(2) change was crossed, the cumulative effects of this and other factors resulted in rapid temperature decline, ice build up on Antarctica and hence a change of climate mode.</t>
  </si>
  <si>
    <t>[Steinthorsdottir, Margret] Stockholm Univ, Dept Geol Sci, S-10691 Stockholm, Sweden; [Steinthorsdottir, Margret] Stockholm Univ, Bolin Ctr Climate Res, S-10691 Stockholm, Sweden; [Porter, Amanda S.; Holohan, Aidan; McElwain, Jennifer C.] Univ Coll Dublin, Earth Inst, Sch Biol &amp; Environm Sci, Dublin 4, Ireland; [Kunzmann, Lutz] Senckenberg Nat Hist Collect Dresden, Museum Mineral &amp; Geol, Dresden, Germany; [Collinson, Margaret] Royal Holloway Univ London, Dept Earth Sci, Egham, Surrey, England</t>
  </si>
  <si>
    <t>Stockholm University; Stockholm University; University College Dublin; Senckenberg Gesellschaft fur Naturforschung (SGN); University of London; Royal Holloway University London</t>
  </si>
  <si>
    <t>Steinthorsdottir, M (corresponding author), Stockholm Univ, Dept Geol Sci, S-10691 Stockholm, Sweden.;Steinthorsdottir, M (corresponding author), Stockholm Univ, Bolin Ctr Climate Res, S-10691 Stockholm, Sweden.</t>
  </si>
  <si>
    <t>margret.steinthorsdottir@geo.su.se</t>
  </si>
  <si>
    <t>McElwain, Jenny/AAX-1605-2020; Kunzmann, Lutz/AAA-5030-2021; Hunter, Myra S/F-2133-2010</t>
  </si>
  <si>
    <t>McElwain, Jenny/0000-0002-1729-6755; Kunzmann, Lutz/0000-0001-6445-3920; Steinthorsdottir, Margret/0000-0002-7893-1142</t>
  </si>
  <si>
    <t>Stockholm University postdoctoral research fellowship [SU 619-2974-12]; Bolin Centre for Climate Research; Science Foundation Ireland grant [SFI 08/RFP/EOB1131]; European Research Council [ERC-2011-StG 279962-OXYEVOL]; Programme for Research in Third-Level Institutions (PRTLI) Ireland; European Regional Development Fund</t>
  </si>
  <si>
    <t>Stockholm University postdoctoral research fellowship; Bolin Centre for Climate Research; Science Foundation Ireland grant(Science Foundation Ireland); European Research Council(European Research Council (ERC)); Programme for Research in Third-Level Institutions (PRTLI) Ireland; European Regional Development Fund(European Union (EU))</t>
  </si>
  <si>
    <t>M. Steinthorsdottir gratefully acknowledges funding from Stockholm University postdoctoral research fellowship SU 619-2974-12 Nat and the Bolin Centre for Climate Research. J. C. McElwain and A. S. Porter acknowledge funding from Science Foundation Ireland grant SFI 08/RFP/EOB1131 and the European Research Council grant ERC-2011-StG 279962-OXYEVOL. A. Holohan acknowledges funding from the Programme for Research in Third-Level Institutions (PRTLI) Ireland, and the European Regional Development Fund. MSc student Gael Giraud is acknowledged for early work on the project. Sincere thanks go to Carola Kunzmann and Franziska Ferdani (Dresden) for preparation of cuticle slides of Eotrigonobalanus furcinervis; to Zlatko Kvacek (Prague) for numerous discussions on Palaeogene vegetation development; to Karolin Moraweck Dresden) for discussions on palaeoclimate estimation in the middle and late Eocene using the Coexistence Approach and for drafting the fossil site map (Fig. 1). The Royal Botanic Gardens Kew Herbarium and the National Botanic Gardens Ireland provided live and herbarium specimens of Trigonobalanus doichangensis, T. verticillata, Castanopsis cuspidata and Lithocarpus henryi, for analysis and selection of Nearest Living Equivalent for pCO2 calibration. Finally, Helen Coxall (Stockholm University) and Matthew Huber (University of New Hampshire, USA) are sincerely thanked for constructive criticism on earlier versions of this paper, advice and helpful discussions.</t>
  </si>
  <si>
    <t>10.5194/cp-12-439-2016</t>
  </si>
  <si>
    <t>WOS:000371625400015</t>
  </si>
  <si>
    <t>Vance, TR; Roberts, JL; Moy, AD; Curran, MAJ; Tozer, CR; Gallant, AJE; Abram, NJ; van Ommen, TD; Young, DA; Grima, C; Blankenship, DD; Siegert, MJ</t>
  </si>
  <si>
    <t>Vance, Tessa R.; Roberts, Jason L.; Moy, Andrew D.; Curran, Mark A. J.; Tozer, Carly R.; Gallant, Ailie J. E.; Abram, Nerilie J.; van Ommen, Tas D.; Young, Duncan A.; Grima, Cyril; Blankenship, Don D.; Siegert, Martin J.</t>
  </si>
  <si>
    <t>Optimal site selection for a high-resolution ice core record in East Antarctica</t>
  </si>
  <si>
    <t>LAMBERT GLACIER BASIN; SURFACE MASS-BALANCE; MULTI-DECADAL VARIABILITY; SNOW ACCUMULATION RATES; WILHELM-II LAND; LAW DOME; CLIMATE VARIABILITY; ENSO; TEMPERATURE; SHELF</t>
  </si>
  <si>
    <t>Ice cores provide some of the best-dated and most comprehensive proxy records, as they yield a vast and growing array of proxy indicators. Selecting a site for ice core drilling is nonetheless challenging, as the assessment of potential new sites needs to consider a variety of factors. Here, we demonstrate a systematic approach to site selection for a new East Antarctic high-resolution ice core record. Specifically, seven criteria are considered: (1) 2000-year-old ice at 300 m depth; (2) above 1000 m elevation; (3) a minimum accumulation rate of 250 mm years(-1) IE (ice equivalent); (4) minimal surface reworking to preserve the deposited climate signal; (5) a site with minimal displacement or elevation change in ice at 300 m depth; (6) a strong teleconnection to midlatitude climate; and (7) an appropriately complementary relationship to the existing Law Dome record (a high-resolution record in East Antarctica). Once assessment of these physical characteristics identified promising regions, logistical considerations (for site access and ice core retrieval) were briefly considered. We use Antarctic surface mass balance syntheses, along with ground-truthing of satellite data by airborne radar surveys to produce all-of-Antarctica maps of surface roughness, age at specified depth, elevation and displacement change, and surface air temperature correlations to pinpoint promising locations. We also use the European Centre for Medium-Range Weather Forecast ERA 20th Century reanalysis (ERA-20C) to ensure that a site complementary to the Law Dome record is selected. We find three promising sites in the Indian Ocean sector of East Antarctica in the coastal zone from Enderby Land to the In-grid Christensen Coast (50-100 degrees E). Although we focus on East Antarctica for a new ice core site, the methodology is more generally applicable, and we include key parameters for all of Antarctica which may be useful for ice core site selection elsewhere and/or for other purposes.</t>
  </si>
  <si>
    <t>[Vance, Tessa R.; Roberts, Jason L.; Moy, Andrew D.; Curran, Mark A. J.; Tozer, Carly R.; van Ommen, Tas D.] Univ Tasmania, Antarctic Climate &amp; Ecosyst Cooperat Res Ctr, Private Bag 80, Hobart, Tas 7001, Australia; [Roberts, Jason L.; Moy, Andrew D.; Curran, Mark A. J.; van Ommen, Tas D.] Australian Antarctic Div, Dept Environm, Hobart, Tas 7050, Australia; [Tozer, Carly R.] Univ Newcastle, Ctr Water Climate &amp; Land Use, Callaghan, NSW 2308, Australia; [Gallant, Ailie J. E.] Monash Univ, Sch Earth Atmosphere &amp; Environm, Melbourne, Vic 2904, Australia; [Abram, Nerilie J.] Australian Natl Univ, Res Sch Earth Sci, GPO Box 4, Canberra, ACT 2601, Australia; [Young, Duncan A.; Grima, Cyril; Blankenship, Don D.] Univ Texas Austin, Jackson Sch Geosci, Austin, TX 78712 USA; [Siegert, Martin J.] Univ London Imperial Coll Sci Technol &amp; Med, Grantham Inst, London, England; [Siegert, Martin J.] Univ London Imperial Coll Sci Technol &amp; Med, Dept Earth Sci &amp; Engn, London, England</t>
  </si>
  <si>
    <t>University of Tasmania; Antarctic Climate &amp; Ecosystems Cooperative Research Centre (ACE CRC); Australian Antarctic Division; University of Newcastle; Monash University; Melbourne Genomics Health Alliance; Australian National University; University of Texas System; University of Texas Austin; Imperial College London; Imperial College London</t>
  </si>
  <si>
    <t>Vance, TR (corresponding author), Univ Tasmania, Antarctic Climate &amp; Ecosyst Cooperat Res Ctr, Private Bag 80, Hobart, Tas 7001, Australia.</t>
  </si>
  <si>
    <t>tessa.vance@utas.edu.au</t>
  </si>
  <si>
    <t>Siegert, Martin/M-9939-2019; Grima, Cyril/V-2597-2019; IPO, PAGES/JXY-7546-2024; Gallant, Ailie/N-3938-2013; Siegert, Martin J/A-3826-2008; Abram, Nerilie/AAT-5171-2021; Blankenship, Donald D./G-5935-2010; Roberts, Jason L/B-2235-2012; Tozer, Carly R/E-9936-2013; Young, Duncan/G-6256-2010; van Ommen, Tas/B-5020-2012</t>
  </si>
  <si>
    <t>Siegert, Martin/0000-0002-0090-4806; Grima, Cyril/0000-0001-7135-3055; Siegert, Martin J/0000-0002-0090-4806; Roberts, Jason L/0000-0002-3477-4069; Tozer, Carly R/0000-0001-8605-5907; Young, Duncan/0000-0002-6866-8176; Moy, Andrew/0000-0002-7664-9960; van Ommen, Tas/0000-0002-2463-1718; Abram, Nerilie/0000-0003-1246-2344; Vance, Tessa/0000-0001-6970-8646; Gallant, Ailie/0000-0002-7917-1069</t>
  </si>
  <si>
    <t>UK Natural Environment Research Council [NE/D003733/1]; NSF [ANT-0733025]; Jackson School of Geosciences; G. Unger Vetlesen Foundation; Australian Antarctic Division [ASAC 3103, 4077, 4346]; Australian Government's Cooperative Research Centres Programme through the Antarctic Climate and Ecosystems Cooperative Research Centre (ACE CRC); PAGES; WCRP Polar Climate Predictability Initiative (PCPI) Research Program; UK Natural Environment Research Council [NE/D003733/1]; NSF [ANT-0733025]; Jackson School of Geosciences; G. Unger Vetlesen Foundation; Australian Antarctic Division [ASAC 3103, 4077, 4346]; Australian Government's Cooperative Research Centres Programme through the Antarctic Climate and Ecosystems Cooperative Research Centre (ACE CRC); PAGES; WCRP Polar Climate Predictability Initiative (PCPI) Research Program; Natural Environment Research Council [NE/F016646/1, NE/F016646/2] Funding Source: researchfish; NERC [NE/F016646/2, NE/F016646/1] Funding Source: UKRI</t>
  </si>
  <si>
    <t>UK Natural Environment Research Council(UK Research &amp; Innovation (UKRI)Natural Environment Research Council (NERC)); NSF(National Science Foundation (NSF)); Jackson School of Geosciences; G. Unger Vetlesen Foundation; Australian Antarctic Division; Australian Government's Cooperative Research Centres Programme through the Antarctic Climate and Ecosystems Cooperative Research Centre (ACE CRC)(Australian GovernmentDepartment of Industry, Innovation and ScienceCooperative Research Centres (CRC) Programme); PAGES; WCRP Polar Climate Predictability Initiative (PCPI) Research Program; UK Natural Environment Research Council(UK Research &amp; Innovation (UKRI)Natural Environment Research Council (NERC)); NSF(National Science Foundation (NSF)); Jackson School of Geosciences; G. Unger Vetlesen Foundation; Australian Antarctic Division; Australian Government's Cooperative Research Centres Programme through the Antarctic Climate and Ecosystems Cooperative Research Centre (ACE CRC)(Australian GovernmentDepartment of Industry, Innovation and ScienceCooperative Research Centres (CRC) Programme); PAGES; WCRP Polar Climate Predictability Initiative (PCPI) Research Program; Natural Environment Research Council(UK Research &amp; Innovation (UKRI)Natural Environment Research Council (NERC)); NERC(UK Research &amp; Innovation (UKRI)Natural Environment Research Council (NERC))</t>
  </si>
  <si>
    <t>Funding for this work was provided by the UK Natural Environment Research Council grant NE/D003733/1, NSF grant ANT-0733025, the Jackson School of Geosciences and the G. Unger Vetlesen Foundation. The Australian Antarctic Division provided funding and logistical support (ASAC 3103, 4077, 4346). This work was supported by the Australian Government's Cooperative Research Centres Programme through the Antarctic Climate and Ecosystems Cooperative Research Centre (ACE CRC). ECMWF ERA-Interim and ERA-20C data used in this study have been obtained from the ECMWF data server. We acknowledge support from the joint PAGES and WCRP Polar Climate Predictability Initiative (PCPI) Research Program. We thank Meredith Nation for discussion related to this manuscript.</t>
  </si>
  <si>
    <t>10.5194/cp-12-595-2016</t>
  </si>
  <si>
    <t>DM0YP</t>
  </si>
  <si>
    <t>WOS:000376072300001</t>
  </si>
  <si>
    <t>Haywood, AM; Dowsett, HJ; Dolan, AM; Rowley, D; Abe-Ouchi, A; Otto-Bliesner, B; Chandler, MA; Hunter, SJ; Lunt, DJ; Pound, M; Salzmann, U</t>
  </si>
  <si>
    <t>Haywood, Alan M.; Dowsett, Harry J.; Dolan, Aisling M.; Rowley, David; Abe-Ouchi, Ayako; Otto-Bliesner, Bette; Chandler, Mark A.; Hunter, Stephen J.; Lunt, Daniel J.; Pound, Matthew; Salzmann, Ulrich</t>
  </si>
  <si>
    <t>The Pliocene Model Intercomparison Project (PlioMIP) Phase 2: scientific objectives and experimental design</t>
  </si>
  <si>
    <t>ANTARCTIC ICE-SHEET; SEA-SURFACE TEMPERATURE; CLIMATE FEEDBACKS; WARMTH; ENSEMBLE; PLISMIP; OCEAN; CO2</t>
  </si>
  <si>
    <t>The Pliocene Model Intercomparison Project (PlioMIP) is a co-ordinated international climate modelling initiative to study and understand climate and environments of the Late Pliocene, as well as their potential relevance in the context of future climate change. PlioMIP examines the consistency of model predictions in simulating Pliocene climate and their ability to reproduce climate signals preserved by geological climate archives. Here we provide a description of the aim and objectives of the next phase of the model intercomparison project (PlioMIP Phase 2), and we present the experimental design and boundary conditions that will be utilized for climate model experiments in Phase 2. Following on from PlioMIP Phase 1, Phase 2 will continue to be a mechanism for sampling structural uncertainty within climate models. However, Phase 1 demonstrated the requirement to better understand boundary condition uncertainties as well as uncertainty in the methodologies used for data-model comparison. Therefore, our strategy for Phase 2 is to utilize state-of-the-art boundary conditions that have emerged over the last 5 years. These include a new palaeogeographic reconstruction, detailing ocean bathymetry and land-ice surface topography. The ice surface topography is built upon the lessons learned from offline ice sheet modelling studies. Land surface cover has been enhanced by recent additions of Pliocene soils and lakes. Atmospheric reconstructions of palaeo-CO2 are emerging on orbital timescales, and these are also incorporated into PlioMIP Phase 2. New records of surface and sea surface temperature change are being produced that will be more temporally consistent with the boundary conditions and forcings used within models. Finally we have designed a suite of prioritized experiments that tackle issues surrounding the basic understanding of the Pliocene and its relevance in the context of future climate change in a discrete way.</t>
  </si>
  <si>
    <t>[Haywood, Alan M.; Dolan, Aisling M.; Hunter, Stephen J.] Univ Leeds, Sch Earth &amp; Environm, Woodhouse Lane, Leeds LS2 9JT, W Yorkshire, England; [Dowsett, Harry J.] US Geol Survey, Eastern Geol &amp; Paleoclimate Sci Ctr, MS 926A,12201 Sunrise Valley Dr, Reston, VA 20192 USA; [Rowley, David] Univ Chicago, Dept Geophys Sci, 5734 S Ellis Ave, Chicago, IL 60637 USA; [Abe-Ouchi, Ayako] Univ Tokyo, CCSR, Tokyo, Japan; [Otto-Bliesner, Bette] CGD NCAR, CCR, POB 3000, Boulder, CO 80307 USA; [Chandler, Mark A.] NASA, Goddard Inst Space Studies, 2880 Broadway, New York, NY 10025 USA; [Lunt, Daniel J.] Univ Bristol, Sch Geog Sci, Univ Rd, Bristol BS8 1SS, Avon, England; [Pound, Matthew; Salzmann, Ulrich] Northumbria Univ, Fac Engn &amp; Environm, Dept Geog, Ellison Bldg, Newcastle Upon Tyne NE1 8ST, Tyne &amp; Wear, England</t>
  </si>
  <si>
    <t>University of Leeds; United States Department of the Interior; United States Geological Survey; University of Chicago; University of Tokyo; National Center Atmospheric Research (NCAR) - USA; National Aeronautics &amp; Space Administration (NASA); NASA Goddard Space Flight Center; Goddard Institute for Space Studies; University of Bristol; Northumbria University</t>
  </si>
  <si>
    <t>Dolan, AM (corresponding author), Univ Leeds, Sch Earth &amp; Environm, Woodhouse Lane, Leeds LS2 9JT, W Yorkshire, England.</t>
  </si>
  <si>
    <t>a.m.dolan@leeds.ac.uk</t>
  </si>
  <si>
    <t>Dolan, Aisling M/D-2625-2012; Salzmann, Ulrich/H-9929-2017; Abe-Ouchi, Ayako A/M-6359-2013; Otto-Bliesner, Bette/AAY-7691-2020; Lunt, Daniel/G-9451-2011</t>
  </si>
  <si>
    <t>Salzmann, Ulrich/0000-0001-5598-5327; Abe-Ouchi, Ayako A/0000-0003-1745-5952; Otto-Bliesner, Bette/0000-0003-1911-1598; Chandler, Mark/0000-0002-6548-227X; Dolan, Aisling/0000-0002-9585-9648; Pound, Matthew/0000-0001-8029-9548; Rowley, David/0000-0001-9767-9029; Lunt, Daniel/0000-0003-3585-6928; Dowsett, Harry/0000-0003-1983-7524</t>
  </si>
  <si>
    <t>European Research Council under the European Union [278636]; EPSRC-supported Past Earth Network; Natural Environment Research Council (NERC) [NE/I016287/1, NE/G009112/1, NE/H006273/1]; US National Science Foundation; NASA Modeling, Analysis, and Prediction program (NASA) [NNX14AB99A]; NASA High-End Computing (HEC) Program through the NASA Center for Climate Simulation (NCCS) at Goddard Space Flight Center; NASA [NNX14AB99A, 683859] Funding Source: Federal RePORTER; Grants-in-Aid for Scientific Research [25241005] Funding Source: KAKEN; Engineering and Physical Sciences Research Council [EP/M008363/1] Funding Source: researchfish; Natural Environment Research Council [ncas10009, NE/I016287/1, NE/G009112/1, NE/H006273/1] Funding Source: researchfish; EPSRC [EP/M008363/1] Funding Source: UKRI; NERC [NE/G009112/1, NE/H006273/1, NE/I016287/1] Funding Source: UKRI</t>
  </si>
  <si>
    <t>European Research Council under the European Union(European Research Council (ERC)); EPSRC-supported Past Earth Network(UK Research &amp; Innovation (UKRI)Engineering &amp; Physical Sciences Research Council (EPSRC)); Natural Environment Research Council (NERC)(UK Research &amp; Innovation (UKRI)Natural Environment Research Council (NERC)); US National Science Foundation(National Science Foundation (NSF)); NASA Modeling, Analysis, and Prediction program (NASA); NASA High-End Computing (HEC) Program through the NASA Center for Climate Simulation (NCCS) at Goddard Space Flight Center; NASA(National Aeronautics &amp; Space Administration (NASA)); Grants-in-Aid for Scientific Research(Ministry of Education, Culture, Sports, Science and Technology, Japan (MEXT)Japan Society for the Promotion of ScienceGrants-in-Aid for Scientific Research (KAKENHI)); 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</si>
  <si>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A. M. Haywood, A. M. Dolan and S. J. Hunter acknowledge that the research leading to these results has received funding from the European Research Council under the European Union's Seventh Framework Programme (FP7/2007-2013)/ERC grant agreement no. 278636, as well as the EPSRC-supported Past Earth Network. U. Salzmann, A. M. Haywood and M. J. Pound acknowledge funding received from the Natural Environment Research Council (NERC Grant NE/I016287/1). A. M. Haywood and D. J. Lunt acknowledge funding received from the Natural Environment Research Council (NERC Grant NE/G009112/1). D. J. Lunt acknowledges NERC grant NE/H006273/1. H. J. Dowsett recognizes the continued support of the United States Geological Survey Climate and Land Use Change Research and Development Program. B. L. Otto-Bliesner recognizes the continued support of the National Center for Atmospheric Research, which is sponsored by the US National Science Foundation. M. A. Chandler is supported by the NASA Modeling, Analysis, and Prediction program (NASA Grant NNX14AB99A) and the NASA High-End Computing (HEC) Program through the NASA Center for Climate Simulation (NCCS) at Goddard Space Flight Center.</t>
  </si>
  <si>
    <t>10.5194/cp-12-663-2016</t>
  </si>
  <si>
    <t>WOS:000376072300005</t>
  </si>
  <si>
    <t>Bazin, L; Landais, A; Capron, E; Masson-Delmotte, V; Ritz, C; Picard, G; Jouzel, J; Dumont, M; Leuenberger, M; Pric, F</t>
  </si>
  <si>
    <t>Bazin, Lucie; Landais, Amaelle; Capron, Emilie; Masson-Delmotte, Valerie; Ritz, Catherine; Picard, Ghislain; Jouzel, Jean; Dumont, Marie; Leuenberger, Markus; Pric, Frederic</t>
  </si>
  <si>
    <t>Phase relationships between orbital forcing and the composition of air trapped in Antarctic ice cores</t>
  </si>
  <si>
    <t>EPICA DOME-C; BUBBLE CLOSE-OFF; MILLENNIAL-SCALE; CHRONOLOGY AICC2012; LATE PLEISTOCENE; CLIMATE-CHANGE; RECORD; FIRN; MONSOON; GASES</t>
  </si>
  <si>
    <t>Orbital tuning is central for ice core chronologies beyond annual layer counting, available back to 60 ka (i.e. thousands of years before 1950) for Greenland ice cores. While several complementary orbital tuning tools have recently been developed using delta O-18(atm), delta O-2/N-2 and air content with different orbital targets, quantifying their uncertainties remains a challenge. Indeed, the exact processes linking variations of these parameters, measured in the air trapped in ice, to their orbital targets are not yet fully understood. Here, we provide new series of delta O-2/N-2 and delta O-18(atm) data encompassing Marine Isotopic Stage (MIS) 5 (between 100 and 160 ka) and the oldest part (340-800 ka) of the East Antarctic EPICA Dome C (EDC) ice core. For the first time, the measurements over MIS 5 allow an inter-comparison of delta O-2/N-2 and delta O-18(atm) records from three East Antarctic ice core sites (EDC, Vostok and Dome F). This comparison highlights some site-specific delta O-2/N-2 variations. Such an observation, the evidence of a 100 ka periodicity in the delta O-2/N-2 signal and the difficulty to identify extrema and mid-slopes in delta O-2/N-2 increase the uncertainty associated with the use of delta O-2/N-2 as an orbital tuning tool, now calculated to be 3-4 ka. When combining records of delta O-18(atm) and delta O-2/N-2 from Vostok and EDC, we find a loss of orbital signature for these two parameters during periods of minimum eccentricity (similar to 400 ka, 720-800 ka). Our data set reveals a time-varying offset between delta O-2/N-2 and delta O-18(atm) records over the last 800 ka that we interpret as variations in the lagged response of delta O-18(atm) to precession. The largest offsets are identified during Terminations II, MIS 8 and MIS 16, corresponding to periods of destabilization of the Northern polar ice sheets. We therefore suggest that the occurrence of Heinrich like events influences the response of delta O-18(atm) to precession.</t>
  </si>
  <si>
    <t>[Bazin, Lucie; Landais, Amaelle; Masson-Delmotte, Valerie; Jouzel, Jean; Pric, Frederic] CEA CNRS UVSQ, Lab Sci Climat &amp; Environm, UMR8212, Gif Sur Yvette, France; [Capron, Emilie] British Antarctic Survey, NERC, Cambridge, England; [Ritz, Catherine; Picard, Ghislain] Univ Grenoble Alpes, Lab Glaciol &amp; Geophys Environm, UMR 5183, CNRS, Grenoble, France; [Dumont, Marie] CEN, Meteo France CNRS, CNRM GAME UMR 3589, F-38041 Grenoble, France; [Leuenberger, Markus] Univ Bern, Inst Phys, Climate &amp; Environm Phys, Bern, Switzerland; [Leuenberger, Markus] Univ Bern, Oeschger Ctr Climate Change Res, Bern, Switzerland</t>
  </si>
  <si>
    <t>Centre National de la Recherche Scientifique (CNRS); CNRS - National Institute for Earth Sciences &amp; Astronomy (INSU); CEA; Universite Paris Saclay; UK Research &amp; Innovation (UKRI); Natural Environment Research Council (NERC); NERC British Antarctic Survey; Centre National de la Recherche Scientifique (CNRS); Communaute Universite Grenoble Alpes; Universite Grenoble Alpes (UGA); Centre National de la Recherche Scientifique (CNRS); CNRS - National Institute for Earth Sciences &amp; Astronomy (INSU); Meteo France; University of Bern; University of Bern</t>
  </si>
  <si>
    <t>Bazin, L (corresponding author), CEA CNRS UVSQ, Lab Sci Climat &amp; Environm, UMR8212, Gif Sur Yvette, France.</t>
  </si>
  <si>
    <t>bazinl@cardiff.ac.uk</t>
  </si>
  <si>
    <t>Leuenberger, Markus C/K-9655-2016; Dumont, Marie/A-7271-2015; Dumont, Marie/R-4507-2019; Capron, Emilie/ITU-2672-2023; Masson-Delmotte, Valerie L/G-1995-2011; Picard, Ghislain/D-4246-2013</t>
  </si>
  <si>
    <t>Leuenberger, Markus C/0000-0003-4299-6793; Dumont, Marie/0000-0002-4002-5873; Masson-Delmotte, Valerie L/0000-0001-8296-381X; Picard, Ghislain/0000-0003-1475-5853; LANDAIS, Amaelle/0000-0002-5620-5465; Ritz, Catherine/0000-0003-0785-8571; Bazin, Lucie/0000-0003-4808-4090</t>
  </si>
  <si>
    <t>Concordia Station [902]; French Polar Institute (IPEV); Fondation de France Ars Cuttoli; ANR Citronnier; European Union [243908]; NERC [bas0100034, NE/I009639/1] Funding Source: UKRI; Natural Environment Research Council [bas0100034, NE/I009639/1] Funding Source: researchfish</t>
  </si>
  <si>
    <t>Concordia Station; French Polar Institute (IPEV); Fondation de France Ars Cuttoli; ANR Citronnier(Agence Nationale de la Recherche (ANR)); European Union(European Union (EU)); NERC(UK Research &amp; Innovation (UKRI)Natural Environment Research Council (NERC)); Natural Environment Research Council(UK Research &amp; Innovation (UKRI)Natural Environment Research Council (NERC))</t>
  </si>
  <si>
    <t>We address our first acknowledgements to the two anonymous reviewers and the editor for their implication in the review process. We thank Jean-Robert Petit and Laurent Arnaud for the help with the surface temperature data of Vostok and EDC. We thank James Channell for the marine core data. The present research project no. 902 has been performed at Concordia Station and was supported by the French Polar Institute (IPEV). This project was funded by the Fondation de France Ars Cuttoli and the ANR Citronnier. The research leading to these results has received funding from the European Union's Seventh Framework programme (FP7/2007-2013) under grant agreement no. 243908, Past4Future. Climate change - Learning from the past climate. This is LSCE contribution no. 5701.</t>
  </si>
  <si>
    <t>10.5194/cp-12-729-2016</t>
  </si>
  <si>
    <t>WOS:000376072300009</t>
  </si>
  <si>
    <t>Sigl, M; Fudge, TJ; Winstrup, M; Cole-Dai, J; Ferris, D; McConnell, JR; Taylor, KC; Welten, KC; Woodruff, TE; Adolphi, F; Bisiaux, M; Brook, EJ; Buizert, C; Caffee, MW; Dunbar, NW; Edwards, R; Geng, L; Iverson, N; Koffman, B; Layman, L; Maselli, OJ; McGwire, K; Muscheler, R; Nishiizumi, K; Pasteris, DR; Rhodes, RH; Sowers, TA</t>
  </si>
  <si>
    <t>Sigl, Michael; Fudge, Tyler J.; Winstrup, Mai; Cole-Dai, Jihong; Ferris, David; McConnell, Joseph R.; Taylor, Ken C.; Welten, Kees C.; Woodruff, Thomas E.; Adolphi, Florian; Bisiaux, Marion; Brook, Edward J.; Buizert, Christo; Caffee, Marc W.; Dunbar, Nelia W.; Edwards, Ross; Geng, Lei; Iverson, Nels; Koffman, Bess; Layman, Lawrence; Maselli, Olivia J.; McGwire, Kenneth; Muscheler, Raimund; Nishiizumi, Kunihiko; Pasteris, Daniel R.; Rhodes, Rachael H.; Sowers, Todd A.</t>
  </si>
  <si>
    <t>The WAIS Divide deep ice core WD2014 chronology - Part 2: Annual-layer counting (0-31 ka BP)</t>
  </si>
  <si>
    <t>EPICA DOME-C; HIGH-RESOLUTION; CLIMATE-CHANGE; TREE-RINGS; VOLCANIC SYNCHRONIZATION; EXPLOSIVE VOLCANISM; EVENT STRATIGRAPHY; CHEMICAL-ANALYSIS; DIFFUSION-MODEL; SOLAR-ACTIVITY</t>
  </si>
  <si>
    <t>We present the WD2014 chronology for the upper part (0-2850 m; 31.2 ka BP) of the West Antarctic Ice Sheet (WAIS) Divide (WD) ice core. The chronology is based on counting of annual layers observed in the chemical, dust and electrical conductivity records. These layers are caused by seasonal changes in the source, transport, and deposition of aerosols. The measurements were interpreted manually and with the aid of two automated methods. We validated the chronology by comparing to two high-accuracy, absolutely dated chronologies. For the Holocene, the cosmogenic isotope records of Be-10 from WAIS Divide and C-14 for IntCal13 demonstrated that WD2014 was consistently accurate to better than 0.5% of the age. For the glacial period, comparisons to the Hulu Cave chronology demonstrated that WD2014 had an accuracy of better than 1% of the age at three abrupt climate change events between 27 and 31 ka. WD2014 has consistently younger ages than Greenland ice core chronologies during most of the Holocene. For the Younger Dryas-Preboreal transition (11.595 ka; 24 years younger) and the Bolling-Allerod Warming (14.621 ka; 7 years younger), WD2014 ages are within the combined uncertainties of the timescales. Given its high accuracy, WD2014 can become a reference chronology for the Southern Hemisphere, with synchronization to other chronologies feasible using high-quality proxies of volcanism, solar activity, atmospheric mineral dust, and atmospheric methane concentrations.</t>
  </si>
  <si>
    <t>[Sigl, Michael; McConnell, Joseph R.; Taylor, Ken C.; Bisiaux, Marion; Edwards, Ross; Layman, Lawrence; Maselli, Olivia J.; McGwire, Kenneth; Pasteris, Daniel R.] Nevada Syst Higher Educ, Desert Res Inst, Reno, NV 89512 USA; [Sigl, Michael] Paul Scherrer Inst, Lab Radiochem &amp; Environm Chem, CH-5232 Villigen, Switzerland; [Fudge, Tyler J.; Winstrup, Mai] Univ Washington, Dept Earth &amp; Space Sci, Seattle, WA 98195 USA; [Cole-Dai, Jihong; Geng, Lei; Sowers, Todd A.] S Dakota State Univ, Dept Chem &amp; Biochem, Brookings, SD 57007 USA; [Ferris, David; Geng, Lei] Dartmouth Coll, Dept Earth Sci, Hanover, NH 03755 USA; [Welten, Kees C.; Nishiizumi, Kunihiko] Univ Calif Berkeley, Space Sci Lab, Berkeley, CA 94720 USA; [Woodruff, Thomas E.; Caffee, Marc W.] Purdue Univ, Dept Phys &amp; Astron, PRIME Lab, W Lafayette, IN 47907 USA; [Adolphi, Florian; Muscheler, Raimund] Lund Univ, Dept Geol, S-22362 Lund, Sweden; [Brook, Edward J.; Buizert, Christo; Rhodes, Rachael H.] Oregon State Univ, Coll Earth Ocean &amp; Atmospher Sci, Corvallis, OR 97331 USA; [Caffee, Marc W.] Purdue Univ, Dept Earth Atmospher &amp; Planetary Sci, W Lafayette, IN 47907 USA; [Dunbar, Nelia W.; Iverson, Nels] New Mexico Inst Min &amp; Technol, New Mexico Bur Geol &amp; Mineral Resources, Earth &amp; Environm Sci Dept, Socorro, NM 87801 USA; [Geng, Lei] Univ Washington, Dept Atmospher Sci, Seattle, WA 98195 USA; [Koffman, Bess] Columbia Univ, Lamont Doherty Earth Observ, Palisades, NY 10964 USA; [Sowers, Todd A.] Penn State Univ, Dept Geosci, University Pk, PA 16802 USA; [Winstrup, Mai] Penn State Univ, Earth &amp; Environm Syst Inst, University Pk, PA 16802 USA; [Edwards, Ross] Curtin Univ, Dept Phys, Perth, WA 6845, Australia; [Rhodes, Rachael H.] Univ Cambridge, Dept Earth Sci, Cambridge CB2 3EQ, England; [Geng, Lei] Univ Grenoble Alpes, LGGE, F-3800 Grenoble, France</t>
  </si>
  <si>
    <t>Nevada System of Higher Education (NSHE); Desert Research Institute NSHE; Swiss Federal Institutes of Technology Domain; Paul Scherrer Institute; University of Washington; University of Washington Seattle; South Dakota State University; Dartmouth College; University of California System; University of California Berkeley; Purdue University System; Purdue University; Lund University; Oregon State University; Purdue University System; Purdue University; New Mexico Institute of Mining Technology; University of Washington; University of Washington Seattle; Columbia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Curtin University; University of Cambridge; Communaute Universite Grenoble Alpes; Universite Grenoble Alpes (UGA)</t>
  </si>
  <si>
    <t>Sigl, M (corresponding author), Nevada Syst Higher Educ, Desert Res Inst, Reno, NV 89512 USA.;Sigl, M (corresponding author), Paul Scherrer Inst, Lab Radiochem &amp; Environm Chem, CH-5232 Villigen, Switzerland.</t>
  </si>
  <si>
    <t>michael.sigl@psi.ch</t>
  </si>
  <si>
    <t>Brook, Edward/AAB-7807-2021; geng, lei/KEZ-8801-2024; Cole-Dai, Jihong/B-2510-2009; Dunbar, Nelia W./HZL-8693-2023; Taylor, Kendrick/A-3469-2016; , Lei/M-3418-2018; Winstrup, Mai/M-5844-2014; Edwards, Ross/B-1433-2013</t>
  </si>
  <si>
    <t>Cole-Dai, Jihong/0000-0003-0921-5916; Dunbar, Nelia W./0000-0002-5181-937X; Iverson, Nels/0000-0002-7110-5040; Koffman, Bess/0000-0002-9451-4138; Taylor, Kendrick/0000-0001-8535-1261; Ferris, David/0000-0003-2336-6163; Fudge, Tyler/0000-0002-6818-7479; Sigl, Michael/0000-0002-9028-9703; Adolphi, Florian/0000-0003-0014-8753; Muscheler, Raimund/0000-0003-2772-3631; Welten, Kees/0000-0001-8577-6753; , Lei/0000-0003-2175-2538; McConnell, Joseph/0000-0001-9051-5240; Rhodes, Rachael/0000-0001-7511-1969; Winstrup, Mai/0000-0002-4794-4004; Edwards, Ross/0000-0002-9233-8775</t>
  </si>
  <si>
    <t>US National Science Foundation [0839066, 1204172, 1142041, 1043518, 1142069, 1142115, 0839093, 1142166, 1043500, 0944584, 0230149, 0230396, 0440817, 0440819, 0944191, 0944348, 0839042, 0839137, 0944197]; NOAA Climate and Global Change Fellowship Program; Villum Foundation; Swedish Research Council [2013-8421]; NASA National Earth and Space Science Fellowship; National Science Foundation Office of Polar Programs; Directorate For Geosciences; Office of Polar Programs (OPP) [0944348, 0944197] Funding Source: National Science Foundation; Directorate For Geosciences; Office of Polar Programs (OPP) [1142115] Funding Source: National Science Foundation; Division Of Polar Programs; Directorate For Geosciences [0230396, 0440819, 0944191, 0440817] Funding Source: National Science Foundation; Division Of Polar Programs; Directorate For Geosciences [0230149] Funding Source: National Science Foundation</t>
  </si>
  <si>
    <t>US National Science Foundation(National Science Foundation (NSF)); NOAA Climate and Global Change Fellowship Program(National Oceanic Atmospheric Admin (NOAA) - USA); Villum Foundation(Villum Fonden); Swedish Research Council(Swedish Research Council); NASA National Earth and Space Science Fellowship; National Science Foundation Office of Polar Programs(National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 Division Of Polar Programs; Directorate For Geosciences(National Science Foundation (NSF)NSF - Directorate for Geosciences (GEO))</t>
  </si>
  <si>
    <t>This work is funded through the US National Science Foundation grants 0839066 (to J. Cole-Dai), 1204172, 1142041, 1043518 (to E. J. Brook), 1142069, 1142115 (to N. W. Dunbar), 0839093, 1142166 (to J. R. McConnell), 1043500, 0944584 (to T. A. Sowers), 0230149, 0230396, 0440817, 0440819, 0944191, 0944348 (to K. C. Taylor), 0839042 (M. W. Caffee and T. E. Woodruff) 0839137 (to K. C. Welten) and 0944197 (supporting T. J. Fudge); the NOAA Climate and Global Change Fellowship Program, administered by the University Corporation for Atmospheric Research (to C. Buizert); and the Villum Foundation (to M. Winstrup). R. Muscheler and F. Adolphi are supported by the Swedish Research Council (Grant No: 2013-8421); a NASA National Earth and Space Science Fellowship also supported T. J. Fudge. The National Science Foundation Office of Polar Programs also funded the WAIS Divide Science Coordination Office at the Desert Research Institute of Nevada and University of New Hampshire for the collection and distribution of the WAIS Divide ice core and related tasks; the Ice Drilling Program Office and Ice Drilling Design and Operations group for coring activities; the National Ice Core Laboratory for curation of the core; Raytheon Polar Services for logistics support in Antarctica; and the 109th New York Air National Guard for airlift in Antarctica. We thank the WAIS Divide Drilling Team and science technicians who processed the ice core in the field and at the NICL. We thank Anders Svenson for performing an independent interpretation for parts of the ice core used to initialize the StratiCounter.</t>
  </si>
  <si>
    <t>10.5194/cp-12-769-2016</t>
  </si>
  <si>
    <t>WOS:000376072300011</t>
  </si>
  <si>
    <t>Dowsett, H; Dolan, A; Rowley, D; Moucha, R; Forte, AM; Mitrovica, JX; Pound, M; Salzmann, U; Robinson, M; Chandler, M; Foley, K; Haywood, A</t>
  </si>
  <si>
    <t>Dowsett, Harry; Dolan, Aisling; Rowley, David; Moucha, Robert; Forte, Alessandro M.; Mitrovica, Jerry X.; Pound, Matthew; Salzmann, Ulrich; Robinson, Marci; Chandler, Mark; Foley, Kevin; Haywood, Alan</t>
  </si>
  <si>
    <t>The PRISM4 (mid-Piacenzian) paleoenvironmental reconstruction</t>
  </si>
  <si>
    <t>ANTARCTIC ICE-SHEET; PLIOCENE SEA-LEVEL; PLIOMIP EXPERIMENTAL-DESIGN; DYNAMIC TOPOGRAPHY CHANGE; SURFACE TEMPERATURES; INDONESIAN THROUGHFLOW; CLIMATE VARIABILITY; BOUNDARY-CONDITIONS; UNITED-STATES; JOINT INVESTIGATIONS</t>
  </si>
  <si>
    <t>The mid-Piacenzian is known as a period of relative warmth when compared to the present day. A comprehensive understanding of conditions during the Piacenzian serves as both a conceptual model and a source for boundary conditions as well as means of verification of global climate model experiments. In this paper we present the PRISM4 reconstruction, a paleoenvironmental reconstruction of the mid-Piacenzian (similar to 3 Ma) containing data for paleogeography, land and sea ice, sea-surface temperature, vegetation, soils, and lakes. Our retrodicted paleogeography takes into account glacial isostatic adjustments and changes in dynamic topography. Soils and lakes, both significant as land surface features, are introduced to the PRISM reconstruction for the first time. Sea-surface temperature and vegetation reconstructions are unchanged but now have confidence assessments. The PRISM4 reconstruction is being used as boundary condition data for the Pliocene Model Intercomparison Project Phase 2 (PlioMIP2) experiments.</t>
  </si>
  <si>
    <t>[Dowsett, Harry; Robinson, Marci; Foley, Kevin] US Geol Survey, Eastern Geol &amp; Paleoclimate Sci Ctr, Reston, VA 20192 USA; [Dolan, Aisling; Haywood, Alan] Univ Leeds, Sch Earth &amp; Environm, Leeds LS2 9JT, W Yorkshire, England; [Rowley, David] Univ Chicago, Dept Geophys Sci, 5734 S Ellis Ave, Chicago, IL 60637 USA; [Moucha, Robert] Syracuse Univ, Dept Earth Sci, Syracuse, NY 13244 USA; [Forte, Alessandro M.] Univ Florida, Dept Geol Sci, Gainesville, FL 32611 USA; [Forte, Alessandro M.] Univ Quebec, GEOTOP, Montreal, PQ H3C 3P8, Canada; [Mitrovica, Jerry X.] Harvard Univ, Dept Earth &amp; Planetary Sci, 20 Oxford St, Cambridge, MA 02138 USA; [Pound, Matthew; Salzmann, Ulrich] Northumbria Univ, Fac Engn &amp; Environm, Dept Geog, Newcastle Upon Tyne NE1 8ST, Tyne &amp; Wear, England; [Chandler, Mark] Columbia Univ, Ctr Climate Syst Res, New York, NY USA; [Chandler, Mark] NASA, Goddard Inst Space Studies, New York, NY 10025 USA</t>
  </si>
  <si>
    <t>United States Department of the Interior; United States Geological Survey; University of Leeds; University of Chicago; Syracuse University; State University System of Florida; University of Florida; University of Quebec; University of Quebec Montreal; Harvard University; Northumbria University; Columbia University; National Aeronautics &amp; Space Administration (NASA); NASA Goddard Space Flight Center; Goddard Institute for Space Studies</t>
  </si>
  <si>
    <t>Dowsett, H (corresponding author), US Geol Survey, Eastern Geol &amp; Paleoclimate Sci Ctr, Reston, VA 20192 USA.</t>
  </si>
  <si>
    <t>hdowsett@usgs.gov</t>
  </si>
  <si>
    <t>Dolan, Aisling M/D-2625-2012; Salzmann, Ulrich/H-9929-2017</t>
  </si>
  <si>
    <t>Salzmann, Ulrich/0000-0001-5598-5327; Chandler, Mark/0000-0002-6548-227X; Dowsett, Harry/0000-0003-1983-7524; Pound, Matthew/0000-0001-8029-9548; Moucha, Robert/0000-0001-8393-4279; Rowley, David/0000-0001-9767-9029; Forte, Alessandro/0000-0002-3530-0455; Dolan, Aisling/0000-0002-9585-9648</t>
  </si>
  <si>
    <t>US Geological Survey Climate and Land Use Change Research and Development Program; European Research Council under the European Union [278636]; Natural Environment Research Council (NERC) [NE/I016287/1]; Canadian Institute for Advanced Research's Earth System Evolution Program; NASA Modeling, Analysis, and Prediction program (NASA grant) [NNX14AB99A]; NASA High-End Computing (HEC) Program through the NASA Center for Climate Simulation (NCCS) at Goddard Space Flight Center; EPSRC; EPSRC [EP/M008363/1] Funding Source: UKRI; NERC [NE/I016287/1] Funding Source: UKRI; Engineering and Physical Sciences Research Council [EP/M008363/1] Funding Source: researchfish; Natural Environment Research Council [NE/I016287/1] Funding Source: researchfish; NASA [NNX14AB99A, 683859] Funding Source: Federal RePORTER; European Research Council (ERC) [278636] Funding Source: European Research Council (ERC)</t>
  </si>
  <si>
    <t>US Geological Survey Climate and Land Use Change Research and Development Program; European Research Council under the European Union(European Research Council (ERC)); Natural Environment Research Council (NERC)(UK Research &amp; Innovation (UKRI)Natural Environment Research Council (NERC)); Canadian Institute for Advanced Research's Earth System Evolution Program; NASA Modeling, Analysis, and Prediction program (NASA grant); NASA High-End Computing (HEC) Program through the NASA Center for Climate Simulation (NCCS) at Goddard Space Flight Center; EPSRC(UK Research &amp; Innovation (UKRI)Engineering &amp; Physical Sciences Research Council (EPSRC));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 NASA(National Aeronautics &amp; Space Administration (NASA)); European Research Council (ERC)(European Research Council (ERC)Spanish Government)</t>
  </si>
  <si>
    <t>Harry Dowsett, Marci Robinson, and Kevin Foley are supported by the US Geological Survey Climate and Land Use Change Research and Development Program. Aisling Dolan and Alan Haywood acknowledge that this research was completed in receipt of funding from the European Research Council under the European Union's Seventh Framework Programme (FP7/2007-2013)/ERC grant agreement no. 278636. Ulrich Salzmann, Alan Haywood, and Matthew Pound acknowledge funding received from the Natural Environment Research Council (NERC grant NE/I016287/1). David Rowley, Alessandro M. Forte, Jerry X. Mitrovica, and Robert Moucha acknowledge support from the Canadian Institute for Advanced Research's Earth System Evolution Program. Alessandro M. Forte also thanks the Natural Sciences and Engineering Research Council of Canada. Mark Chandler is supported by the NASA Modeling, Analysis, and Prediction program (NASA grant NNX14AB99A) and the NASA High-End Computing (HEC) Program through the NASA Center for Climate Simulation (NCCS) at Goddard Space Flight Center. We thank Daniel Hill, Stephen Hunter, Linda Sohl, and Adam Bloemers for helpful input and Robert Schmunk for the Panoply visualization software. Harry Dowsett, Aisling Dolan, Alan Haywood, Ulrich Salzmann, and Matthew Pound also thank the EPSRC-supported Past Earth Network. This research used samples and/or data provided by the International Ocean Discovery Program (IODP), Ocean Drilling Program (ODP), and Deep Sea Drilling Project (DSDP).</t>
  </si>
  <si>
    <t>10.5194/cp-12-1519-2016</t>
  </si>
  <si>
    <t>DT1XJ</t>
  </si>
  <si>
    <t>WOS:000381275100003</t>
  </si>
  <si>
    <t>Münch, T; Kipfstuhl, S; Freitag, J; Meyer, H; Laepple, T</t>
  </si>
  <si>
    <t>Muench, Thomas; Kipfstuhl, Sepp; Freitag, Johannes; Meyer, Hanno; Laepple, Thomas</t>
  </si>
  <si>
    <t>Regional climate signal vs. local noise: a two-dimensional view of water isotopes in Antarctic firn at Kohnen Station, Dronning Maud Land</t>
  </si>
  <si>
    <t>3 ICE CORES; PAST 2 KYR; TEMPERATURE VARIABILITY; EAST ANTARCTICA; STABLE-ISOTOPES; TIME-SERIES; SNOW; ACCUMULATION; DIFFUSION; RECORDS</t>
  </si>
  <si>
    <t>In low-accumulation regions, the reliability of delta O-18-derived temperature signals from ice cores within the Holocene is unclear, primarily due to the small climate changes relative to the intrinsic noise of the isotopic signal. In order to learn about the representativity of single ice cores and to optimise future ice-core-based climate reconstructions, we studied the stable-water isotope composition of firn at Kohnen Station, Dronning Maud Land, Antarctica. Analysing delta O-18 in two 50m long snow trenches allowed us to create an unprecedented, two-dimensional image characterising the isotopic variations from the centimetre to the 100-metre scale. Our results show seasonal layering of the isotopic composition but also high horizontal isotopic variability caused by local stratigraphic noise. Based on the horizontal and vertical structure of the isotopic variations, we derive a statistical noise model which successfully explains the trench data. The model further allows one to determine an upper bound for the reliability of climate reconstructions conducted in our study region at seasonal to annual resolution, depending on the number and the spacing of the cores taken.</t>
  </si>
  <si>
    <t>[Muench, Thomas; Meyer, Hanno; Laepple, Thomas] Alfred Wegener Inst Helmholtz Ctr Polar &amp; Marine, Telegrafenberg A43, D-14473 Potsdam, Germany; [Muench, Thomas] Univ Potsdam, Inst Phys &amp; Astron, Karl Liebknecht Str 24-25, D-14476 Potsdam, Germany; [Kipfstuhl, Sepp; Freitag, Johannes] Alfred Wegener Inst Helmholtz Ctr Polar &amp; Marine, Alten Hafen 26, D-27568 Bremerhaven, Germany</t>
  </si>
  <si>
    <t>Helmholtz Association; Alfred Wegener Institute, Helmholtz Centre for Polar &amp; Marine Research; University of Potsdam; Helmholtz Association; Alfred Wegener Institute, Helmholtz Centre for Polar &amp; Marine Research</t>
  </si>
  <si>
    <t>Münch, T (corresponding author), Alfred Wegener Inst Helmholtz Ctr Polar &amp; Marine, Telegrafenberg A43, D-14473 Potsdam, Germany.;Münch, T (corresponding author), Univ Potsdam, Inst Phys &amp; Astron, Karl Liebknecht Str 24-25, D-14476 Potsdam, Germany.</t>
  </si>
  <si>
    <t>thomas.muench@awi.de</t>
  </si>
  <si>
    <t>Münch, Thomas/AAC-9281-2019; Meyer, Hanno/AAQ-4260-2021; Laepple, Thomas/M-8783-2015</t>
  </si>
  <si>
    <t>Münch, Thomas/0000-0002-5492-7544; Meyer, Hanno/0000-0003-4129-4706; Laepple, Thomas/0000-0001-8108-7520</t>
  </si>
  <si>
    <t>Initiative and Networking Fund of the Helmholtz Association [VG-NH900]</t>
  </si>
  <si>
    <t>Initiative and Networking Fund of the Helmholtz Association</t>
  </si>
  <si>
    <t>We thank all the scientists, technicians and the logistic support who worked at Kohnen Station in the 2012/2013 austral summer, especially Melanie Behrens, Tobias Binder, Andreas Frenzel, Katja Instenberg, Katharina Klein, Martin Schneebeli, Holger Schubert, Jan Tell and Stefanie Weissbach, for assistance in creating the trench data set. We further thank the technicians of the isotope laboratories in Bremerhaven and Potsdam, especially York Schlomann and Christoph Manthey. All plots and numerical calculations were carried out using the software R: A Language and Environment for Statistical Computing. This work was supported by the Initiative and Networking Fund of the Helmholtz Association Grant VG-NH900. We thank the editor and two anonymous reviewers for their constructive comments that helped to improve the manuscript.</t>
  </si>
  <si>
    <t>10.5194/cp-12-1565-2016</t>
  </si>
  <si>
    <t>WOS:000381275100006</t>
  </si>
  <si>
    <t>Morash, AJ; Mackellar, SRC; Tunnah, L; Barnett, DA; Stehfest, KM; Semmens, JM; Currie, S</t>
  </si>
  <si>
    <t>Morash, Andrea J.; Mackellar, Sara R. C.; Tunnah, Louise; Barnett, David A.; Stehfest, Kilian M.; Semmens, Jayson M.; Currie, Suzanne</t>
  </si>
  <si>
    <t>Pass the salt: physiological consequences of ecologically relevant hyposmotic exposure in juvenile gummy sharks (Mustelus antarcticus) and school sharks (Galeorhinus galeus)</t>
  </si>
  <si>
    <t>CONSERVATION PHYSIOLOGY</t>
  </si>
  <si>
    <t>Climate change; conservation; estuarine; hyposalinity; sharks</t>
  </si>
  <si>
    <t>Estuarine habitats are frequently used as nurseries by elasmobranch species for their protection and abundant resources; however, global climate change is increasing the frequency and severity of environmental challenges in these estuaries that may negatively affect elasmobranch physiology. Hyposmotic events are particularly challenging for marine sharks that osmoconform, and species-specific tolerances are not well known. Therefore, we sought to determine the effects of an acute (48 h) ecologically relevant hyposmotic event (25.8 ppt) on the physiology of two juvenile shark species, namely the school shark (Galeorhinus galeus), listed by the Australian Environmental Protection and Biodiversity Conservation Act as 'conservation dependent', and the gummy shark (Mustelus antarcticus), from the Pittwater Estuary (Australia). In both species, we observed a decrease in plasma osmolality brought about by selective losses of NaCl, urea and trimethylamine N-oxide, as well as decreases in haemoglobin, haematocrit and routine oxygen consumption. Heat-shock protein levels varied between species during the exposure, but we found no evidence of protein damage in any of the tissues tested. Although both species seemed to be able to cope with this level of osmotic challenge, overall the school sharks exhibited higher gill Na+/K+-ATPase activity and ubiquitin concentrations in routine and experimental conditions, a larger heat-shock protein response and a smaller decrease in routine oxygen consumption during the hyposmotic exposure, suggesting that there are species-specific responses that could potentially affect their ability to withstand longer or more severe changes in salinity. Emerging evidence from acoustic monitoring of sharks has indicated variability in the species found in the Pittwater Estuary during hyposmotic events, and together, our data may help to predict species abundance and distribution in the face of future global climate change.</t>
  </si>
  <si>
    <t>[Morash, Andrea J.; Mackellar, Sara R. C.; Tunnah, Louise; Currie, Suzanne] Mt Allison Univ, Dept Biol, Sackville, NB E4L 1G7, Canada; [Barnett, David A.] Atlantic Canc Res Inst, Moncton, NB E1C 8X3, Canada; [Stehfest, Kilian M.; Semmens, Jayson M.] Univ Tasmania, Inst Marine &amp; Antarctic Studies, Fisheries &amp; Aquaculture Ctr, Hobart, Tas 7053, Australia</t>
  </si>
  <si>
    <t>Mount Allison University; University of Tasmania</t>
  </si>
  <si>
    <t>Currie, S (corresponding author), Mt Allison Univ, Dept Biol, Sackville, NB E4L 1G7, Canada.</t>
  </si>
  <si>
    <t>scurrie@mta.ca</t>
  </si>
  <si>
    <t>Semmens, Jayson/0000-0003-1742-6692; Barnett, David/0000-0001-9205-058X</t>
  </si>
  <si>
    <t>Natural Sciences and Engineering Research Council [06177]; Mount Allison University; Winifred Violet Scott Charitable Trust [S0018320]</t>
  </si>
  <si>
    <t>Natural Sciences and Engineering Research Council(Natural Sciences and Engineering Research Council of Canada (NSERC)); Mount Allison University; Winifred Violet Scott Charitable Trust</t>
  </si>
  <si>
    <t>This work was supported by the Natural Sciences and Engineering Research Council Discovery Grant (S.C.; #06177) and Undergraduate Student Research Grant (S.R.C.M.) Programs, Mount Allison University sabbatical funding (S.C.) and Winifred Violet Scott Charitable Trust (J.M.S.; #S0018320).</t>
  </si>
  <si>
    <t>2051-1434</t>
  </si>
  <si>
    <t>CONSERV PHYSIOL</t>
  </si>
  <si>
    <t>Conserv. Physiol.</t>
  </si>
  <si>
    <t>cow036</t>
  </si>
  <si>
    <t>10.1093/conphys/cow036</t>
  </si>
  <si>
    <t>Biodiversity Conservation; Ecology; Environmental Sciences; Physiology</t>
  </si>
  <si>
    <t>Biodiversity &amp; Conservation; Environmental Sciences &amp; Ecology; Physiology</t>
  </si>
  <si>
    <t>VI4YM</t>
  </si>
  <si>
    <t>Green Published, gold, Green Accepted, Green Submitted</t>
  </si>
  <si>
    <t>WOS:000490955500009</t>
  </si>
  <si>
    <t>van Wessem, JM; Ligtenberg, SRM; Reijmer, CH; van de Berg, WJ; van den Broeke, MR; Barrand, NE; Thomas, ER; Turner, J; Wuite, J; Scambos, TA; van Meijgaard, E</t>
  </si>
  <si>
    <t>van Wessem, J. M.; Ligtenberg, S. R. M.; Reijmer, C. H.; van de Berg, W. J.; van den Broeke, M. R.; Barrand, N. E.; Thomas, E. R.; Turner, J.; Wuite, J.; Scambos, T. A.; van Meijgaard, E.</t>
  </si>
  <si>
    <t>The modelled surface mass balance of the Antarctic Peninsula at 5.5km horizontal resolution</t>
  </si>
  <si>
    <t>DIGITAL ELEVATION MODEL; ICE-SHEET; CLIMATE MODEL; PART 1; PRECIPITATION; DRIVEN; SHELF; VARIABILITY; GLACIERS; RADAR</t>
  </si>
  <si>
    <t>This study presents a high-resolution (similar to 5.5 km) estimate of surface mass balance (SMB) over the period 1979-2014 for the Antarctic Peninsula (AP), generated by the regional atmospheric climate model RACMO2.3 and a firn densification model (FDM). RACMO2.3 is used to force the FDM, which calculates processes in the snowpack, such as meltwater percolation, refreezing and runoff. We evaluate model output with 132 in situ SMB observations and discharge rates from six glacier drainage basins, and find that the model realistically simulates the strong spatial variability in precipitation, but that significant biases remain as a result of the highly complex topography of the AP. It is also clear that the observations significantly underrepresent the high-accumulation regimes, complicating a full model evaluation. The SMB map reveals large accumulation gradients, with precipitation values above 3000 mm we yr(-1) in the western AP (WAP) and below 500 mm we yr(-1) in the eastern AP (EAP), not resolved by coarser data sets such as ERA-Interim. The average AP ice-sheet-integrated SMB, including ice shelves (an area of 4.1 x 10(5) km(2)), is estimated at 351 Gt yr(-1) with an interannual variability of 58 Gt yr(-1), which is dominated by precipitation (PR) (365 +/- 57 Gt yr(-1)). The WAP (2.4 x 10(5) km(2)) SMB (276 +/- 47 Gt yr(-1)), where PR is large (276 +/- 47 Gt yr(-1)), dominates over the EAP (1.7 x 10(5) km(2)) SMB (75 +/- 11 Gt yr(-1)) and PR (84 +/- 11 Gt yr(-1)). Total sublimation is 11 +/- 2 Gt yr(-1) and meltwater runoff into the ocean is 4 +/- 4 Gt yr(-1). There are no significant trends in any of the modelled AP SMB components, except for snowmelt that shows a significant decrease over the last 36 years (-0.36 Gt yr(-2)).</t>
  </si>
  <si>
    <t>[van Wessem, J. M.; Ligtenberg, S. R. M.; Reijmer, C. H.; van de Berg, W. J.; van den Broeke, M. R.] Univ Utrecht, Inst Marine &amp; Atmospher Res Utrecht, Utrecht, Netherlands; [Barrand, N. E.] Univ Birmingham, Sch Geog Earth &amp; Environm Sci, Birmingham, W Midlands, England; [Thomas, E. R.; Turner, J.] British Antarctic Survey, Cambridge CB3 0ET, England; [Wuite, J.] ENVEO IT GmbH, Innsbruck, Austria; [Scambos, T. A.] Univ Colorado, Natl Snow &amp; Ice Data Ctr, Boulder, CO 80309 USA; [van Meijgaard, E.] Royal Netherlands Meteorol Inst, POB 201, NL-3730 AE De Bilt, Netherlands</t>
  </si>
  <si>
    <t>Utrecht University; University of Birmingham; UK Research &amp; Innovation (UKRI); Natural Environment Research Council (NERC); NERC British Antarctic Survey; University of Colorado System; University of Colorado Boulder; Royal Netherlands Meteorological Institute</t>
  </si>
  <si>
    <t>van Wessem, JM (corresponding author), Univ Utrecht, Inst Marine &amp; Atmospher Res Utrecht, Utrecht, Netherlands.</t>
  </si>
  <si>
    <t>j.m.vanwessem@uu.nl</t>
  </si>
  <si>
    <t>Thomas, Elizabeth Ruth/ADF-3660-2022; Reijmer, Carleen H/G-8736-2011; Ligtenberg, Stefan/AAF-8290-2020; van Wessem, Melchior/AAB-1987-2019; Van den Broeke, Michiel R./F-7867-2011; van de Berg, Willem Jan/H-4385-2011</t>
  </si>
  <si>
    <t>Thomas, Elizabeth Ruth/0000-0002-3010-6493; Reijmer, Carleen H/0000-0001-8299-3883; Van den Broeke, Michiel R./0000-0003-4662-7565; van de Berg, Willem Jan/0000-0002-8232-2040; Wuite, Jan/0000-0001-9333-1586; SCAMBOS, Ted A./0000-0003-4268-6322; Barrand, Nicholas/0000-0003-4428-1863</t>
  </si>
  <si>
    <t>NWO/ALW; Netherlands Polar Programme; Netherlands Earth System Science Centre (NESSC); NERC [bas0100032, bas0100034, NE/J020710/1] Funding Source: UKRI; Natural Environment Research Council [bas0100034, NE/J020710/1, bas0100032] Funding Source: researchfish</t>
  </si>
  <si>
    <t>NWO/ALW(Netherlands Organization for Scientific Research (NWO)); Netherlands Polar Programme; Netherlands Earth System Science Centre (NESSC); NERC(UK Research &amp; Innovation (UKRI)Natural Environment Research Council (NERC)); Natural Environment Research Council(UK Research &amp; Innovation (UKRI)Natural Environment Research Council (NERC))</t>
  </si>
  <si>
    <t>We are grateful for the financial support of NWO/ALW, Netherlands Polar Programme and the Netherlands Earth System Science Centre (NESSC). We thank the ECMWF for the use of their supercomputing facilities. Graphics and calculations were made using the NCAR Command Language ( Version 6.2.1, 2014). We thank Nerilie Abram for providing us with the James Ross ice core data.</t>
  </si>
  <si>
    <t>10.5194/tc-10-271-2016</t>
  </si>
  <si>
    <t>WOS:000377602600017</t>
  </si>
  <si>
    <t>Bondzio, JH; Seroussi, H; Morlighem, M; Kleiner, T; Rückamp, M; Humbert, A; Larour, EY</t>
  </si>
  <si>
    <t>Bondzio, Johannes H.; Seroussi, Helene; Morlighem, Mathieu; Kleiner, Thomas; Rueckamp, Martin; Humbert, Angelika; Larour, Eric Y.</t>
  </si>
  <si>
    <t>Modelling calving front dynamics using a level-set method: application to Jakobshavn Isbrae, West Greenland</t>
  </si>
  <si>
    <t>SPEED-UP; GLACIER; EVOLUTION; FLOW</t>
  </si>
  <si>
    <t>Calving is a major mechanism of ice discharge of the Antarctic and Greenland ice sheets, and a change in calving front position affects the entire stress regime of marine terminating glaciers. The representation of calving front dynamics in a 2-D or 3-D ice sheet model remains non-trivial. Here, we present the theoretical and technical framework for a level-set method, an implicit boundary tracking scheme, which we implement into the Ice Sheet System Model (ISSM). This scheme allows us to study the dynamic response of a drainage basin to user-defined calving rates. We apply the method to Jakobshavn Isbr', a major marine terminating outlet glacier of the West Greenland Ice Sheet. The model robustly reproduces the high sensitivity of the glacier to calving, and we find that enhanced calving triggers significant acceleration of the ice stream. Upstream acceleration is sustained through a combination of mechanisms. However, both lateral stress and ice influx stabilize the ice stream. This study provides new insights into the ongoing changes occurring at Jakobshavn Isbr' and emphasizes that the incorporation of moving boundaries and dynamic lateral effects, not captured in flow-line models, is key for realistic model projections of sea level rise on centennial timescales.</t>
  </si>
  <si>
    <t>[Bondzio, Johannes H.; Kleiner, Thomas; Rueckamp, Martin; Humbert, Angelika] Helmholtz Ctr Polar &amp; Marine Res, Alfred Wegener Inst, Bremerhaven, Germany; [Seroussi, Helene; Larour, Eric Y.] CALTECH, Jet Prop Lab, Pasadena, CA USA; [Morlighem, Mathieu] Univ Calif Irvine, Dept Earth Syst Sci, Irvine, CA USA; [Humbert, Angelika] Univ Bremen, Fac Geosci 05, Bremen, Germany</t>
  </si>
  <si>
    <t>Helmholtz Association; Alfred Wegener Institute, Helmholtz Centre for Polar &amp; Marine Research; National Aeronautics &amp; Space Administration (NASA); NASA Jet Propulsion Laboratory (JPL); California Institute of Technology; University of California System; University of California Irvine; University of Bremen</t>
  </si>
  <si>
    <t>Bondzio, JH (corresponding author), Helmholtz Ctr Polar &amp; Marine Res, Alfred Wegener Inst, Bremerhaven, Germany.</t>
  </si>
  <si>
    <t>jbondzio@uci.edu</t>
  </si>
  <si>
    <t>Kleiner, Thomas/F-6821-2015; Morlighem, Mathieu/O-9942-2014; Seroussi, Helene/AAX-5342-2021</t>
  </si>
  <si>
    <t>Kleiner, Thomas/0000-0001-7825-5765; Morlighem, Mathieu/0000-0001-5219-1310; Seroussi, Helene/0000-0001-9201-1644; Humbert, Angelika/0000-0002-0244-8760; Ruckamp, Martin/0000-0003-2512-7238</t>
  </si>
  <si>
    <t>National Aeronautics and Space Administration, Cryospheric Sciences, and Modeling, Analysis and Prediction programs</t>
  </si>
  <si>
    <t>A. Humbert acknowledges support of the DLR proposal HYD2059 which provides TerraSAR-X data for the project HGF-Alliance Remote Sensing and Earth System Dynamics. H. Seroussi, M. Morlighem, and E. Y. Larour are supported by grants from the National Aeronautics and Space Administration, Cryospheric Sciences, and Modeling, Analysis and Prediction programs. The authors thank the referees G. Jouvet and J. Bassis as well as the editor O. Gagliardini for their helpful and insightful comments.</t>
  </si>
  <si>
    <t>10.5194/tc-10-497-2016</t>
  </si>
  <si>
    <t>WOS:000379411800002</t>
  </si>
  <si>
    <t>Gudlaugsson, E; Humbert, A; Kleiner, T; Kohler, J; Andreassen, K</t>
  </si>
  <si>
    <t>Gudlaugsson, Eythor; Humbert, Angelika; Kleiner, Thomas; Kohler, Jack; Andreassen, Karin</t>
  </si>
  <si>
    <t>The influence of a model subglacial lake on ice dynamics and internal layering</t>
  </si>
  <si>
    <t>EAST ANTARCTICA; ISOCHRONE GEOMETRY; SHEET MODEL; FLOW; BENEATH; VOSTOK; RADAR; INVENTORY; STABILITY; THICKNESS</t>
  </si>
  <si>
    <t>As ice flows over a subglacial lake, the drop in bed resistance leads to an increase in ice velocities and a draw down of isochrones and cold ice. The ice surface flattens as it adjusts to the lack of resisting forces at the base. The rapid transition in velocity induces changes in ice viscosity and releases deformation energy that can raise the temperature locally. Recent studies of Antarctic subglacial lakes indicate that many lakes experience very fast and possibly episodic drainage, during which the lake size is rapidly reduced as water flows out. Questions that arise are what effect this would have on internal layers within the ice and whether such past drainage events could be inferred from isochrone structures downstream. Here, we study the effect of a subglacial lake on ice dynamics as well as the influence that such short timescale drainage would have on the internal layers of the ice. To this end, we use a full Stokes, polythermal ice flow model. An enthalpy-gradient method is used to account for the evolution of temperature and water content within the ice. We find that a rapid transition between slow-moving ice outside the lake, and full sliding over the lake, can release considerable amounts of deformational energy, with the potential to form a temperate layer at depth in the transition zone. In addition, we provide an explanation for a characteristic surface feature commonly seen at the edges of subglacial lakes, a hummocky surface depression in the transition zone between little to full sliding. We also conclude that rapid changes in the horizontal extent of subglacial lakes and slippery patches, compared to the average ice column velocity, can create a traveling wave at depth within the isochrone structure that transfers downstream with the advection of ice, thus indicating the possibility of detecting past drainage events with ice penetrating radar.</t>
  </si>
  <si>
    <t>[Gudlaugsson, Eythor; Andreassen, Karin] UiT Arctic Univ Norway, Dept Geol, Ctr Arctic Gas Hydrate Environm &amp; Climate CAGE, Tromso, Norway; [Humbert, Angelika; Kleiner, Thomas] Helmholtz Ctr Polar &amp; Marine Res, Alfred Wegener Inst, Sect Glaciol, Bremerhaven, Germany; [Humbert, Angelika] Univ Bremen, Dept Geosci, Bremen, Germany; [Kohler, Jack] Norwegian Polar Res Inst, Fram Ctr, Tromso, Norway</t>
  </si>
  <si>
    <t>UiT The Arctic University of Tromso; Helmholtz Association; Alfred Wegener Institute, Helmholtz Centre for Polar &amp; Marine Research; University of Bremen; Norwegian Polar Institute</t>
  </si>
  <si>
    <t>Gudlaugsson, E (corresponding author), UiT Arctic Univ Norway, Dept Geol, Ctr Arctic Gas Hydrate Environm &amp; Climate CAGE, Tromso, Norway.</t>
  </si>
  <si>
    <t>eythor.gudlaugsson@uit.no</t>
  </si>
  <si>
    <t>Kleiner, Thomas/F-6821-2015</t>
  </si>
  <si>
    <t>Kleiner, Thomas/0000-0001-7825-5765; Andreassen, Karin/0000-0002-9407-526X; Kohler, Jack/0000-0003-1963-054X; Humbert, Angelika/0000-0002-0244-8760</t>
  </si>
  <si>
    <t>Research Council of Norway (RCN), Statoil, Det Norske ASA and BG group, Norway [200672]; Research School in Arctic Marine Geology and Geophysics (AMGG) at the University of Tromso; RCN [223259]</t>
  </si>
  <si>
    <t>Research Council of Norway (RCN), Statoil, Det Norske ASA and BG group, Norway; Research School in Arctic Marine Geology and Geophysics (AMGG) at the University of Tromso; RCN</t>
  </si>
  <si>
    <t>Funding for this work came from the Research Council of Norway (RCN), Statoil, Det Norske ASA and BG group, Norway (grant 200672), to the PetroMaks project Glaciations in the Barents Sea area (GlaciBar), and from the Research School in Arctic Marine Geology and Geophysics (AMGG) at the University of Tromso. This is also a contribution to the Centre of Excellence: Arctic Gas Hydrate, Environment and Climate (CAGE) funded by RCN (grant 223259). In addition, we would like to thank Nina Wilkens and Martin Ruckamp for help with getting started with COMSOL, the Stallo support team for invaluable assistance, and Gwendolyn Leysinger Vieli, as well as one anonymous reviewer and the editor Robert Bingham for constructive reviews and comments that greatly improved the quality of the manuscript.</t>
  </si>
  <si>
    <t>10.5194/tc-10-751-2016</t>
  </si>
  <si>
    <t>WOS:000379411800019</t>
  </si>
  <si>
    <t>Drews, R; Brown, J; Matsuoka, K; Witrant, E; Philippe, M; Hubbard, B; Pattyn, F</t>
  </si>
  <si>
    <t>Drews, Reinhard; Brown, Joel; Matsuoka, Kenichi; Witrant, Emmanuel; Philippe, Morgane; Hubbard, Bryn; Pattyn, Frank</t>
  </si>
  <si>
    <t>Constraining variable density of ice shelves using wide-angle radar measurements</t>
  </si>
  <si>
    <t>PINE ISLAND GLACIER; POLAR FIRN; ACCUMULATION-RATE; BASAL CHANNELS; ANTARCTICA; DENSIFICATION; BENEATH; MODEL; CORE; RESOLUTION</t>
  </si>
  <si>
    <t>The thickness of ice shelves, a basic parameter for mass balance estimates, is typically inferred using hydrostatic equilibrium, for which knowledge of the depth-averaged density is essential. The densification from snow to ice depends on a number of local factors (e.g., temperature and surface mass balance) causing spatial and temporal variations in density-depth profiles. However, direct measurements of firn density are sparse, requiring substantial logistical effort. Here, we infer density from radio-wave propagation speed using ground-based wide-angle radar data sets (10aEuro-MHz) collected at five sites on Roi Baudouin Ice Shelf (RBIS), Dronning Maud Land, Antarctica. We reconstruct depth to internal reflectors, local ice thickness, and firn-air content using a novel algorithm that includes traveltime inversion and ray tracing with a prescribed shape of the depth-density relationship. For the particular case of an ice-shelf channel, where ice thickness and surface slope change substantially over a few kilometers, the radar data suggest that firn inside the channel is about 5aEuro-% denser than outside the channel. Although this density difference is at the detection limit of the radar, it is consistent with a similar density anomaly reconstructed from optical televiewing, which reveals that the firn inside the channel is 4.7aEuro-% denser than that outside the channel. Hydrostatic ice thickness calculations used for determining basal melt rates should account for the denser firn in ice-shelf channels. The radar method presented here is robust and can easily be adapted to different radar frequencies and data-acquisition geometries.</t>
  </si>
  <si>
    <t>[Drews, Reinhard; Philippe, Morgane; Pattyn, Frank] Univ Libre Bruxelles, Lab Glaciol, Brussels, Belgium; [Brown, Joel] Aesir Consulting LLC, Missoula, MT USA; [Matsuoka, Kenichi] Norwegian Polar Res Inst, Tromso, Norway; [Witrant, Emmanuel] Univ Grenoble Alpes, CNRS, Grenoble Image Parole Signal Automat, Grenoble, France; [Hubbard, Bryn] Aberystwyth Univ, Aberystwyth, Dyfed, Wales</t>
  </si>
  <si>
    <t>Universite Libre de Bruxelles; Norwegian Polar Institute; Communaute Universite Grenoble Alpes; Universite Grenoble Alpes (UGA); Centre National de la Recherche Scientifique (CNRS); Aberystwyth University</t>
  </si>
  <si>
    <t>Drews, R (corresponding author), Univ Libre Bruxelles, Lab Glaciol, Brussels, Belgium.</t>
  </si>
  <si>
    <t>rdrews@ulb.ac.be</t>
  </si>
  <si>
    <t>Drews, reinhard/AAP-4134-2021; Pattyn, Frank/AAA-9640-2019; Matsuoka, Kenichi/B-7298-2017</t>
  </si>
  <si>
    <t>Drews, reinhard/0000-0002-2328-294X; Pattyn, Frank/0000-0003-4805-5636; Matsuoka, Kenichi/0000-0002-3587-3405; Hubbard, Bryn/0000-0002-3565-3875</t>
  </si>
  <si>
    <t>Belgian Federal Science Policy Office [SD/SA/06A]; FNRS-FRFC (Fonds de la Recherche Scientifique) project IDyRA; InBev Baillet Latour Antarctica Fellowship; Fonds David et Alice Van Buuren</t>
  </si>
  <si>
    <t>Belgian Federal Science Policy Office(Belgian Federal Science Policy Office); FNRS-FRFC (Fonds de la Recherche Scientifique) project IDyRA(Fonds de la Recherche Scientifique - FNRS); InBev Baillet Latour Antarctica Fellowship; Fonds David et Alice Van Buuren</t>
  </si>
  <si>
    <t>This paper forms a contribution to the Belgian Research Programme on the Antarctic (Belgian Federal Science Policy Office), project SD/SA/06A Constraining ice mass changes in Antarctica (IceCon), as well as the FNRS-FRFC (Fonds de la Recherche Scientifique) project IDyRA. We thank the InBev Baillet Latour Antarctica Fellowship for financing the RBIS fieldwork and the International Polar Foundation for providing all required logistics in the field. We thank in particular A. Hubert, K. Moerman, K. Soete, and L. Favier for support in the field. Morgane Philippe is partially funded through a grant from the Fonds David et Alice Van Buuren. The comments of two reviewers and the editor R. Bingham have improved the initial version of this manuscript. A version of the code is accessible on request and on GitHub (https://github.com/rdrews/).</t>
  </si>
  <si>
    <t>10.5194/tc-10-811-2016</t>
  </si>
  <si>
    <t>WOS:000379411800024</t>
  </si>
  <si>
    <t>Schwegmann, S; Rinne, E; Ricker, R; Hendricks, S; Helm, V</t>
  </si>
  <si>
    <t>Schwegmann, Sandra; Rinne, Eero; Ricker, Robert; Hendricks, Stefan; Helm, Veit</t>
  </si>
  <si>
    <t>About the consistency between Envisat and CryoSat-2 radar freeboard retrieval over Antarctic sea ice</t>
  </si>
  <si>
    <t>WEDDELL SEA; THICKNESS DISTRIBUTION; ALTIMETER MEASUREMENTS; AIRBORNE LASER; AMUNDSEN SEAS; BELLINGSHAUSEN; MISSION; COVER</t>
  </si>
  <si>
    <t>Knowledge about Antarctic sea-ice volume and its changes over the past decades has been sparse due to the lack of systematic sea-ice thickness measurements in this remote area. Recently, first attempts have been made to develop a sea-ice thickness product over the Southern Ocean from space-borne radar altimetry and results look promising. Today, more than 20 years of radar altimeter data are potentially available for such products. However, the characteristics of individual radar types differ for the available altimeter missions. Hence, it is important and our goal to study the consistency between single sensors in order to develop long and consistent time series. Here, the consistency between freeboard measurements of the Radar Altimeter 2 on board Envisat and freeboard measurements from the Synthetic-Aperture Interferometric Radar Altimeter on board CryoSat-2 is tested for their overlap period in 2011. Results indicate that mean and modal values are in reasonable agreement over the sea-ice growth season (May-October) and partly also beyond. In general, Envisat data show higher freeboards in the first-year ice zone while CryoSat-2 freeboards are higher in the multiyear ice zone and near the coasts. This has consequences for the agreement in individual sectors of the Southern Ocean, where one or the other ice class may dominate. Nevertheless, over the growth season, mean freeboard for the entire (regionally separated) Southern Ocean differs generally by not more than 3aEuro-cm (8aEuro-cm, with few exceptions) between Envisat and CryoSat-2, and the differences between modal freeboards lie generally within +/- 10aEuro-cm and often even below.</t>
  </si>
  <si>
    <t>[Schwegmann, Sandra; Ricker, Robert; Hendricks, Stefan; Helm, Veit] Helmholtz Ctr Polar &amp; Marine Res, Alfred Wegener Inst, Handelshafen 12, D-27570 Bremerhaven, Germany; [Rinne, Eero] Finnish Meteorol Inst, Marine Res, Erik Palmenin Aukio 1, Helsinki 00560, Finland</t>
  </si>
  <si>
    <t>Helmholtz Association; Alfred Wegener Institute, Helmholtz Centre for Polar &amp; Marine Research; Finnish Meteorological Institute</t>
  </si>
  <si>
    <t>Schwegmann, S (corresponding author), Helmholtz Ctr Polar &amp; Marine Res, Alfred Wegener Inst, Handelshafen 12, D-27570 Bremerhaven, Germany.</t>
  </si>
  <si>
    <t>sandra.schwegmann@bsh.de</t>
  </si>
  <si>
    <t>Ricker, Robert/Z-4214-2019; Hendricks, Stefan/D-5168-2011</t>
  </si>
  <si>
    <t>Ricker, Robert/0000-0001-6928-7757; Hendricks, Stefan/0000-0002-1412-3146; Rinne, Eero/0000-0002-4796-3387; Helm, Veit/0000-0001-7788-9328; Schwegmann, Sandra/0000-0002-3102-7279</t>
  </si>
  <si>
    <t>European Space Agency Climate Change Initiative Sea Ice projects [SK-ESA-2012-12, NERSC-ESA-2014-2]; German Federal Ministry of Economics and Technology [50EE1331]</t>
  </si>
  <si>
    <t>European Space Agency Climate Change Initiative Sea Ice projects; German Federal Ministry of Economics and Technology(Federal Ministry for Economic Affairs and Energy (BMWi))</t>
  </si>
  <si>
    <t>This research was funded by the European Space Agency Climate Change Initiative Sea Ice projects SK-ESA-2012-12 and NERSC-ESA-2014-2. The work of Stefan Hendricks and Veit Helm was funded by the German Federal Ministry of Economics and Technology (grant 50EE1331). We would like to thank ESA, OSI SAF and DTU for providing all the data needed for freeboard processing and the editor and the reviewers for their valuable comments.</t>
  </si>
  <si>
    <t>10.5194/tc-10-1415-2016</t>
  </si>
  <si>
    <t>WOS:000379422700004</t>
  </si>
  <si>
    <t>Overduin, PP; Wetterich, S; Günther, F; Grigoriev, MN; Grosse, G; Schirrmeister, L; Hubberten, HW; Makarov, A</t>
  </si>
  <si>
    <t>Overduin, Pier Paul; Wetterich, Sebastian; Guenther, Frank; Grigoriev, Mikhail N.; Grosse, Guido; Schirrmeister, Lutz; Hubberten, Hans-Wolfgang; Makarov, Aleksandr</t>
  </si>
  <si>
    <t>Coastal dynamics and submarine permafrost in shallow water of the central Laptev Sea, East Siberia</t>
  </si>
  <si>
    <t>DELTA; DEGRADATION; CLIMATE; SHELF; ICE</t>
  </si>
  <si>
    <t>Coastal erosion and flooding transform terrestrial landscapes into marine environments. In the Arctic, these processes inundate terrestrial permafrost with seawater and create submarine permafrost. Permafrost begins to warm under marine conditions, which can destabilize the sea floor and may release greenhouse gases. We report on the transition of terrestrial to submarine permafrost at a site where the timing of inundation can be inferred from the rate of coastline retreat. On Muostakh Island in the central Laptev Sea, East Siberia, changes in annual coastline position have been measured for decades and vary highly spatially. We hypothesize that these rates are inversely related to the inclination of the upper surface of submarine ice-bonded permafrost (IBP) based on the consequent duration of inundation with increasing distance from the shoreline. We compared rapidly eroding and stable coastal sections of Muostakh Island and find permafrost-table inclinations, determined using direct current resistivity, of 1 and 5 %, respectively. Determinations of submarine IBP depth from a drilling transect in the early 1980s were compared to resistivity profiles from 2011. Based on borehole observations, the thickness of unfrozen sediment overlying the IBP increased from 0 to 14 m below sea level with increasing distance from the shoreline. The geoelectrical profiles showed thickening of the unfrozen sediment overlying ice-bonded permafrost over the 28 years since drilling took place. We use geoelectrical estimates of IBP depth to estimate permafrost degradation rates since inundation. Degradation rates decreased from over 0.4aEuro-maEuro-a(-1) following inundation to around 0.1aEuro-maEuro-a(-1) at the latest after 60 to 110 years and remained constant at this level as the duration of inundation increased to 250 years. We suggest that long-term rates are lower than these values, as the depth to the IBP increases and thermal and porewater solute concentration gradients over depth decrease. For the study region, recent increases in coastal erosion rate and changes in benthic temperature and salinity regimes are expected to affect the depth to submarine permafrost, leading to coastal regions with shallower IBP.</t>
  </si>
  <si>
    <t>[Overduin, Pier Paul; Wetterich, Sebastian; Guenther, Frank; Grosse, Guido; Schirrmeister, Lutz; Hubberten, Hans-Wolfgang] Helmholtz Ctr Polar &amp; Marine Res, Alfred Wegener Inst, Potsdam, Germany; [Grigoriev, Mikhail N.] RAS, Melnikov Permafrost Inst, SB, Yakutsk, Russia; [Makarov, Aleksandr] Arctic &amp; Antarctic Res Inst, St Petersburg, Russia</t>
  </si>
  <si>
    <t>Helmholtz Association; Alfred Wegener Institute, Helmholtz Centre for Polar &amp; Marine Research; Russian Academy of Sciences; Melnikov Permafrost Institute, Siberian Branch of the RAS; Arctic &amp; Antarctic Research Institute</t>
  </si>
  <si>
    <t>Overduin, PP (corresponding author), Helmholtz Ctr Polar &amp; Marine Res, Alfred Wegener Inst, Potsdam, Germany.</t>
  </si>
  <si>
    <t>paul.overduin@awi.de</t>
  </si>
  <si>
    <t>Overduin, Paul P/B-3258-2017; Grosse, Guido/F-5018-2011; Schirrmeister, Lutz/AGW-0545-2022; Wetterich, Sebastian/AAD-6569-2019; Schirrmeister, Lutz/O-5584-2015; Günther, Frank/O-5226-2015</t>
  </si>
  <si>
    <t>Overduin, Paul P/0000-0001-9849-4712; Grosse, Guido/0000-0001-5895-2141; Schirrmeister, Lutz/0000-0001-9455-0596; Wetterich, Sebastian/0000-0001-9234-1192; Schirrmeister, Lutz/0000-0001-9455-0596; Günther, Frank/0000-0001-8298-8937</t>
  </si>
  <si>
    <t>Helmholtz Association of Research Centres (HGF) Joint Russian-German Research Group [HGF JRG 100]</t>
  </si>
  <si>
    <t>Helmholtz Association of Research Centres (HGF) Joint Russian-German Research Group</t>
  </si>
  <si>
    <t>This work was funded by a Helmholtz Association of Research Centres (HGF) Joint Russian-German Research Group (HGF JRG 100). SPOT imagery was provided by SPOT Planet Action - an Astrium GEO initiative (project: Coastal erosion in East Siberia). Invaluable logistical support was provided by the Russian Hydrogeological Service in Tiksi, the Lena Delta Reserve and Waldemar Schneider.</t>
  </si>
  <si>
    <t>10.5194/tc-10-1449-2016</t>
  </si>
  <si>
    <t>WOS:000379422700007</t>
  </si>
  <si>
    <t>Burton-Johnson, A; Black, M; Fretwell, PT; Kaluza-Gilbert, J</t>
  </si>
  <si>
    <t>Burton-Johnson, Alex; Black, Martin; Fretwell, Peter T.; Kaluza-Gilbert, Joseph</t>
  </si>
  <si>
    <t>An automated methodology for differentiating rock from snow, clouds and sea in Antarctica from Landsat 8 imagery: a new rock outcrop map and area estimation for the entire Antarctic continent</t>
  </si>
  <si>
    <t>GLACIER INVENTORY; SATELLITE; COVER; SHADOW</t>
  </si>
  <si>
    <t>As the accuracy and sensitivity of remote-sensing satellites improve, there is an increasing demand for more accurate and updated base datasets for surveying and monitoring. However, differentiating rock outcrop from snow and ice is a particular problem in Antarctica, where extensive cloud cover and widespread shaded regions lead to classification errors. The existing rock outcrop dataset has significant georeferencing issues as well as overestimation and generalisation of rock exposure areas. The most commonly used method for automated rock and snow differentiation, the normalised difference snow index (NDSI), has difficulty differentiating rock and snow in Antarctica due to misclassification of shaded pixels and is not able to differentiate illuminated rock from clouds. This study presents a new method for identifying rock exposures using Landsat 8 data. This is the first automated methodology for snow and rock differentiation that excludes areas of snow (both illuminated and shaded), clouds and liquid water whilst identifying both sunlit and shaded rock, achieving higher and more consistent accuracies than alternative data and methods such as the NDSI. The new methodology has been applied to the whole Antarctic continent (north of 82 degrees 40'S) using Landsat 8 data to produce a new rock outcrop dataset for Antarctica. The new data (merged with existing data where Landsat 8 tiles are unavailable; most extensively south of 82 degrees 40'S) reveal that exposed rock forms 0.18%(21 745 km(2)) of the total land area of Antarctica: half of previous estimates.</t>
  </si>
  <si>
    <t>[Burton-Johnson, Alex; Black, Martin; Fretwell, Peter T.] British Antarctic Survey, Cambridge CB3 OET, England; [Black, Martin] Univ Hull, Dept Geog Environm &amp; Earth Sci, Kingston Upon Hull HU6 7RX, N Humberside, England; [Kaluza-Gilbert, Joseph] Univ Birmingham, Sch Geog Earth &amp; Environm Sci, Birmingham B15 2TT, W Midlands, England</t>
  </si>
  <si>
    <t>UK Research &amp; Innovation (UKRI); Natural Environment Research Council (NERC); NERC British Antarctic Survey; University of Hull; University of Birmingham</t>
  </si>
  <si>
    <t>Burton-Johnson, A (corresponding author), British Antarctic Survey, Cambridge CB3 OET, England.</t>
  </si>
  <si>
    <t>alerto@bas.ac.uk</t>
  </si>
  <si>
    <t>Burton-Johnson, Alex/0000-0003-2208-0075</t>
  </si>
  <si>
    <t>Natural Environment Research Council (NERC); NERC [NE/K50094X/1]; NERC [bas0100029] Funding Source: UKRI; Natural Environment Research Council [bas0100029] Funding Source: researchfish</t>
  </si>
  <si>
    <t>Natural Environment Research Council (NERC)(UK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</si>
  <si>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Allen Pope and our anonymous second reviewer for their positive, helpful and thorough reviews. This study is part of the British Antarctic Survey Polar Science for Planet Earth programme, funded by the Natural Environment Research Council (NERC). Martin Black was funded by a NERC research studentship (NE/K50094X/1).</t>
  </si>
  <si>
    <t>10.5194/tc-10-1665-2016</t>
  </si>
  <si>
    <t>DT1BZ</t>
  </si>
  <si>
    <t>WOS:000381218000011</t>
  </si>
  <si>
    <t>López-Martínez, J; Schmid, T; Serrano, E; Mink, S; Nieto, A; Guillaso, S</t>
  </si>
  <si>
    <t>Lopez-Martinez, J.; Schmid, T.; Serrano, E.; Mink, S.; Nieto, A.; Guillaso, S.</t>
  </si>
  <si>
    <t>GEOMORPHOLOGY AND SURFACE LANDFORMS DISTRIBUTION IN SELECTED ICE-FREE AREAS IN THE SOUTH SHETLAND ISLANDS, NORTHERN ANTARCTIC PENINSULA REGION</t>
  </si>
  <si>
    <t>glacial; periglacial; coastal; geomorphological mapping; remote sensing; Antarctica</t>
  </si>
  <si>
    <t>KING GEORGE ISLAND; LIVINGSTON ISLAND; BYERS PENINSULA; MARITIME ANTARCTICA; FILDES PENINSULA; CRYOSOLS; SOILS; COMMUNITIES; TEMPERATURE; PERMAFROST</t>
  </si>
  <si>
    <t>Ice-free areas cover a small percentage of the land in the South Shetland Islands. However, they are significant as they contain ecosystems highly sensitive to environmental changes and are located within a region very much affected by global warming. These areas are dominated by periglacial, glacial, fluvial, and coastal processes and landforms, where permafrost is often present. Soil development is observed although vegetation cover is sparse and closely related to the geomorphology. The mapping and monitoring of ice-free areas is important as they are highly sensitive to climate change. The objective of this study was to characterize and map surface landforms in ice-free areas using traditional mapping methods as well as advanced remote sensing techniques. Geomorphological and topographical maps were initially obtained through field measurements and observations, and complemented with existing aerial photography at scales between 1:2000 and 1:25,000. Thereafter, satellite-borne data became available and were included in the methodology to further determine the distribution of the landforms. In the Antarctic environment, Synthetic Aperture Radar (SAR) provides the most reliable images as data can be obtained in any weather conditions as well as during the day and night. Fully polarimetric SAR RADARSAT-2 were used to determine seven different terrain classes representing surface landforms in ice-free areas around Maxwell Bay (King George Island). The SAR remote sensing techniques were successfully applied to identify different periglacial, fluvial, glacial, coastal, as well as lithological landforms. Field data from Fildes Peninsula were used to train a supervised classifier to map further areas around Maxwell Bay. In this case, the ice-free areas around Maxwell Bay clearly show the dominance of periglacial landforms and processes. Therefore, these techniques can be used to compare past and future results and to monitor areas affected by changing environmental factors and increasing human activities.</t>
  </si>
  <si>
    <t>[Lopez-Martinez, J.; Mink, S.] Univ Autonoma Madrid, Fac Ciencias, Dept Geol &amp; Geoquim, E-28049 Madrid, Spain; [Schmid, T.] CIEMAT, Dept Medio Ambiente, Madrid, Spain; [Serrano, E.] Univ Valladolid, Dept Geog, E-47002 Valladolid, Spain; [Mink, S.] Inst Geol &amp; Minero Espana, Madrid, Spain; [Guillaso, S.] Tech Univ Berlin, Comp Vis &amp; Remote Sensing Grp, Berlin, Germany</t>
  </si>
  <si>
    <t>Autonomous University of Madrid; Centro de Investigaciones Energeticas, Medioambientales Tecnologicas; Universidad de Valladolid; Technical University of Berlin</t>
  </si>
  <si>
    <t>SERRANO, ENRIQUE/AAH-7986-2020; Lopez-Martinez, Jeronimo/C-5744-2011; Schmid, Thomas/L-3397-2014</t>
  </si>
  <si>
    <t>SERRANO, ENRIQUE/0000-0001-9760-3876; Lopez-Martinez, Jeronimo/0000-0002-1750-8287; Schmid, Thomas/0000-0002-2849-4730; Guillaso, Stephane/0000-0001-9805-9390</t>
  </si>
  <si>
    <t>10.18172/cig.2965</t>
  </si>
  <si>
    <t>WOS:000384226300008</t>
  </si>
  <si>
    <t>Oliva, M; Antoniades, D; Giralt, S; Granados, I; Pla-Rabes, S; Toro, M; Sanjurjo, J</t>
  </si>
  <si>
    <t>Oliva, M.; Antoniades, D.; Giralt, S.; Granados, I; Pla-Rabes, S.; Toro, M.; Sanjurjo, J.</t>
  </si>
  <si>
    <t>The deglaciation of the ice-free areas in the South Shetland Islands: examples from Byers (Livingston) and Barton (King George)</t>
  </si>
  <si>
    <t>CUATERNARIO Y GEOMORFOLOGIA</t>
  </si>
  <si>
    <t>Antarctica; Byers Peninsula; Barton Peninsula; deglaciation; lake sediments</t>
  </si>
  <si>
    <t>ANTARCTIC PENINSULA; WEST ANTARCTICA; GLACIER; CLIMATE; RECORD; LAKE; HISTORY; BENEATH; SHELF; BASIN</t>
  </si>
  <si>
    <t>The process of deglaciation of the present-day ice-free environments in the Maritime Antarctica has profound geomorphological and ecological implications. However, the timing of glacier retreat is still poorly understood. This is the case of the deglaciated areas existing in Byers (Livingston Island) and Barton (King George Island) peninsulas. The dating of the basal sediments collected from different lakes in these two peninsulas allowed inferences of the ages of formation of each lake. The integration of these ages enables the reconstruction of the spatial and temporal pattern of deglaciation of these areas. The chronological framework has been established using two complementary techniques: radiocarbon and thermoluminescence dating. In both peninsulas the deglaciation started during the Early Holocene, around 8 ka cal BP. The areas located far away from the current ice domes and the highest peaks in the two peninsulas (nunataks) were the first areas to become ice-free. During the mid-Holocene (5-6 ka cal BP) the central part of these peninsulas was progressively deglaciated. Finally, during the Late Holocene glacier fronts remained confined to the current position defined by the present frontal moraines, with minor advances and retreats.</t>
  </si>
  <si>
    <t>[Oliva, M.] Univ Lisbon, Ctr Estudos Geog IGOT, Lisbon, Portugal; [Antoniades, D.] Univ Laval, Dept Geog, Quebec City, PQ, Canada; [Antoniades, D.] Univ Laval, Ctr Etud Nord, Quebec City, PQ, Canada; [Giralt, S.] CSIC, Inst Ciencies Terra Jaume Almera, Barcelona, Spain; [Granados, I] Parque Nacl Sierra Guadarrama, Madrid, Spain; [Pla-Rabes, S.] CSIC, CREAF, Blanes, Spain; [Toro, M.] Ctr Estudios Hidrograf CEDEX, Madrid, Spain; [Sanjurjo, J.] Univ A Coruna, Inst Geol, La Coruna, Spain</t>
  </si>
  <si>
    <t>Universidade de Lisboa; Laval University; Laval University; Consejo Superior de Investigaciones Cientificas (CSIC); CSIC - Geociencias Barcelona (GEO3BCN); Consejo Superior de Investigaciones Cientificas (CSIC); CSIC - Centre d'Estudis Avancats de Blanes (CEAB); Centro de Investigacion Ecologica y Aplicaciones Forestales (CREAF-CERCA); Universidade da Coruna</t>
  </si>
  <si>
    <t>Oliva, M (corresponding author), Univ Lisbon, Ctr Estudos Geog IGOT, Lisbon, Portugal.</t>
  </si>
  <si>
    <t>Sánchez, Jorge Sanjurjo/E-4404-2011; Pla-Rabes, Sergi/J-9209-2012; Granados, Ignacio/A-3737-2013; Giralt, Santiago/AAA-8585-2020; Oliva, Marc/K-5423-2014</t>
  </si>
  <si>
    <t>Sánchez, Jorge Sanjurjo/0000-0002-7559-8647; Pla-Rabes, Sergi/0000-0003-3532-9466; Granados, Ignacio/0000-0002-8669-6613; Giralt, Santiago/0000-0001-8570-7838; Oliva, Marc/0000-0001-6521-6388; Antoniades, Dermot/0000-0001-6629-4839</t>
  </si>
  <si>
    <t>SPANISH QUATERNARY RESEARCH ASSOC</t>
  </si>
  <si>
    <t>FAC CIENCIAS, UNED-UNIV NACL EDUACION DISTANCIA, MADRID, 28040, SPAIN</t>
  </si>
  <si>
    <t>0214-1744</t>
  </si>
  <si>
    <t>CUATERN GEOMORFOL</t>
  </si>
  <si>
    <t>Cuatern. Geomorfol.</t>
  </si>
  <si>
    <t>10.17735/cyg.v30i1-2.48665</t>
  </si>
  <si>
    <t>DW6SF</t>
  </si>
  <si>
    <t>WOS:000383780800010</t>
  </si>
  <si>
    <t>Sedlácek, I; Stanková, E; Svec, P</t>
  </si>
  <si>
    <t>Sedlacek, I.; Stankova, E.; Svec, P.</t>
  </si>
  <si>
    <t>Composition of cultivable enteric bacteria from the intestine of Antarctic fish (family Nototheniidae)</t>
  </si>
  <si>
    <t>CZECH JOURNAL OF ANIMAL SCIENCE</t>
  </si>
  <si>
    <t>gut microflora; selective media; identification; Enterobacter; Aeromonas</t>
  </si>
  <si>
    <t>TROUT ONCORHYNCHUS-MYKISS; SALMO-SALAR L.; MICROBIAL DIVERSITY; GUT MICROBIOTA; MICROFLORA; MUCUS; FLORA</t>
  </si>
  <si>
    <t>In this study, the intestinal bacteria of wild Antarctic fish (family Nototheniidae) were examined using traditional culture-based techniques. Bacterial flora of the gut contents of four marine fish species (Notothenia coriiceps, Trematomus bernacchii, Trematomus hansoni, and Trematomus newnesi) was investigated to describe the allochthonous bacteria inhabiting these Nototheniidae fish. A set of 43 fresh and healthy fish was analyzed and intestinal bacteria were retrieved using the dilution plate technique on selective media Endo agar and XLDA agar. A total of 133 different bacterial isolates were obtained and initially characterized by key phenotypical tests. Notothenoid fish gut microbiota showed low species diversity of isolates and intestines were inhabited by 3 different isolates per fish on average. The bacterial colonization of the intestine content of Trematomus newnesi was poor. Curiously, the Gram-negative non-fermenters, including Pseudomonas sp., Vibrio sp., and Alcaligenes-like isolates represented the majority (59%) of intestine isolates grown on the used selective media for enteric bacteria. Based on preliminary identification, only 54 isolates (41%) were tentatively determined as enteric bacteria. The identification of 54 isolates of Gram-negative fermenting rods to the species level was achieved using biochemical characterization by commercial kits ENTEROtest 24 and Biolog GN2 MicroPlate. Results showed that Enterobacter cloacae phenon and Aeromonas hydrophila were predominant bacterial species in the free-living fish intestine from the group of fermenting Gram-negative rods.</t>
  </si>
  <si>
    <t>[Sedlacek, I.; Stankova, E.; Svec, P.] Masaryk Univ, Fac Sci, Dept Expt Biol, Czech Collect Microorganisms, Brno 62500, Czech Republic</t>
  </si>
  <si>
    <t>Masaryk University Brno</t>
  </si>
  <si>
    <t>Sedlácek, I (corresponding author), Masaryk Univ, Fac Sci, Czech Collect Microorganisms, Kamenice 5, Brno 62500, Czech Republic.</t>
  </si>
  <si>
    <t>ivo@sci.muni.cz</t>
  </si>
  <si>
    <t>Svec, Pavel/B-1209-2008; Sedlacek, Ivo/IWU-8828-2023</t>
  </si>
  <si>
    <t>Svec, Pavel/0000-0002-1051-5177;</t>
  </si>
  <si>
    <t>Ministry of Education, Youth and Sports of the Czech Republic [LM2010009, CZ.1.07/2.3.00/20.0183]</t>
  </si>
  <si>
    <t>Ministry of Education, Youth and Sports of the Czech Republic(Ministry of Education, Youth &amp; Sports - Czech Republic)</t>
  </si>
  <si>
    <t>Supported by the Ministry of Education, Youth and Sports of the Czech Republic (Projects CzechPolar (LM2010009) and CEB (CZ.1.07/2.3.00/20.0183)).</t>
  </si>
  <si>
    <t>CZECH ACADEMY AGRICULTURAL SCIENCES</t>
  </si>
  <si>
    <t>PRAGUE</t>
  </si>
  <si>
    <t>TESNOV 17, PRAGUE, 117 05, CZECH REPUBLIC</t>
  </si>
  <si>
    <t>1212-1819</t>
  </si>
  <si>
    <t>1805-9309</t>
  </si>
  <si>
    <t>CZECH J ANIM SCI</t>
  </si>
  <si>
    <t>Czech J. Anim. Sci.</t>
  </si>
  <si>
    <t>10.17221/8785-CJAS</t>
  </si>
  <si>
    <t>Agriculture, Dairy &amp; Animal Science</t>
  </si>
  <si>
    <t>DL1RS</t>
  </si>
  <si>
    <t>WOS:000375410300004</t>
  </si>
  <si>
    <t>Ryan, S; Schröder, M; Huhn, O; Timmermann, R</t>
  </si>
  <si>
    <t>Ryan, S.; Schroeder, M.; Huhn, O.; Timmermann, R.</t>
  </si>
  <si>
    <t>On the warm inflow at the eastern boundary of the Weddell Gyre</t>
  </si>
  <si>
    <t>DEEP-SEA RESEARCH PART I-OCEANOGRAPHIC RESEARCH PAPERS</t>
  </si>
  <si>
    <t>Eastern boundary; Weddell Gyre; Warm Deep Water; Circumpolar Deep Water; Greenwich Meridian; Optimum Multiparameter Analysis</t>
  </si>
  <si>
    <t>ANTARCTIC BOTTOM WATER; SOUTHERN-OCEAN; ATLANTIC; CIRCULATION; TRANSPORT; MASSES; DEEP; STRATIFICATION; 30-DEGREES-E; AFRICA</t>
  </si>
  <si>
    <t>The Weddell Sea plays an important role for the global oceans and climate by being one of the biggest production and export areas of Antarctic Bottom Water (AABW). Circumpolar Deep Water (CDW) enters the Weddell Gyre (WG) at its eastern boundary. Then called Warm Deep Water (WDW), it is a major contributor to the formation of deep and bottom waters due to ocean-ice shelf interactions in the southern and soutwestern Weddell Sea. Hydrographic data collected between 0 and 30 degrees E on the RV Polarstern cruise ANT XX/2 reveals a two-core structure for the eastern inflow of warm water at roughly 20 degrees E but not further downstream at the Greenwich meridian (GM). Model results and climatological fields suggest that the two cores represent two separate modes of warm inflow. One mode is driven by eddy mixing in the northeastern corner of the WG and the other one is an advective mode, forming the southern branch of the inflow which extends beyond 30 degrees E before turning westward. Both pathways are likely to carry waters from different origins within the Antarctic Circumpolar Current ACC, where more ventilated CDW is found at the Southern Boundary SB compared to the centre. The southern route shows considerable interannual variability in the model. A variable inflow of two types of CDW together with admixed recirculated and cooler waters from the Weddell Sea can potentially contribute to the observed variability and warming trend of WDW over the last decade at the GM. (C) 2015 Elsevier Ltd. All rights reserved.</t>
  </si>
  <si>
    <t>[Ryan, S.; Schroeder, M.; Timmermann, R.] Alfred Wegener Inst, Bussestr 24, D-27570 Bremerhaven, Germany; [Huhn, O.] Univ Bremen, Inst Environm Phys IUP, D-28359 Bremen, Germany</t>
  </si>
  <si>
    <t>Helmholtz Association; Alfred Wegener Institute, Helmholtz Centre for Polar &amp; Marine Research; University of Bremen</t>
  </si>
  <si>
    <t>Ryan, S (corresponding author), Alfred Wegener Inst, Bussestr 24, D-27570 Bremerhaven, Germany.</t>
  </si>
  <si>
    <t>svenja.ryan@awi.de; michael.schroeder@awi.de; ohuhn@uni-bremen.de; ralph.timmermann@awi.de</t>
  </si>
  <si>
    <t>Huhn, Oliver/0000-0003-3626-9135; Ryan, Svenja/0000-0001-9427-2127</t>
  </si>
  <si>
    <t>Polarstern grant [PS63]</t>
  </si>
  <si>
    <t>Polarstern grant</t>
  </si>
  <si>
    <t>We would like to express our gratitude to the officers and crew of RV Polarstern for their efficient assistance during the ANT XX/2 cruise. We thank the scientific party for excellent cooperation. Special thanks to A. Wisotzki for the outstanding care with the data sampling, for processing the oceanographic data (http://dx.dotorg/10.1594/PANGAEA.738486). Thanks to Klaus Bulsiewicz for measuring the CFC samples. The expedition ANT XX/2 was financed by Polarstern grant no. PS63. Thank you to H.H. Hellmer and three anonymous reviewers for their detailed and constructive comments, which helped to improve the manuscript significantly.</t>
  </si>
  <si>
    <t>0967-0637</t>
  </si>
  <si>
    <t>1879-0119</t>
  </si>
  <si>
    <t>DEEP-SEA RES PT I</t>
  </si>
  <si>
    <t>Deep-Sea Res. Part I-Oceanogr. Res. Pap.</t>
  </si>
  <si>
    <t>10.1016/j.dsr.2015.11.002</t>
  </si>
  <si>
    <t>DB8EW</t>
  </si>
  <si>
    <t>WOS:000368750900007</t>
  </si>
  <si>
    <t>Meredith, MP; Ducklow, HW; Schofield, O; Wahlin, A; Newman, L; Lee, S</t>
  </si>
  <si>
    <t>Meredith, Michael P.; Ducklow, Hugh W.; Schofield, Oscar; Wahlin, Anna; Newman, Louise; Lee, SangHoon</t>
  </si>
  <si>
    <t>The interdisciplinary marine system of the Amundsen Sea, Southern Ocean: Recent advances and the need for sustained observations</t>
  </si>
  <si>
    <t>Editorial Material</t>
  </si>
  <si>
    <t>Amundsen Sea; Amundsen Sea polynya; Sea ice; Sea ice margin; Ice melting; Ocean circulation; Primary production; Carbon flow; Biogeochemical cycle; International collaboration; KOPRI Amundsen Project</t>
  </si>
  <si>
    <t>CIRCUMPOLAR DEEP-WATER; PINE ISLAND GLACIER; ANTARCTIC PENINSULA; CONTINENTAL-SHELF; WEST ANTARCTICA; SCOTIA SEA; ICE; PHYTOPLANKTON; CIRCULATION; COMMUNITIES</t>
  </si>
  <si>
    <t>[Meredith, Michael P.] British Antarctic Survey, Madingley Rd, Cambridge CB3 0ET, England; [Ducklow, Hugh W.] Columbia Univ, Lamont Doherty Earth Observ, 61 Route 9W POB 1000, Palisades, NY 10964 USA; Rutgers State Univ, Ctr Ocean Observing Leadership, Dept Marine &amp; Coastal Sci, New Brunswick, NJ 08901 USA; [Wahlin, Anna] Univ Gothenburg, Dept Marine Sci, POB 460, SE-40530 Gothenburg, Sweden; [Newman, Louise] Univ Tasmania, SOOS Int Project Off, Inst Marine &amp; Antarctic Studies, Private Bag 110, Hobart, Tas 7001, Australia; [Lee, SangHoon] Korea Polar Res Inst, Songdomirae Ro 26, ZA-21990 Incheon, South Africa</t>
  </si>
  <si>
    <t>UK Research &amp; Innovation (UKRI); Natural Environment Research Council (NERC); NERC British Antarctic Survey; Columbia University; Rutgers University System; Rutgers University New Brunswick; University of Gothenburg; University of Tasmania</t>
  </si>
  <si>
    <t>Lee, S (corresponding author), Korea Polar Res Inst, Songdomirae Ro 26, ZA-21990 Incheon, South Africa.</t>
  </si>
  <si>
    <t>Wåhlin, Anna/U-3790-2017; Newman, Louise/Q-8592-2019; Schofield, Oscar/H-4169-2018</t>
  </si>
  <si>
    <t>Wåhlin, Anna/0000-0003-1799-6476; Newman, Louise/0000-0001-9523-8713; Meredith, Michael/0000-0002-7342-7756; Schofield, Oscar/0000-0003-2359-4131</t>
  </si>
  <si>
    <t>NERC [bas0100033] Funding Source: UKRI; Natural Environment Research Council [bas0100033] Funding Source: researchfish; Directorate For Geosciences; Office of Polar Programs (OPP) [1440435] Funding Source: National Science Foundation</t>
  </si>
  <si>
    <t>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</si>
  <si>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10.1016/j.dsr2.2015.12.002</t>
  </si>
  <si>
    <t>WOS:000370885500001</t>
  </si>
  <si>
    <t>Ko, AR; Yang, EJ; Kim, MS; Ju, SJ</t>
  </si>
  <si>
    <t>Ko, Ah-Ra; Yang, Eun Jin; Kim, Min-Seob; Ju, Se-Jong</t>
  </si>
  <si>
    <t>Trophodynamics of euphausiids in the Amundsen Sea during the austral summer by fatty acid and stable isotopic signatures</t>
  </si>
  <si>
    <t>Euphausia superb; Euphausia crystallorophias; Amundsen Sea Polynya; Fatty acid; Stable isotope</t>
  </si>
  <si>
    <t>ANTARCTIC KRILL; TROPHIC RELATIONSHIPS; DISTRIBUTION PATTERNS; COMMUNITY STRUCTURE; LIPID-METABOLISM; ENERGY BUDGETS; LARVAL KRILL; PRYDZ BAY; ICE-EDGE; FOOD-WEB</t>
  </si>
  <si>
    <t>The Amundsen Sea is characterized by a continental shelf, long-term sea ice, and many coastal polynyas with high biological productivity. Euphausia superba and Euphausia crystallorophias, which are dominant Antarctic krill, are major prey for most predators, such as fishes, birds, and marine mammals. An understanding of the feeding ecology of krill may provide the information for the structure and function of the Amundsen Sea ecosystem. Thus, we applied two biochemical approaches (fatty acids and stable isotopes) to determine the trophodynamics of adult krill in the Amundsen Sea. There were no significant differences in lipid contents between the two species, but the dominant storage lipids were different. Triacylglycerol (TAG) was dominant in E. superba, but wax esters (WE) were dominant in E. crystallorophias due to their different living strategies. Furthermore, the lipid content of E. crystallorophias displayed a spatial variation, being highest on the glacial edge. It was difficult to understand the feeding strategy and food source using only the fatty acid compositions of krill and in situ particulate organic matter. However, we found that specific FA ratios (18:1 omega 9/18:1 omega 7 and PUFA/SFA) and the nitrogen isotope ratio (delta N-15) provide more insight into the feeding ecology of krill, such as feeding strategy and trophic position. These ratios suggest that E. crystallorophias consistently showed a higher degree of carnivorous feeding than E. superba in the Amundsen Sea during the austral summer. In conclusion, adult E. superba might more directly obtain their energy from in situ primary producers in the open sea, but, in the Amundsen Sea Polynya, adult E. crystallorophias seems to obtain their energy mainly through the microbial loop (microzooplankton). If so, E. crystallolophias would be a key player not only to transfer the energy from microbes to higher trophic levels but also to control the carbon and nitrogen cycle in the Amundsen Sea Polynya. (C) 2015 Elsevier Ltd. All rights reserved.</t>
  </si>
  <si>
    <t>[Ko, Ah-Ra] Seoul Natl Univ, Res Inst Oceanog, Seoul 151747, South Korea; [Yang, Eun Jin] Korea Polar Res Inst, Polar Climate Res Div, Inchon 406840, South Korea; [Kim, Min-Seob] NIER, Fundamental Environm Res Dept, Inchon 404170, South Korea; [Ju, Se-Jong] Korea Inst Ocean Sci &amp; Technol, Deep Sea &amp; Seabed Mineral Resources Res Ctr, Ansan 426744, South Korea; [Ju, Se-Jong] Univ Sci &amp; Technol, Dept Marine Biol, Daejeon 305350, South Korea</t>
  </si>
  <si>
    <t>Seoul National University (SNU); Korea Institute of Ocean Science &amp; Technology (KIOST); Korea Polar Research Institute (KOPRI); National Institute of Environmental Research (NIER), Republic of Korea; Korea Institute of Ocean Science &amp; Technology (KIOST); University of Science &amp; Technology (UST)</t>
  </si>
  <si>
    <t>Ju, SJ (corresponding author), Korea Inst Ocean Sci &amp; Technol, Deep Sea &amp; Seabed Mineral Resources Res Ctr, Ansan 426744, South Korea.;Ju, SJ (corresponding author), Univ Sci &amp; Technol, Dept Marine Biol, Daejeon 305350, South Korea.</t>
  </si>
  <si>
    <t>sjju@kiost.ac.kr</t>
  </si>
  <si>
    <t>Yang, Eun Jin/0000-0002-8639-5968; Kim, Min Seob/0000-0002-0365-7468</t>
  </si>
  <si>
    <t>KIOST [PN65890]; KOPRI, South Korea [PP14020]</t>
  </si>
  <si>
    <t>KIOST; KOPRI, South Korea</t>
  </si>
  <si>
    <t>The authors acknowledge the support and dedication of the captain and crews of IBRV Araon. We also thank H. Lee, who gave support to gather the net samples. Two anonymous reviewers are thanked for their valuable comments and suggestions which substantially improved the manuscript. This research was supported by KIOST (PN65890) and KOPRI (PP14020), South Korea.</t>
  </si>
  <si>
    <t>10.1016/j.dsr2.2015.04.023</t>
  </si>
  <si>
    <t>WOS:000370885500009</t>
  </si>
  <si>
    <t>Maggi, M; Cianfarra, P; Salvini, F</t>
  </si>
  <si>
    <t>Maggi, Matteo; Cianfarra, Paola; Salvini, Francesco</t>
  </si>
  <si>
    <t>Erosion by tectonic carving in the Concordia Subglacial Fault Zone, East Antarctica</t>
  </si>
  <si>
    <t>tectonic carving; regional fault zone structure; Concordia Fault; East Antarctica</t>
  </si>
  <si>
    <t>CARBONATE ROCKS; ICE; DISPLACEMENT; THICKNESS; GEOLOGY; SURFACE; BENEATH; VOSTOK; SOUTH; LAND</t>
  </si>
  <si>
    <t>In this work we present the analysis of the footwall morphology of the Concordia subglacial extensional fault in the East Antarctic Craton. The Concordia Fault is a regional fault zone that extends for almost 200 km. The displacement, up to 1800 m, and the listric geometry were recognized by numerical modeling of the resulting hangingwall bedrock morphology and is responsible for the marked asymmetry that characterizes the corresponding scarp in the Concordia Subglacial Trench. The portion of the footwall in the proximity of the master fault exhibits an excavated morphology, about 500 m deep and up to 5 km wide, showing strong correlation with the master fault displacement. We excluded a predominant glacial and fluvial origin of this morphology considering: (i) the sharp topography of the Concordia Fault, suggesting that the fault activity started after the onset of the ice sheet; (ii) the ice-sheet/bedrock contact is characterized by a general negligible erosion/deposition rates still allowing clast removal; (iii) the lack of significant deposits in the Concordia Trench. We hence explored the possibility that this morphology may result from the combined action of fault-induced fracturing and passive clast removal and scattering by flow and plastic deformation within the ice sheet. We introduced the term tectonic carving for this process. Our modeling shows that tectonic carving relates to the relative fracture intensity in the Concordia fracture zone, that corresponds to the envelope of master and secondary fault damage zones. Fracture intensity depends on the frequency and the displacement of secondary faulting and can be approximated by a normal distribution. Using a Monte Carlo modeling approach we selected the set of parameters that best fits the data set with the carving theoretical curve. The final results of the Monte Carlo analysis show a root mean square of about 50 meters, comparable with the data resolution. This analysis demonstrates a method to unravel the presence of fracture zones in similar, weak erosional environments. (C) 2015 Elsevier B.V. All rights reserved.</t>
  </si>
  <si>
    <t>[Maggi, Matteo; Cianfarra, Paola; Salvini, Francesco] Univ Rome Tre, I-00146 Rome, Italy</t>
  </si>
  <si>
    <t>Roma Tre University</t>
  </si>
  <si>
    <t>Maggi, M (corresponding author), Univ Rome Tre, Largo San Leonardo Murialdo 1, I-00146 Rome, Italy.</t>
  </si>
  <si>
    <t>matteo.maggi@uniroma3.it</t>
  </si>
  <si>
    <t>CIANFARRA, Paola/AAQ-5641-2020; CIANFARRA, Paola/JCE-5168-2023</t>
  </si>
  <si>
    <t>CIANFARRA, Paola/0000-0001-9396-4519</t>
  </si>
  <si>
    <t>PNRA Consortium [2009/A2.02]</t>
  </si>
  <si>
    <t>PNRA Consortium</t>
  </si>
  <si>
    <t>We thank an anonymous reviewer for insightful comments that improved the manuscript. Research was carried out in the framework of the Project CABILA (Caratterizzazione Biogeochimica dei Laghi Subglaciali Antartici) of the PNRA-MIUR (Programma Nazionale di Ricerche in Antartide - Ministry of Education, University and Research) and financed by the PNRA Consortium (project 2009/A2.02). ENEA (Agenzia Nazionale per le Nuove Tecnologie, L'Energia e lo Sviluppo Economico Sostenibile) provided the logistic support.</t>
  </si>
  <si>
    <t>10.1016/j.epsl.2015.10.045</t>
  </si>
  <si>
    <t>WOS:000367120300010</t>
  </si>
  <si>
    <t>Foster, LC; Pearson, EJ; Juggins, S; Hodgson, DA; Saunders, KM; Verleyen, E; Roberts, SJ</t>
  </si>
  <si>
    <t>Foster, Louise C.; Pearson, Emma J.; Juggins, Steve; Hodgson, Dominic A.; Saunders, Krystyna M.; Verleyen, Elie; Roberts, Stephen J.</t>
  </si>
  <si>
    <t>Development of a regional glycerol dialkyl glycerol tetraether (GDGT)-temperature calibration for Antarctic and sub-Antarctic lakes</t>
  </si>
  <si>
    <t>palaeoclimate; temperature reconstruction; GDGTs; Southern Hemisphere; palaeolimnology; Antarctic</t>
  </si>
  <si>
    <t>CRENARCHAEOTAL MEMBRANE-LIPIDS; GDGT-BASED PROXIES; VI ICE SHELF; HOLOCENE CLIMATE; TEMPERATURE VARIABILITY; PALEOTEMPERATURE PROXY; ENVIRONMENTAL CONTROLS; ORGANIC-MATTER; WATER-COLUMN; SEDIMENTS</t>
  </si>
  <si>
    <t>A regional network of quantitative reconstructions of past climate variability is required to test climate models. In recent studies, temperature calibration models based on the relative abundances of sedimentary glycerol dialkyl glycerol tetraethers (GDGTs) have enabled past temperature reconstructions in both marine and terrestrial environments. Nevertheless, to date these methods have not been widely applied in high latitude environments due to poor performance of the GDGT-temperature calibrations at lower temperatures. To address this we studied 32 lakes from Antarctica, the sub-Antarctic Islands and Southern Chile to: 1) quantify their GDGT composition and investigate the environmental controls on GDGT composition; and 2) develop a GDGT-temperature calibration model for inferring past temperatures from Antarctic and sub-Antarctic lakes. GDGTs were found in all 32 lakes studied and in 31 lakes branched GDGTs (brGDGTs) were the dominant compounds. Statistical analyses of brGDGT composition in relation to temperature, pH, conductivity and water depth showed that the composition of brGDGTs is strongly correlated with mean summer air temperature (MSAT). This enabled the development of the first regional brGDGT-temperature calibration for use in Antarctic and sub-Antarctic lakes using four brGDGT compounds (GDGT-Ib, GDGT-II, GDGT-III and GDGT-IIIb). A key discovery was that GDGT-Illb is of particular importance in cold lacustrine environments. The addition of this compound significantly improved the model's performance from r(2) = 0.67, RMSEP-LOO (leave-one-out) = 2.23 degrees C, RMSEP-H (h-block) = 2.37 degrees C when applying the re-calibrated global GDGT-temperature calibration to our Antarctic dataset to r(2) = 0.83, RMSEP-LOO = 1.68 C, RMSEP-H = 1.65 degrees C for our new Antarctic calibration. This shows that Antarctic and sub-Antarctic, and possibly other high latitude, palaeotemperature reconstructions should be based on a regional GDGT-temperature calibration where specific compounds can be identified and included to improve model performance. Finally, downcore temperature reconstructions using the new Antarctic brGDGT-temperature calibration were tested in sub-Antarctic Fan Lake from South Georgia providing a proof of concept for the new calibration model in the Southern Hemisphere. Crown Copyright (C) 2015 Published by Elsevier B.V.</t>
  </si>
  <si>
    <t>[Foster, Louise C.; Hodgson, Dominic A.; Roberts, Stephen J.] British Antarctic Survey, NERC, Cambridge CB3 0ET, England; [Foster, Louise C.; Pearson, Emma J.; Juggins, Steve] Newcastle Univ, Sch Geog Polit &amp; Sociol, Newcastle Upon Tyne NE1 7RU, Tyne &amp; Wear, England; [Saunders, Krystyna M.] Univ Bern, Inst Geog, CH-3012 Bern, Switzerland; [Saunders, Krystyna M.] Univ Bern, Oeschger Ctr Climate Change Res, CH-3012 Bern, Switzerland; [Verleyen, Elie] Univ Ghent, Protistol &amp; Aquat Ecol, B-9000 Ghent, Belgium</t>
  </si>
  <si>
    <t>UK Research &amp; Innovation (UKRI); Natural Environment Research Council (NERC); NERC British Antarctic Survey; Newcastle University - UK; University of Bern; University of Bern; Ghent University</t>
  </si>
  <si>
    <t>Foster, LC (corresponding author), British Antarctic Survey, NERC, High Cross,Madingley Rd, Cambridge CB3 0ET, England.</t>
  </si>
  <si>
    <t>l.c.foster@gmx.co.uk</t>
  </si>
  <si>
    <t>Juggins, Steve/D-1653-2010; Foster, Louise/O-7543-2015; Saunders, Krystyna/G-1368-2019</t>
  </si>
  <si>
    <t>Juggins, Steve/0000-0003-4466-424X; Roberts, Stephen/0000-0003-3407-9127; Foster, Louise/0000-0002-6455-7639; Saunders, Krystyna/0000-0002-6800-2630</t>
  </si>
  <si>
    <t>British Antarctic Survey (BAS) Natural Environment Research Council (NERC); NERC Studentship [NE/J500173/1]; European Commission under the 7th Framework Programme through the Action - IMCONet (FP7 IRSES) [319718]; BAS; HMS Endurance; Australian Antarctic Division (AAD); Alfred Wegener Institute Helmholtz Centre for Polar and Marine Research (AWI) (Germany); Instituto Antartico Argentino (IAA); South African National Antarctica program (SANAP); National Institute of Polar Research (NIPR) (Japan); BELSPO/University of Ghent (Belgium); Campbell Island [PZ00P2_136835]; Swiss National Science Foundation (SNF) [PZ00P2_136835] Funding Source: Swiss National Science Foundation (SNF); NERC [bas0100030] Funding Source: UKRI; Natural Environment Research Council [bas0100030, 1119695] Funding Source: researchfish</t>
  </si>
  <si>
    <t>British Antarctic Survey (BAS) Natural Environment Research Council (NERC); NERC Studentship(UK Research &amp; Innovation (UKRI)Natural Environment Research Council (NERC)); European Commission under the 7th Framework Programme through the Action - IMCONet (FP7 IRSES)(European Union (EU)); BAS; HMS Endurance; Australian Antarctic Division (AAD); Alfred Wegener Institute Helmholtz Centre for Polar and Marine Research (AWI) (Germany); Instituto Antartico Argentino (IAA); South African National Antarctica program (SANAP); National Institute of Polar Research (NIPR) (Japan)(National Institute of Polar Research (NIPR) - Japan); BELSPO/University of Ghent (Belgium); Campbell Island; Swiss National Science Foundation (SNF)(Swiss National Science Foundation (SNSF)); NERC(UK Research &amp; Innovation (UKRI)Natural Environment Research Council (NERC)); Natural Environment Research Council(UK Research &amp; Innovation (UKRI)Natural Environment Research Council (NERC))</t>
  </si>
  <si>
    <t>This study is an output of the British Antarctic Survey (BAS) Natural Environment Research Council (NERC)-funded Science Program, and was funded by NERC Studentship NE/J500173/1 to LF (BAS and Newcastle University) with additional support from: the European Commission under the 7th Framework Programme through the Action - IMCONet (FP7 IRSES, action No. 319718). We thank the BAS and HMS Endurance, the Australian Antarctic Division (AAD), the Alfred Wegener Institute Helmholtz Centre for Polar and Marine Research (AWI) (Germany), the Instituto Antartico Argentino (IAA), the South African National Antarctica program (SANAP), the National Institute of Polar Research (NIPR) (Japan) and BELSPO/University of Ghent (Belgium) for providing funding and field support to sites on the Antarctic Peninsula and on the South Shetland Islands (DH, EV, SR), to the Larsemann Hills and East Antarctica (EV, DH), Campbell Island (KS; Grant No. PZ00P2_136835), King George Island (SR, EP, DH), Marion Island (EV, DH), Syowa Oasis (EV, DH) and in Southern Chile (SR). Thanks go to Helen Talbot and Frances Sidgwick for running samples on the LC-MS at Newcastle University. Melanie Leng is thanked for running TOC data, which formed part of carbon and nitrogen isotope analysis for the Fan Lake core at the NERC National Isotope Geosciences Laboratory, Keyworth, UK. Finally, we thank Jeff Salacup and one anonymous reviewer for suggesting improvements to the original manuscript. All data presented in this paper is the property of BAS and collaborating organisations and are available on request from the Polar Data Centre (polardatacentre@bas.ac.uk).</t>
  </si>
  <si>
    <t>10.1016/j.epsl.2015.11.018</t>
  </si>
  <si>
    <t>Green Published, hybrid, Green Accepted</t>
  </si>
  <si>
    <t>WOS:000367120300037</t>
  </si>
  <si>
    <t>Jawak, SD; Panditrao, SN; Luis, AJ</t>
  </si>
  <si>
    <t>Jawak, Shridhar D.; Panditrao, Satej N.; Luis, Alvarinho J.</t>
  </si>
  <si>
    <t>C-band RISAT-1 imagery for geospatial mapping of Cryospheric surface features in the Antarctic environment</t>
  </si>
  <si>
    <t>RISAT-1; landcover classification; Fuzzy; ANN; transformed divergence</t>
  </si>
  <si>
    <t>POLARIMETRIC SAR DATA; CLASSIFICATION; IDENTIFICATION; RAMP</t>
  </si>
  <si>
    <t>Cryospheric surface feature classification is one of the widely used applications in the field of polar remote sensing. Precise surface feature maps derived from remotely sensed imageries are the major requirement for many geoscientific applications in polar regions. The present study explores the capabilities of C-band dual polarimetric (HH &amp; HV) SAR imagery from Indian Radar Imaging Satellite (RISAT-1) for land cryospheric surface feature mapping. The study areas selected for the present task were Larsemann Hills and Schirmacher Oasis, East Antarctica. RISAT-1 Fine Resolution STRIPMAP (FRS-1) mode data with 3-m spatial resolution was used in the present research attempt. In order to provide additional context to the amount of information in dual polarized RISAT-1 SAR data, a band HH+HV was introduced to make use of the original two polarizations. In addition to the data calibration, transformed divergence (TD) procedure was performed for class separability analysis to evaluate the quality of the statistics before image classification. For most of the class pairs the TD values were comparable, which indicated that the classes have good separability. Fuzzy and Artificial Neural Network classifiers were implemented and accuracy was checked. Nonparametric classifier Support Vector Machine (SVM) was also used to classify RISAT-1 data with an optimized polarization combination into three land-cover classes consisting of sea ice/snow/ice, rocks/landmass, and lakes/waterbodies. This study demonstrates that C-band FRS1 image mode data from the RISAT-1 mission can be exploited to identify, map and monitor land cover features in the polar regions, even during dark winter period. For better landcover classification and analysis, hybrid polarimetric data (cFRS-1 mode) from RISAT-1, which incorporates phase information, unlike the dual-pol linear (HH, HV) can be used for obtaining better polarization signatures.</t>
  </si>
  <si>
    <t>[Jawak, Shridhar D.; Luis, Alvarinho J.] Minist Earth Sci, NCAOR, ESSO, Polar Remote Sensing Dept, Vasco Da Gama 403804, Goa, India; [Panditrao, Satej N.] Minist Earth Sci, INCOIS, ESSO, Hyderabad 500090, Telangana, India</t>
  </si>
  <si>
    <t>Earth System Science Organization (ESSO); Ministry of Earth Sciences (MoES) - India; National Centre for Polar and Ocean Research (NCPOR); Ministry of Earth Sciences (MoES) - India; Indian National Centre for Ocean Information Services (INCOIS); Earth System Science Organization (ESSO)</t>
  </si>
  <si>
    <t>shridharjawak@gmail.com</t>
  </si>
  <si>
    <t>98811R</t>
  </si>
  <si>
    <t>10.1117/12.2222782</t>
  </si>
  <si>
    <t>WOS:000385792900039</t>
  </si>
  <si>
    <t>Drumond, A; Taboada, E; Nieto, R; Gimeno, L; Vicente-Serrano, SM; Lopez-Moreno, JI</t>
  </si>
  <si>
    <t>Drumond, Anita; Taboada, Erica; Nieto, Raquel; Gimeno, Luis; Vicente-Serrano, Sergio M.; Ignacio Lopez-Moreno, Juan</t>
  </si>
  <si>
    <t>A Lagrangian analysis of the present-day sources of moisture for major ice-core sites</t>
  </si>
  <si>
    <t>DEUTERIUM EXCESS SIGNAL; GLOBAL WATER CYCLE; ATMOSPHERIC BRANCH; HYDROLOGICAL CYCLE; CLIMATE-CHANGE; PRECIPITATION; VARIABILITY; OCEAN; RECORDS; KILIMANJARO</t>
  </si>
  <si>
    <t>A Lagrangian approach was used to identify the moisture sources for 14 ice-core sites located worldwide for the period of 1980-2012. The sites were classified into three domains: Arctic, Central (Andes, Alps, and Kilimanjaro), and Antarctic. The approach was used to compute budgets of evaporation minus precipitation by calculating changes in the specific humidity along 10-day backward trajectories. The results indicate that the oceanic regions around the subtropical high-pressure centres provide most of moisture, and their contribution varies throughout the year following the annual cycles of the centres. For the Arctic Domain, the sources lie in the subtropical North Atlantic and Pacific. The subtropical South Atlantic, Indian, and Pacific oceans provide moisture for the Antarctic Domain. The sources for South America are the Atlantic and South Pacific, for Europe the sources are in the Mediterranean and the North Atlantic, and for Asia the sources are the Indian Ocean and the Arabian Sea.</t>
  </si>
  <si>
    <t>[Drumond, Anita; Nieto, Raquel; Gimeno, Luis] Univ Vigo, Fac Ciencias, EPhysLab, Orense 32004, Spain; [Taboada, Erica] Univ La Laguna, Fac Ciencias, San Cristobal la Laguna 38200, Spain; [Nieto, Raquel] Univ Sao Paulo, Inst Astron Geophys &amp; Atmospher Sci, Dept Atmospher Sci, BR-05508090 Sao Paulo, Brazil; [Vicente-Serrano, Sergio M.; Ignacio Lopez-Moreno, Juan] CSIC, IPE, Zaragoza 38200, Spain</t>
  </si>
  <si>
    <t>Universidade de Vigo; Universidad de la Laguna; Universidade de Sao Paulo; Consejo Superior de Investigaciones Cientificas (CSIC); CSIC - Instituto Pirenaico de Ecologia (IPE)</t>
  </si>
  <si>
    <t>Drumond, A (corresponding author), Univ Vigo, Fac Ciencias, EPhysLab, Orense 32004, Spain.</t>
  </si>
  <si>
    <t>anitadru@uvigo.es</t>
  </si>
  <si>
    <t>GIMENO, LUIS/B-8137-2008; Nieto, Raquel/AAT-8925-2020; Drumond, Anita/G-5767-2013; Lopez-Moreno, Ignacio/K-2114-2014; Vicente-Serrano, Sergio M./G-3104-2012</t>
  </si>
  <si>
    <t>Nieto, Raquel/0000-0002-8984-0959; Drumond, Anita/0000-0002-0432-8842; Lopez-Moreno, Ignacio/0000-0002-7270-9313; GIMENO, LUIS/0000-0002-0778-3605; Vicente-Serrano, Sergio M./0000-0003-2892-518X</t>
  </si>
  <si>
    <t>EPhysLab (UVIGO-CSIC Associated Unit); Spanish Government; FEDER through the Transporte de Humedad en la Atmosfera TRAMO [CGL-2012-35485]; Red de Variabilidad y Cambio Climatico RECLIM [CGL2014-517221-REDT]</t>
  </si>
  <si>
    <t>EPhysLab (UVIGO-CSIC Associated Unit); Spanish Government(Spanish Government); FEDER through the Transporte de Humedad en la Atmosfera TRAMO; Red de Variabilidad y Cambio Climatico RECLIM</t>
  </si>
  <si>
    <t>This work was supported by the EPhysLab (UVIGO-CSIC Associated Unit). We acknowledge the support of the Spanish Government and FEDER through the Transporte de Humedad en la Atmosfera TRAMO (CGL-2012-35485) and the Red de Variabilidad y Cambio Climatico RECLIM (CGL2014-517221-REDT) projects.</t>
  </si>
  <si>
    <t>10.5194/esd-7-549-2016</t>
  </si>
  <si>
    <t>DQ7YU</t>
  </si>
  <si>
    <t>WOS:000379426100002</t>
  </si>
  <si>
    <t>Cassano, JJ; Seefeldt, MW; Palo, S; Knuth, SL; Bradley, AC; Herrman, PD; Kernebone, PA; Logan, NJ</t>
  </si>
  <si>
    <t>Cassano, John J.; Seefeldt, Mark W.; Palo, Scott; Knuth, Shelley L.; Bradley, Alice C.; Herrman, Paul D.; Kernebone, Peter A.; Logan, Nick J.</t>
  </si>
  <si>
    <t>Observations of the atmosphere and surface state over Terra Nova Bay, Antarctica, using unmanned aerial systems</t>
  </si>
  <si>
    <t>KATABATIC WIND REGIME; ROSS SEA; AIRCRAFT; AEROSONDES; POLYNYA; DYNAMICS; LAYER; AREA</t>
  </si>
  <si>
    <t>In September 2012 five Aerosonde unmanned aircraft were used to make measurements of the atmospheric state over the Terra Nova Bay polynya, Antarctica, to explore the details of air-sea ice-ocean coupling. A total of 14 flights were completed in September 2012. Ten of the flight missions consisted of two unmanned aerial systems (UAS) sampling the atmosphere over Terra Nova Bay on 5 different days, with one UAS focusing on the downwind evolution of the air mass and a second UAS flying transects roughly perpendicular to the low-level winds. The data from these coordinated UAS flights provide a comprehensive three-dimensional data set of the atmospheric state (air temperature, humidity, pressure, and wind) and surface skin temperature over Terra Nova Bay. The remaining UAS flights during the September 2012 field campaign included two local flights near McMurdo Station for flight testing, a single UAS flight to Terra Nova Bay, and a single UAS flight over the Ross Ice Shelf and Ross Sea polynya. A data set containing the atmospheric and surface data as well as operational aircraft data have been submitted to the United States Antarctic Program Data Coordination Center (USAP-DCC, http://www.usap-data.org/) for free access (http://gcmd.nasa.gov/getdif.htm?NSF-ANT10-43657, doi:10.15784/600125).</t>
  </si>
  <si>
    <t>[Cassano, John J.; Seefeldt, Mark W.] Univ Colorado, Cooperat Inst Res Environm Sci, Boulder, CO 80309 USA; [Cassano, John J.] Univ Colorado, Dept Atmospher &amp; Ocean Sci, Boulder, CO 80309 USA; [Palo, Scott; Bradley, Alice C.] Univ Colorado, Dept Aerosp Engn Sci, Boulder, CO 80309 USA; [Knuth, Shelley L.] Univ Colorado, Off Informat Technol, Res Comp, Boulder, CO 80309 USA; [Herrman, Paul D.; Kernebone, Peter A.; Logan, Nick J.] Aerosonde Pty Ltd, Melbourne, Vic, Australia</t>
  </si>
  <si>
    <t>University of Colorado System; University of Colorado Boulder; University of Colorado System; University of Colorado Boulder; University of Colorado System; University of Colorado Boulder; University of Colorado System; University of Colorado Boulder; Melbourne Genomics Health Alliance</t>
  </si>
  <si>
    <t>Cassano, JJ (corresponding author), Univ Colorado, Cooperat Inst Res Environm Sci, Boulder, CO 80309 USA.;Cassano, JJ (corresponding author), Univ Colorado, Dept Atmospher &amp; Ocean Sci, Boulder, CO 80309 USA.</t>
  </si>
  <si>
    <t>john.cassano@colorado.edu</t>
  </si>
  <si>
    <t>Cassano, John/HKW-8817-2023; Seefeldt, Mark W/D-3121-2011</t>
  </si>
  <si>
    <t>Seefeldt, Mark W/0000-0003-0719-2570; Knuth, Shelley/0000-0001-7249-4773; CASSANO, JOHN/0000-0003-3176-3978; PALO, SCOTT/0000-0002-4729-4929</t>
  </si>
  <si>
    <t>NSF grant [ANT 1043657]</t>
  </si>
  <si>
    <t>NSF grant(National Science Foundation (NSF))</t>
  </si>
  <si>
    <t>This work was supported by NSF grant ANT 1043657. The authors wish to thank the United States Antarctic Program support personnel for all of their help during the September 2012 field campaign.</t>
  </si>
  <si>
    <t>10.5194/essd-8-115-2016</t>
  </si>
  <si>
    <t>WOS:000378206900008</t>
  </si>
  <si>
    <t>King, EC; Pritchard, HD; Smith, AM</t>
  </si>
  <si>
    <t>King, Edward C.; Pritchard, Hamish D.; Smith, Andrew M.</t>
  </si>
  <si>
    <t>Subglacial landforms beneath Rutford Ice Stream, Antarctica: detailed bed topography from ice-penetrating radar</t>
  </si>
  <si>
    <t>WEST ANTARCTICA; BASAL CONDITIONS; DRUMLINS; ZONE</t>
  </si>
  <si>
    <t>We present a digital elevation model of the bed of Rutford Ice Stream, Antarctica, derived from radio-echo sounding data. The data cover an 18 x 40 km area immediately upstream of the grounding line of the ice stream. This area is of particular interest because repeated seismic surveys have shown that rapid erosion and deposition of subglacial sediments has taken place. The bed topography shows a range of different subglacial landforms including mega-scale glacial lineations, drumlins and hummocks. This data set will form a baseline survey which, when compared to future surveys, should reveal how active subglacial landscapes change over time. These data also allow comparison between subglacial landforms in an active system with those observed in deglaciated areas in both polar regions. The data set comprises observed ice thickness data, an interpolated bed elevation grid, observed surface elevation data and a surface elevation grid. The data set is available at http://doi.org/269.</t>
  </si>
  <si>
    <t>[King, Edward C.; Pritchard, Hamish D.; Smith, Andrew M.] British Antarctic Survey, Madingley Rd, Cambridge CB3 0ET, England</t>
  </si>
  <si>
    <t>King, EC (corresponding author), British Antarctic Survey, Madingley Rd, Cambridge CB3 0ET, England.</t>
  </si>
  <si>
    <t>ecki@bas.ac.uk</t>
  </si>
  <si>
    <t>Pritchard, Hamish Daniel/AAU-4696-2021</t>
  </si>
  <si>
    <t>SMITH, ANDREW/0000-0001-8577-482X</t>
  </si>
  <si>
    <t>BAS's Global Science in the Antarctic Context Programme (NERC award) [NE/B502287/1]; NERC [bas0100034] Funding Source: UKRI; Natural Environment Research Council [bas0100034] Funding Source: researchfish</t>
  </si>
  <si>
    <t>BAS's Global Science in the Antarctic Context Programme (NERC award); NERC(UK Research &amp; Innovation (UKRI)Natural Environment Research Council (NERC)); Natural Environment Research Council(UK Research &amp; Innovation (UKRI)Natural Environment Research Council (NERC))</t>
  </si>
  <si>
    <t>We gratefully acknowledge the field assistants, pilots and operations staff of the British Antarctic Survey's Rothera Station for their support during the field data collection. Schlumberger Limited is thanked for supplying educational licences for its Petrel software. This work was funded by BAS's Global Science in the Antarctic Context Programme (NERC award NE/B502287/1). We thank two reviewers and the editor for their assistance in clarifying this paper.</t>
  </si>
  <si>
    <t>10.5194/essd-8-151-2016</t>
  </si>
  <si>
    <t>WOS:000378206900011</t>
  </si>
  <si>
    <t>McGarvey, R; Burch, P; Matthews, JM</t>
  </si>
  <si>
    <t>McGarvey, Richard; Burch, Paul; Matthews, Janet M.</t>
  </si>
  <si>
    <t>Precision of systematic and random sampling in clustered populations: habitat patches and aggregating organisms</t>
  </si>
  <si>
    <t>ECOLOGICAL APPLICATIONS</t>
  </si>
  <si>
    <t>clustered populations; environmental monitoring; habitat patchiness; random sampling; spatial autocorrelation; survey precision; systematic sampling; transect; two-dimensional survey design; variance estimators</t>
  </si>
  <si>
    <t>VARIANCE-ESTIMATION; SPATIAL-DISTRIBUTION; ABUNDANCE; DENSITY; DESIGN; CONSEQUENCES; ESTIMATORS; EFFICIENCY; PATTERNS; DISTANCE</t>
  </si>
  <si>
    <t>Natural populations of plants and animals spatially cluster because (1) suitable habitat is patchy, and (2) within suitable habitat, individuals aggregate further into clusters of higher density. We compare the precision of random and systematic field sampling survey designs under these two processes of species clustering. Second, we evaluate the performance of 13 estimators for the variance of the sample mean from a systematic survey. Replicated simulated surveys, as counts from 100 transects, allocated either randomly or systematically within the study region, were used to estimate population density in six spatial point populations including habitat patches and Matern circular clustered aggregations of organisms, together and in combination. The standard one-start aligned systematic survey design, a uniform 10 x 10 grid of transects, was much more precise. Variances of the 10 000 replicated systematic survey mean densities were one-third to one-fifth of those from randomly allocated transects, implying transect sample sizes giving equivalent precision by random survey would need to be three to five times larger. Organisms being restricted to patches of habitat was alone sufficient to yield this precision advantage for the systematic design. But this improved precision for systematic sampling in clustered populations is underestimated by standard variance estimators used to compute confidence intervals. True variance for the survey sample mean was computed from the variance of 10 000 simulated survey mean estimates. Testing 10 published and three newly proposed variance estimators, the two variance estimators (v) that corrected for inter-transect correlation (v 8 and v W) were the most accurate and also the most precise in clustered populations. These greatly outperformed the two post-stratification variance estimators (v 2 and v 3) that are now more commonly applied in systematic surveys. Similar variance estimator performance rankings were found with a second differently generated set of spatial point populations, v 8 and v W again being the best performers in the longer-range autocorrelated populations. However, no systematic variance estimators tested were free from bias. On balance, systematic designs bring more narrow confidence intervals in clustered populations, while random designs permit unbiased estimates of (often wider) confidence interval. The search continues for better estimators of sampling variance for the systematic survey mean.</t>
  </si>
  <si>
    <t>[McGarvey, Richard; Burch, Paul; Matthews, Janet M.] SARDI Aquat Sci, POB 120, Henley Beach, SA 5022, Australia; [Burch, Paul] Univ Tasmania, Inst Marine &amp; Antarctic Studies, Australian Antarctic Div, 203 Channel Highway, Kingston, Tas 7050, Australia</t>
  </si>
  <si>
    <t>Australian Antarctic Division; University of Tasmania</t>
  </si>
  <si>
    <t>McGarvey, R (corresponding author), SARDI Aquat Sci, POB 120, Henley Beach, SA 5022, Australia.</t>
  </si>
  <si>
    <t>Richard.McGarvey@sa.gov.au</t>
  </si>
  <si>
    <t>Burch, Paul/GLU-8548-2022; Burch, Paul/J-7641-2014</t>
  </si>
  <si>
    <t>Burch, Paul/0000-0002-9853-462X</t>
  </si>
  <si>
    <t>1051-0761</t>
  </si>
  <si>
    <t>1939-5582</t>
  </si>
  <si>
    <t>ECOL APPL</t>
  </si>
  <si>
    <t>Ecol. Appl.</t>
  </si>
  <si>
    <t>10.1890/14-1973</t>
  </si>
  <si>
    <t>DC8ZY</t>
  </si>
  <si>
    <t>Green Published, Green Accepted</t>
  </si>
  <si>
    <t>WOS:000369511000019</t>
  </si>
  <si>
    <t>Davidson, JL; Jacobson, C; Lyth, A; Dedekorkut-Howes, A; Baldwin, CL; Ellison, JC; Holbrook, NJ; Howes, MJ; Serrao-Neumann, S; Singh-Peterson, L; Smith, TF</t>
  </si>
  <si>
    <t>Davidson, Julie L.; Jacobson, Chris; Lyth, Anna; Dedekorkut-Howes, Aysin; Baldwin, Claudia L.; Ellison, Joanna C.; Holbrook, Neil J.; Howes, Michael J.; Serrao-Neumann, Silvia; Singh-Peterson, Lila; Smith, Timothy F.</t>
  </si>
  <si>
    <t>Interrogating resilience: toward a typology to improve its operationalization</t>
  </si>
  <si>
    <t>climate change; complex adaptive systems; conceptual clarity; policy making; resilience; typology</t>
  </si>
  <si>
    <t>SOCIAL-ECOLOGICAL SYSTEMS; COMPLEX ADAPTIVE SYSTEMS; COMMUNITY RESILIENCE; DISASTER RESILIENCE; CLIMATE-CHANGE; BUILDING RESILIENCE; MANAGEMENT; LESSONS; POLICY; ADAPTATION</t>
  </si>
  <si>
    <t>In the context of accelerated global change, the concept of resilience, with its roots in ecological theory and complex adaptive systems, has emerged as the favored framework for understanding and responding to the dynamics of change. Its transfer from ecological to social contexts, however, has led to the concept being interpreted in multiple ways across numerous disciplines causing significant challenges for its practical application. The aim of this paper is to improve conceptual clarity within resilience thinking so that resilience can be interpreted and articulated in ways that enhance its utility and explanatory power, not only theoretically but also operationally. We argue that the current confusion and ambiguity within resilience thinking is problematic for operationalizing the concept within policy making. To achieve our aim, we interrogate resilience interpretations used within a number of academic and practice domains in the forefront of contending with the disruptive and sometimes catastrophic effects of global change (primarily due to climate change) on ecological and human-nature systems. We demonstrate evolution and convergence among disciplines in the interpretations and theoretical underpinnings of resilience and in engagement with cross-scale considerations. From our analysis, we identify core conceptual elements to be considered in policy responses if resilience is to fulfill its potential in improving decision making for change. We offer an original classification of resilience definitions in current use and a typology of resilience interpretations. We conclude that resilience thinking must be open to alternative traditions and interpretations if it is to become a theoretically and operationally powerful paradigm.</t>
  </si>
  <si>
    <t>[Davidson, Julie L.; Lyth, Anna; Ellison, Joanna C.] Univ Tasmania, Sch Land &amp; Food, Discipline Geog &amp; Spatial Sci, Hobart, Tas 7001, Australia; [Jacobson, Chris; Lyth, Anna; Baldwin, Claudia L.; Smith, Timothy F.] Univ Sunshine Coast, Sustainabil Res Ctr, Sunshine Coast, Qld, Australia; [Dedekorkut-Howes, Aysin; Howes, Michael J.; Serrao-Neumann, Silvia] Griffith Univ, Griffith Sch Environm, Nathan, Qld 4111, Australia; [Dedekorkut-Howes, Aysin; Serrao-Neumann, Silvia; Singh-Peterson, Lila] Griffith Univ, Urban Res Program, Nathan, Qld 4111, Australia; [Holbrook, Neil J.] Univ Tasmania, Inst Marine &amp; Antarctic Studies, Hobart, Tas, Australia; [Holbrook, Neil J.] ARC Ctr Excellence Climate Syst Sci, Hobart, Tas, Australia; [Holbrook, Neil J.] Univ Tasmania, Ctr Marine Socioecol, Hobart, Tas, Australia; [Serrao-Neumann, Silvia] Monash Univ, CRC Water Sensit Cities, Clayton, Vic 3800, Australia; [Singh-Peterson, Lila] Univ Sunshine Coast, Australian Ctr Pacific Isl Res, Sunshine Coast, Qld, Australia</t>
  </si>
  <si>
    <t>University of Tasmania; University of the Sunshine Coast; Griffith University; Griffith University; University of Tasmania; ARC Centre of Excellence for Climate System Science; University of Tasmania; Monash University; University of the Sunshine Coast</t>
  </si>
  <si>
    <t>Davidson, JL (corresponding author), Univ Tasmania, Sch Land &amp; Food, Discipline Geog &amp; Spatial Sci, Hobart, Tas 7001, Australia.</t>
  </si>
  <si>
    <t>Jacobson, Christine L/C-4951-2012; Singh-Peterson, Lila/IQS-7869-2023; , Claudia and Baldwin/G-6889-2019; Howes, Michael/S-2804-2019; Singh-Peterson, Lila/R-9323-2019; Mokhtara, Charafeddine/ACV-5174-2022; Dedekorkut-Howes, Aysin/V-5636-2018; Serrao-Neumann, Silvia M/K-2470-2012; Holbrook, Neil/M-7544-2013; Ellison, Joanna/C-2372-2014</t>
  </si>
  <si>
    <t>, Claudia and Baldwin/0000-0002-0707-6564; Howes, Michael/0000-0003-1102-1483; Singh-Peterson, Lila/0000-0002-6095-9569; Mokhtara, Charafeddine/0000-0002-4643-3798; Dedekorkut-Howes, Aysin/0000-0002-3844-4796; Holbrook, Neil/0000-0002-3523-6254; Jacobson, Chris/0000-0002-8592-0601; Smith, Timothy/0000-0002-3991-5211; Ellison, Joanna/0000-0003-0692-8347</t>
  </si>
  <si>
    <t>University of the Sunshine Coast Research Futures Project - Australian Government's Collaborative Research Network Program</t>
  </si>
  <si>
    <t>The authors wish to express their gratitude to the reviewers for their insightful comments and suggestions and to gratefully acknowledge the support of the University of the Sunshine Coast Research Futures Project funded by the Australian Government's Collaborative Research Network Program for the collaborative writing program under which this paper was researched and authored.</t>
  </si>
  <si>
    <t>10.5751/ES-08450-210227</t>
  </si>
  <si>
    <t>DR6ZF</t>
  </si>
  <si>
    <t>Green Accepted, gold, Green Published</t>
  </si>
  <si>
    <t>WOS:000380049100034</t>
  </si>
  <si>
    <t>McDonald, J; McCormack, PC; Fleming, AJ; Harris, RMB; Lockwood, M</t>
  </si>
  <si>
    <t>McDonald, Jan; McCormack, Phillipa C.; Fleming, Aysha J.; Harris, Rebecca M. B.; Lockwood, Michael</t>
  </si>
  <si>
    <t>Rethinking legal objectives for climate-adaptive conservation</t>
  </si>
  <si>
    <t>Climate change adaptation; conservation law; conservation objectives; law reform</t>
  </si>
  <si>
    <t>BIODIVERSITY CONSERVATION; CHANGE ADAPTATION; PROTECTED AREAS; MANAGEMENT; FUTURE; LAW</t>
  </si>
  <si>
    <t>This paper examines conservation objectives in Australian law in the context of climate change. The rate of climate change and the scale and extent of its impacts on natural systems drive the need to re-evaluate current conservation objectives, from basic concept definitions, to overarching goals and values, to the way they are operationalized at all levels. We outline the case for reform of objectives in the legal framework for conservation and discuss three key strategies that would facilitate this transition: (1) acknowledgment in conservation law of system dynamism; (2) focus on ecosystem function, stability, and resilience; and (3) an explicit recognition that systems operate across multiple scales. Law reform is a slow process, but the potential of climate change to drive transformational changes means that urgent action is needed to overcome the limitations of current objectives and in the legal framework itself.</t>
  </si>
  <si>
    <t>[McDonald, Jan; McCormack, Phillipa C.] Univ Tasmania, Fac Law, Hobart, Tas 7001, Australia; [McDonald, Jan; Fleming, Aysha J.] Univ Tasmania, Ctr Marine Socioecol, Hobart, Tas 7001, Australia; [Fleming, Aysha J.] Univ Tasmania, CSIRO Land &amp; Water, Hobart, Tas 7001, Australia; [Harris, Rebecca M. B.] Univ Tasmania, Antarctic Climate &amp; Ecosyst Cooperat Res Ctr, Hobart, Tas 7001, Australia; [Lockwood, Michael] Univ Tasmania, Sch Land &amp; Food, Geog &amp; Spatial Sci, Hobart, Tas 7001, Australia</t>
  </si>
  <si>
    <t>University of Tasmania; University of Tasmania; University of Tasmania; Commonwealth Scientific &amp; Industrial Research Organisation (CSIRO); University of Tasmania; Antarctic Climate &amp; Ecosystems Cooperative Research Centre (ACE CRC); University of Tasmania</t>
  </si>
  <si>
    <t>McDonald, J (corresponding author), Univ Tasmania, Fac Law, Hobart, Tas 7001, Australia.;McDonald, J (corresponding author), Univ Tasmania, Ctr Marine Socioecol, Hobart, Tas 7001, Australia.</t>
  </si>
  <si>
    <t>McCormack, Phillipa/GYA-3008-2022; Fleming, Aysha/E-8753-2011; McCormack, Phillipa C/N-3668-2017; Harris, Rebecca/N-2790-2013; McDonald, Jan/J-7204-2014</t>
  </si>
  <si>
    <t>Fleming, Aysha/0000-0001-9895-1928; McCormack, Phillipa C/0000-0001-6751-8291; Harris, Rebecca/0000-0002-6426-2179; McDonald, Jan/0000-0002-7953-1458</t>
  </si>
  <si>
    <t>10.5751/ES-08460-210225</t>
  </si>
  <si>
    <t>WOS:000380049100035</t>
  </si>
  <si>
    <t>Bergami, E; Bocci, E; Vannuccini, ML; Monopoli, M; Salvati, A; Dawson, KA; Corsi, I</t>
  </si>
  <si>
    <t>Bergami, Elisa; Bocci, Elena; Vannuccini, Maria Luisa; Monopoli, Marco; Salvati, Anna; Dawson, Kenneth A.; Corsi, Ilaria</t>
  </si>
  <si>
    <t>Nano-sized polystyrene affects feeding, behavior and physiology of brine shrimp Artemia franciscana larvae</t>
  </si>
  <si>
    <t>ECOTOXICOLOGY AND ENVIRONMENTAL SAFETY</t>
  </si>
  <si>
    <t>6th Biannual ECOtoxicology Meeting (BECOME 2014)</t>
  </si>
  <si>
    <t>NOV 11-13, 2014</t>
  </si>
  <si>
    <t>Livorno, ITALY</t>
  </si>
  <si>
    <t>Nanoplastics; Polystyrene; Zooplankton; Anemia franciscana larvae; Accumulation; Molting</t>
  </si>
  <si>
    <t>TITANIUM-DIOXIDE NANOPARTICLES; SALINA LARVAE; MICROPLASTIC INGESTION; CELL-DEATH; MARINE; NANOMATERIALS; ACCUMULATION; EMBRYOTOXICITY; ECOTOXICITY; ENVIRONMENT</t>
  </si>
  <si>
    <t>Nano-sized polymers as polystyrene (PS) constitute one of the main challenges for marine ecosystems, since they can distribute along the whole water column affecting planktonic species and consequently disrupting the energy flow of marine ecosystems. Nowadays very little knowledge is available on the impact of nano-sized plastics on marine organisms. Therefore, the present study aims to evaluate the effects of 40 nm anionic carboxylated (PS-COOH) and 50 nm cationic amino (PS-NH2) polystyrene nanoparticles (PS NPs) on brine shrimp Anemia franciscana larvae. No signs of mortality were observed at 48 h of exposure for both PS NPs at naplius stage but several sub-lethal effects were evident. PS-COOH (5-100 mu g/ml) resulted massively sequestered inside the gut lumen of larvae (48 h) probably limiting food intake. Some of them were lately excreted as fecal pellets but not a full release was observed. Likewise, PS-NH2 (5-100 mu g/ml) accumulated in larvae (48 h) but also adsorbed at the surface of sensorial antennules and appendages probably hampering larvae motility. In addition, larvae exposed to PS-NH2 undergo multiple molting events during 48 h of exposure compared to controls. The activation of a defense mechanism based on a physiological process able to release toxic cationic NPs (PS-NH2) from the body can be hypothesized. The general observed accumulation of PS NPs within the gut during the 48 h of exposure indicates a continuous bioavailability of nano-sized PS for planktonic species as well as a potential transfer along the trophic web. Therefore, nano-sized PS might be able to impair food uptake (feeding), behavior (motility) and physiology (multiple molting) of brine shrimp larvae with consequences not only at organism and population level but on the overall ecosystem based on the key role of zooplankton on marine food webs. (C) 2015 Elsevier Inc. All rights reserved.</t>
  </si>
  <si>
    <t>[Bergami, Elisa; Bocci, Elena; Vannuccini, Maria Luisa; Corsi, Ilaria] Univ Siena, Dept Phys Earth &amp; Environm Sci, I-53100 Siena, Italy; [Monopoli, Marco; Dawson, Kenneth A.] Univ Coll Dublin, Sch Chem &amp; Chem Biol, Ctr BioNano Interact, Dublin, Ireland; [Salvati, Anna] Univ Groningen, Groningen Res Inst Pharm, Div Pharmacokinet Toxicol &amp; Targeting, NL-9700 AB Groningen, Netherlands</t>
  </si>
  <si>
    <t>University of Siena; University College Dublin; University of Groningen</t>
  </si>
  <si>
    <t>Corsi, I (corresponding author), Univ Siena, Dept Phys Earth &amp; Environm Sci, Via Mattioli 4, I-53100 Siena, Italy.</t>
  </si>
  <si>
    <t>ilaria.corsi@unisi.it</t>
  </si>
  <si>
    <t>Corsi, Ilaria/D-3795-2012; Bergami, Elisa/JFJ-1703-2023; Dawson, Kenneth A. A/L-2540-2016; Monopoli, Marco P./AAM-6527-2021</t>
  </si>
  <si>
    <t>Corsi, Ilaria/0000-0002-1811-3041; Bergami, Elisa/0000-0001-8149-9584; Dawson, Kenneth A. A/0000-0002-0568-6588; Monopoli, Marco P./0000-0002-2035-6894; Salvati, Anna/0000-0002-9339-0161; Vannuccini, Maria Luisa/0000-0002-1465-1926</t>
  </si>
  <si>
    <t>University of Siena; Italian National Antarctic Museum Felice Ippolito; Erasmus Long Life Learning Program; EU [INFRA-2010-262163]</t>
  </si>
  <si>
    <t>University of Siena; Italian National Antarctic Museum Felice Ippolito; Erasmus Long Life Learning Program; EU(European Union (EU))</t>
  </si>
  <si>
    <t>This study was performed in the framework of the PhD project entitled Polystyrene nanoparticles and their impact on marine ecosystems: accumulation, disposal and toxicity in marine species from Antarctic and Mediterranean Seas. PhD student Elisa Bergami, PhD School in Geological, Environmental and Polar sciences and technologies, Department of Physical, Earth and Environmental Sciences, University of Siena (Italy). Funded by the University of Siena and the Italian National Antarctic Museum Felice Ippolito.; PS NPs characterization was performed at the Centre for Bio-Nano Interactions (University College of Dublin) funded by the Erasmus Long Life Learning Program (year 2012-2013) and based onworks supported by the EU FP7 Capacities project Quality Nano (Grant no. INFRA-2010-262163). We thank Claudia Faleri (Dept Life Sciences, University of Siena) for her assistance in TEM images.</t>
  </si>
  <si>
    <t>ACADEMIC PRESS INC ELSEVIER SCIENCE</t>
  </si>
  <si>
    <t>SAN DIEGO</t>
  </si>
  <si>
    <t>525 B ST, STE 1900, SAN DIEGO, CA 92101-4495 USA</t>
  </si>
  <si>
    <t>0147-6513</t>
  </si>
  <si>
    <t>1090-2414</t>
  </si>
  <si>
    <t>ECOTOX ENVIRON SAFE</t>
  </si>
  <si>
    <t>Ecotox. Environ. Safe.</t>
  </si>
  <si>
    <t>10.1016/j.ecoenv.2015.09.021</t>
  </si>
  <si>
    <t>Environmental Sciences; Toxicology</t>
  </si>
  <si>
    <t>Environmental Sciences &amp; Ecology; Toxicology</t>
  </si>
  <si>
    <t>CX2WM</t>
  </si>
  <si>
    <t>Green Submitted, Green Published</t>
  </si>
  <si>
    <t>WOS:000365557500004</t>
  </si>
  <si>
    <t>Wittekind, D; Tougaard, J; Stilz, P; Dähne, M; Clark, CW; Lucke, K; von Benda-Beckmann, S; Ainslie, MA; Siebert, U</t>
  </si>
  <si>
    <t>Popper, AN; Hawkins, A</t>
  </si>
  <si>
    <t>Wittekind, Dietrich; Tougaard, Jakob; Stilz, Peter; Daehne, Michael; Clark, Christopher W.; Lucke, Klaus; von Benda-Beckmann, Sander; Ainslie, Michael A.; Siebert, Ursula</t>
  </si>
  <si>
    <t>Development of a Model to Assess Masking Potential for Marine Mammals by the Use of Air Guns in Antarctic Waters</t>
  </si>
  <si>
    <t>EFFECTS OF NOISE ON AQUATIC LIFE II</t>
  </si>
  <si>
    <t>Advances in Experimental Medicine and Biology</t>
  </si>
  <si>
    <t>3rd International Conference on the Effects of Noise on Aquatic Life</t>
  </si>
  <si>
    <t>AUG, 2013</t>
  </si>
  <si>
    <t>Budapest, HUNGARY</t>
  </si>
  <si>
    <t>Mysticetes; Pinnipeds; Seismic; Propagation modeling</t>
  </si>
  <si>
    <t>SEISMIC SURVEYS; SOUTHERN-OCEAN; NOISE; WHALE; PROPAGATION; ISLAND; BLUE</t>
  </si>
  <si>
    <t>We estimated the long-range effects of air gun array noise on marine mammal communication ranges in the Southern Ocean. Air gun impulses are subject to significant distortion during propagation, potentially resulting in a quasi-continuous sound. Propagation modeling to estimate the received waveform was conducted. A leaky integrator was used as a hearing model to assess communication masking in three species due to intermittent/continuous air gun sounds. Air gun noise is most probably changing from impulse to continuous noise between 1,000 and 2,000 km from the source, leading to a reduced communication range for, e.g., blue and fin whales up to 2,000 km from the source.</t>
  </si>
  <si>
    <t>[Wittekind, Dietrich] DW ShipConsult GmbH, D-24223 Schwentinental, Germany; [Tougaard, Jakob] Aarhus Univ, Dept Biosci, DK-4000 Roskilde, Denmark; [Daehne, Michael; Siebert, Ursula] Univ Vet Med Hannover, Fdn, Inst Terr &amp; Aquat Wildlife Res ITAW, D-25761 Busum, Germany; [Clark, Christopher W.] Cornell Univ, Cornell Bioacoust Res Program, Ithaca, NY 14853 USA; [Lucke, Klaus] LBC, NL-1791 TP Den Berg, Netherlands; [Lucke, Klaus] Wageningen UR, Inst Marine Resources &amp; Ecosyst Studies IMARES, Dept Ecosyst, NL-1790 AD Den Burg, Netherlands; [von Benda-Beckmann, Sander; Ainslie, Michael A.] Netherlands Org Appl Sci Res TNO, NL-2509 JG The Hague, Netherlands</t>
  </si>
  <si>
    <t>Aarhus University; University of Veterinary Medicine Hannover; Cornell University; Wageningen University &amp; Research; Netherlands Organization Applied Science Research</t>
  </si>
  <si>
    <t>Dähne, M (corresponding author), Univ Vet Med Hannover, Fdn, Inst Terr &amp; Aquat Wildlife Res ITAW, D-25761 Busum, Germany.</t>
  </si>
  <si>
    <t>wittekind@dw-sc.de; jat@dmu.dk; peter.stilz@uni-tuebingen.de; michael.daehne@tiho-hannover.de; cwc2@cornell.edu; klaus.lucke@wur.nl; sander.vonbendabeckmann@tno.nl; michael.ainslie@tno.nl; ursula.siebert@tiho-hannover.de</t>
  </si>
  <si>
    <t>Lucke, Klaus/B-9349-2015; Lucke, Klaus/JCE-5127-2023; Tougaard, Jakob/G-4948-2011</t>
  </si>
  <si>
    <t>Lucke, Klaus/0000-0002-5414-3715; Tougaard, Jakob/0000-0002-4422-7800; Ainslie, Michael/0000-0002-0565-3559</t>
  </si>
  <si>
    <t>German Federal Environment Agency (UBA) [3711 19 121]</t>
  </si>
  <si>
    <t>German Federal Environment Agency (UBA)(University of Buenos Aires)</t>
  </si>
  <si>
    <t>The study was funded and supported by German Federal Environment Agency (UBA) Project No. 3711 19 121. We thank Ana Sirovic and Flore Samaran for providing the vocalizations. We are also indebted to Sina Danehl, Ole Meyer-Klaeden, and Abbo van Neer for contributions to the study.</t>
  </si>
  <si>
    <t>0065-2598</t>
  </si>
  <si>
    <t>978-1-4939-2981-8; 978-1-4939-2980-1</t>
  </si>
  <si>
    <t>ADV EXP MED BIOL</t>
  </si>
  <si>
    <t>Adv.Exp.Med.Biol.</t>
  </si>
  <si>
    <t>10.1007/978-1-4939-2981-8_156</t>
  </si>
  <si>
    <t>Environmental Sciences; Marine &amp; Freshwater Biology</t>
  </si>
  <si>
    <t>Conference Proceedings Citation Index - Science (CPCI-S); Science Citation Index Expanded (SCI-EXPANDED)</t>
  </si>
  <si>
    <t>BE2TA</t>
  </si>
  <si>
    <t>WOS:000370000900157</t>
  </si>
  <si>
    <t>Clemens, RS; Rogers, DI; Hansen, BD; Gosbell, K; Minton, CDT; Straw, P; Bamford, M; Woehler, EJ; Milton, DA; Weston, MA; Venables, B; Weller, D; Hassell, C; Rutherford, B; Onton, K; Herrod, A; Studds, CE; Choi, CY; Dhanjal-Adams, KL; Murray, NJ; Skilleter, GA; Fuller, RA</t>
  </si>
  <si>
    <t>Clemens, Robert S.; Rogers, Danny I.; Hansen, Birgita D.; Gosbell, Ken; Minton, Clive D. T.; Straw, Phil; Bamford, Mike; Woehler, Eric J.; Milton, David A.; Weston, Michael A.; Venables, Bill; Weller, Dan; Hassell, Chris; Rutherford, Bill; Onton, Kimberly; Herrod, Ashley; Studds, Colin E.; Choi, Chi-Yeung; Dhanjal-Adams, Kiran L.; Murray, Nicholas J.; Skilleter, Gregory A.; Fuller, Richard A.</t>
  </si>
  <si>
    <t>Continental-scale decreases in shorebird populations in Australia</t>
  </si>
  <si>
    <t>FITNESS CONSEQUENCES; CLIMATE-CHANGE; RED KNOTS; MIGRATION; WETLANDS; VARIABILITY; DECLINE; DISTURBANCE; ECOSYSTEMS; MANAGEMENT</t>
  </si>
  <si>
    <t>Decreases in shorebird populations are increasingly evident worldwide, especially in the East Asian-Australasian Flyway (EAAF). To arrest these declines, it is important to understand the scale of both the problem and the solutions. We analysed an expansive Australian citizen-science dataset, spanning the period 1973 to 2014, to explore factors related to differences in trends among shorebird populations in wetlands throughout Australia. Of seven resident Australian shorebird species, the four inland species exhibited continental decreases, whereas the three coastal species did not. Decreases in inland resident shorebirds were related to changes in availability of water at non-tidal wetlands, suggesting that degradation of wetlands in Australia's interior is playing a role in these declines. For migratory shorebirds, the analyses revealed continental decreases in abundance in 12 of 19 species, and decreases in 17 of 19 in the southern half of Australia over the past 15 years. Many trends were strongly associated with continental gradients in latitude or longitude, suggesting some large-scale patterns in the decreases, with steeper declines often evident in southern Australia. After accounting for this effect, local variables did not explain variation in migratory shorebird trends between sites. Our results are consistent with other studies indicating that decreases in migratory shorebird populations in the EAAF are most likely being driven primarily by factors outside Australia. This reinforces the need for urgent overseas conservation actions. However, substantially heterogeneous trends within Australia, combined with declines of inland resident shorebirds indicate effective management of Australian shorebird habitat remains important.</t>
  </si>
  <si>
    <t>[Clemens, Robert S.; Venables, Bill; Studds, Colin E.; Choi, Chi-Yeung; Dhanjal-Adams, Kiran L.; Skilleter, Gregory A.; Fuller, Richard A.] Univ Queensland, Sch Biol Sci, Environm Decis Grp, St Lucia, Qld 4072, Australia; [Rogers, Danny I.] Arthur Rylah Inst Environm Res, POB 137, Heidelberg, Vic 3084, Australia; [Hansen, Birgita D.] Federat Univ Australia, Ctr eRes &amp; Digital Innovat, POB 663, Ballarat, Vic 3353, Australia; [Gosbell, Ken; Minton, Clive D. T.] Victorian Wader Study Grp, 165 Dalgetty Rd, Beaumaris, Vic 3193, Australia; [Straw, Phil] Avifauna Res &amp; Serv Pty Ltd, POB 2006, Rockdale, NSW 2216, Australia; [Bamford, Mike] Bamford Consulting Ecologists, 23 Plover Way, Kingsley, WA 6026, Australia; [Woehler, Eric J.] BirdLife Tasmania, GPO Box 68, Hobart, Tas 7001, Australia; [Woehler, Eric J.] Univ Tasmania, Inst Marine &amp; Antarctic Studies, Private Bag 129, Hobart, Tas 7001, Australia; [Milton, David A.] Queensland Wader Study Grp, 336 Prout Rd, Burbank, Qld 4156, Australia; [Milton, David A.] CSIRO Oceans &amp; Atmosphere, POB 2583, Brisbane, Qld 4001, Australia; [Weston, Michael A.] Deakin Univ, Fac Sci Engn &amp; Built Environm, Ctr Integrat Ecol, Sch Life &amp; Environm Sci, 221 Burwood Highway, Burwood, Vic 3125, Australia; [Weller, Dan] BirdLife Australia, Suite 2-05,60 Leicester St, Carlton, Vic 3053, Australia; [Hassell, Chris] Global Flyway Network, POB 3089, Broome, WA 6725, Australia; [Rutherford, Bill] Ornithol Tech Serv, Unit 11,15 Profit Pass, Wangara, WA 6065, Australia; [Onton, Kimberly] BirdLife Western Australia, 167 Perry Lakes Dr, Floreat, WA 6014, Australia; [Onton, Kimberly] Dept Pk &amp; Wildlife, POB 835, Karratha, WA 6714, Australia; [Herrod, Ashley] Monash Univ, Sch Biol Sci, Clayton, Vic 3800, Australia; [Murray, Nicholas J.] Univ New S Wales, Ctr Ecosyst Sci, Sch Biol Earth &amp; Environm Sci, Sydney, NSW 2052, Australia</t>
  </si>
  <si>
    <t>University of Queensland; Arthur Rylah Institute for Environmental Research (ARI); Federation University Australia; University of Tasmania; Commonwealth Scientific &amp; Industrial Research Organisation (CSIRO); Deakin University; Monash University; University of New South Wales Sydney</t>
  </si>
  <si>
    <t>Clemens, RS (corresponding author), Univ Queensland, Sch Biol Sci, Environm Decis Grp, St Lucia, Qld 4072, Australia.</t>
  </si>
  <si>
    <t>r.clemens@uq.edu.au</t>
  </si>
  <si>
    <t>Fuller, Richard/B-7971-2008; Weston, Michael/IVH-3564-2023; Choi, Chi Yeung/D-2616-2013; Skilleter, Greg Alan/F-9250-2010; Murray, Nicholas J/E-4607-2016; Milton, David A/A-9794-2011; Hansen, Birgita/AFS-5829-2022; Clemens, Robert/G-5433-2015; Studds, Colin/C-3701-2012</t>
  </si>
  <si>
    <t>Fuller, Richard/0000-0001-9468-9678; Weston, Michael/0000-0002-8717-0410; Choi, Chi Yeung/0000-0001-9829-7460; Skilleter, Greg Alan/0000-0002-4719-0409; Murray, Nicholas J/0000-0002-4008-3053; Hansen, Birgita/0000-0003-3608-7622; Clemens, Robert/0000-0002-1359-5133; Herrod, Ashley/0000-0002-3470-8088; Dhanjal-Adams, Kiran/0000-0002-0496-8428; Woehler, Eric/0000-0002-1125-0748; Studds, Colin/0000-0001-5715-1692</t>
  </si>
  <si>
    <t>Stuart Leslie Bird Research Award; BirdLife Australia</t>
  </si>
  <si>
    <t>The trends we found in this study are a function of the high quality of available data, which is a result of the work of the citizens taking part. Many of the counters are often professional biologists or ecologists who have routinely given up their weekends, month after month, year after year, to monitor shorebirds. Determining the best method for monitoring shorebirds in Australia takes considerable time, as each site is unique regarding how to best get a repeatable count. That understanding requires knowledge of how birds use the available habitat within each area given the tides and other variables. Building those understandings and committing to surveying for decades are unique qualities of the volunteers contributing to these data. Further, these volunteers are often effective conservation champions whose active work on behalf of shorebirds likely helped protect many coastal shorebird habitats. We thank the Australasian Wader Studies Group; Western Australia Wader Study Group; Victorian Wader Study Group; New South Wales Wader Study Group; Queensland Wader Study Group; BirdLife Australia (formerly Bird Observation and Conservation Australia (BOCA) and Birds Australia) and its regional branches and observatories, especially BirdLife Western Australia, including the branches BirdLife Albany and BirdLife Esperance; BirdLife Tasmania, Broome Bird Observatory; Eyre Bird Observatory; the Atlas of Australian Birds program (Birdata, available at http://www.birdata.com.au/homecontent.do); and the Shorebirds 2020 program (http://birdlife.org.au/projects/shorebirds-2020). We also thank: the Friends of Shorebirds SE, Carpenter Rocks, South Australia; the Global Flyway Network (http://globalflywaynetwork.com.au/), Broome, Western Australia; Friends of Streaky Bay District Parks, Eyre Peninsula, South Australia; Hunter Bird Observers Club, New Lambton, New South Wales; and the South Australian Ornithological Association Inc., Adelaide, South Australia. We would also like to acknowledge the support given through the Stuart Leslie Bird Research Award and BirdLife Australia. Additional acknowledgements of some of the many individuals who made this work possible are listed in the Supplementary material (online).</t>
  </si>
  <si>
    <t>10.1071/MU15056</t>
  </si>
  <si>
    <t>DL6XZ</t>
  </si>
  <si>
    <t>Green Published, Green Submitted</t>
  </si>
  <si>
    <t>WOS:000375784700004</t>
  </si>
  <si>
    <t>Kinsey, JD; Kieber, DJ; Neale, PJ</t>
  </si>
  <si>
    <t>Kinsey, Joanna D.; Kieber, David J.; Neale, Patrick J.</t>
  </si>
  <si>
    <t>Effects of iron limitation and UV radiation on Phaeocystis antarctica growth and dimethylsulfoniopropionate, dimethylsulfoxide and acrylate concentrations</t>
  </si>
  <si>
    <t>ENVIRONMENTAL CHEMISTRY</t>
  </si>
  <si>
    <t>6th International Symposium on Biological and Environmental Chemistry of DMS(P) and Related Compounds</t>
  </si>
  <si>
    <t>MAY 26-30, 2014</t>
  </si>
  <si>
    <t>Inst Ciencies Mar, Barcelona, SPAIN</t>
  </si>
  <si>
    <t>Inst Ciencies Mar</t>
  </si>
  <si>
    <t>acrylic acid; algae; antioxidant; carbon overflow; DMSP; DMSO; DMS; reactive oxygen species; ROS; Ross Sea; Southern Ocean; ultraviolet radiation</t>
  </si>
  <si>
    <t>FRAGILARIOPSIS-CYLINDRUS BACILLARIOPHYCEAE; MARINE-PHYTOPLANKTON; SOUTHERN-OCEAN; ROSS SEA; ULTRAVIOLET-RADIATION; PHYSIOLOGICAL-ASPECTS; PRIMARY PRODUCTIVITY; WEIGHTING FUNCTIONS; EMILIANIA-HUXLEYI; NITRATE REDUCTASE</t>
  </si>
  <si>
    <t>Environmental context Low iron concentrations and solar ultraviolet radiation can affect the growth of marine algae. We observed reduced growth and substantial increases in dissolved dimethylsulfoxide and cellular acrylate concentrations in low-iron cultures of a prevalent Southern Ocean algal species, Phaeocystis antarctica, with comparatively small increases observed for cellular dimethylsulfoniopropionate concentrations. Exposure of P. antarctica to high levels of ultraviolet and visible light had very little effect on concentrations of these compounds in culture, even under iron-limitation. Our results highlight the importance of iron to P. antarctica. Abstract Iron is a key nutrient regulating primary production in the Southern Ocean. We investigated the effect of iron limitation with and without exposure to ultraviolet radiation (UVR, 290-400nm) on concentrations of dimethylsulfoniopropionate (DMSP), dimethylsulfoxide (DMSO) and acrylate in axenic batch cultures of Phaeocystis antarctica, a dominant algal species in Antarctic waters. Cellular concentrations of DMSP and acrylate, and cell-number normalised dissolved DMSO concentrations were 1.4-, 11.5- and 6.9-fold higher in iron-limited cultures compared to iron-replete cultures, which we propose resulted from (1) increased reactions of DMSP and dimethylsulfide (DMS) with reactive oxygen species to produce DMSO and (2) increased DMSP cleavage under iron limitation to produce acrylate. Short-term exposure (4h) of iron-limited and iron-replete cultures to a range of photosynthetically active radiation (PAR) and UVR+PAR irradiances did not appreciably affect P. antarctica biomass or total DMSP, DMSO or acrylate concentrations, except at high UVR intensities, suggesting that iron limitation was the primary driver regulating growth and changes in concentrations of these compounds in P. antarctica. High millimolar cellular DMSP and acrylate concentrations under both iron-replete and iron-limited conditions indicated that these two compounds served as de facto antioxidants allowing P. antarctica to thrive under high UVR exposure and low iron concentrations. High dissolved acrylate concentrations indicate significant carbon removal possibly as part of an overflow mechanism during unbalanced growth.</t>
  </si>
  <si>
    <t>[Kinsey, Joanna D.; Kieber, David J.] SUNY Coll Environm Sci &amp; Forestry, Dept Chem, 1 Forestry Dr, Syracuse, NY 13210 USA; [Neale, Patrick J.] Smithsonian Environm Res Ctr, 647 Contees Wharf Rd, Edgewater, MD 21037 USA</t>
  </si>
  <si>
    <t>State University of New York (SUNY) System; State University of New York (SUNY) College of Environmental Science &amp; Forestry; Smithsonian Institution; Smithsonian Environmental Research Center</t>
  </si>
  <si>
    <t>Kieber, DJ (corresponding author), SUNY Coll Environm Sci &amp; Forestry, Dept Chem, 1 Forestry Dr, Syracuse, NY 13210 USA.</t>
  </si>
  <si>
    <t>djkieber@esf.edu</t>
  </si>
  <si>
    <t>Neale, Patrick/A-3683-2012</t>
  </si>
  <si>
    <t>Kinsey, Joanna/0000-0001-8513-6879; Neale, Patrick/0000-0002-4047-8098</t>
  </si>
  <si>
    <t>1448-2517</t>
  </si>
  <si>
    <t>1449-8979</t>
  </si>
  <si>
    <t>ENVIRON CHEM</t>
  </si>
  <si>
    <t>Environ. Chem.</t>
  </si>
  <si>
    <t>10.1071/EN14275</t>
  </si>
  <si>
    <t>DH8SU</t>
  </si>
  <si>
    <t>WOS:000373067500003</t>
  </si>
  <si>
    <t>Barbaro, E; Zangrando, R; Kirchgeorg, T; Bazzano, A; Illuminati, S; Annibaldi, A; Rella, S; Truzzi, C; Grotti, M; Ceccarini, A; Malitesta, C; Scarponi, G; Gambaro, A</t>
  </si>
  <si>
    <t>Barbaro, E.; Zangrando, R.; Kirchgeorg, T.; Bazzano, A.; Illuminati, S.; Annibaldi, A.; Rella, S.; Truzzi, C.; Grotti, M.; Ceccarini, A.; Malitesta, C.; Scarponi, G.; Gambaro, A.</t>
  </si>
  <si>
    <t>An integrated study of the chemical composition of Antarctic aerosol to investigate natural and anthropogenic sources</t>
  </si>
  <si>
    <t>amino acids; Antarctica; ions; carboxylic acids; metals; POPs; sugars</t>
  </si>
  <si>
    <t>TERRA-NOVA BAY; PERSISTENT ORGANIC POLLUTANTS; ANODIC-STRIPPING VOLTAMMETRY; SOLUBLE DICARBOXYLIC-ACIDS; ATMOSPHERIC AEROSOLS; KETOCARBOXYLIC ACIDS; SIZE DISTRIBUTIONS; LEAD CONCENTRATION; MARINE AEROSOLS; OCEAN</t>
  </si>
  <si>
    <t>During the 2010-11 austral summer, an aerosol sampling campaign was carried out at a coastal Antarctic site (Terra Nova Bay, Victoria Land). In this work, previously published data about water-soluble organic compounds and major and trace elements were merged with novel measurements of major ions, carboxylic acids and persistent organic pollutants (polychlorobiphenyls, polycyclic aromatic hydrocarbons, polychlorinated naphthalenes, polybrominated diphenylethers and organochlorine pesticides) in order to provide a chemical characterisation of Antarctic aerosol and to investigate its sources. The persistent organic pollutants were determined using a high-volume sampler, able to collect both particulate and gaseous fractions, whereas remaining compounds were determined by performing an aerosol size fractionation with a PM10 cascade impactor. Ionic species represented 58% (350 ng m(-3)) of the sum of concentrations of all detected compounds (596 ng m(-3)) in our Antarctic PM10 aerosol samples due to natural emission. Trace concentrations of persistent organic pollutants highlighted that the occurrence of these species can be due to long-range atmospheric transport or due to the research base. Factor analysis was applied to the dataset obtained from the samples collected with the PM10 sampler in order to make a distinction between anthropogenic, crustal and biogenic sources using specific chemical markers.</t>
  </si>
  <si>
    <t>[Barbaro, E.; Kirchgeorg, T.; Gambaro, A.] Univ Venice, Dept Environm Sci Informat &amp; Stat, Via Torino 155, I-30172 Venice, Italy; [Barbaro, E.; Zangrando, R.; Gambaro, A.] CNR, Inst Dynam Environm Proc, Via Torino 155, I-30172 Venice, Italy; [Bazzano, A.; Grotti, M.] Univ Genoa, Dept Chem &amp; Ind Chem, Via Dodecaneso 31, I-16146 Genoa, Italy; [Illuminati, S.; Annibaldi, A.; Truzzi, C.; Scarponi, G.] Polytech Univ Marche, Dept Life &amp; Environm Sci, Via Brecce Bianche, I-60131 Ancona, Italy; [Rella, S.; Malitesta, C.] Univ Salento, Dept Biol &amp; Environm Sci &amp; Technol, Via Monteroni, I-73100 Lecce, Italy; [Ceccarini, A.] Univ Pisa, Dept Chem &amp; Ind Chem, Via Moruzzi 13, I-56124 Pisa, Italy</t>
  </si>
  <si>
    <t>Universita Ca Foscari Venezia; Consiglio Nazionale delle Ricerche (CNR); Istituto per la Dinamica dei Processi Ambientali (IDPA-CNR); University of Genoa; Marche Polytechnic University; University of Salento; University of Pisa</t>
  </si>
  <si>
    <t>Barbaro, E (corresponding author), Univ Venice, Dept Environm Sci Informat &amp; Stat, Via Torino 155, I-30172 Venice, Italy.;Barbaro, E (corresponding author), CNR, Inst Dynam Environm Proc, Via Torino 155, I-30172 Venice, Italy.</t>
  </si>
  <si>
    <t>barbaro@unive.it</t>
  </si>
  <si>
    <t>Malitesta, Cosimino/A-4065-2011; Scarponi, Giuseppe/AAQ-6394-2021; Bazzano, Andrea/B-9574-2016; Bazzano, Andrea/O-2879-2019; BARBARO, ELENA/AAK-3106-2021; Grotti, Marco/HGU-3949-2022; Illuminati, Silvia/T-7873-2019; Barbaro, Elena/AAX-8809-2020; Illuminati, Silvia/GXZ-5038-2022; Rella, Simona/E-2247-2015</t>
  </si>
  <si>
    <t>Malitesta, Cosimino/0000-0002-3547-210X; Scarponi, Giuseppe/0000-0003-2932-0596; Bazzano, Andrea/0000-0002-9353-3919; Bazzano, Andrea/0000-0002-9353-3919; Grotti, Marco/0000-0001-6956-5761; Illuminati, Silvia/0000-0001-6465-5477; Barbaro, Elena/0000-0003-2639-7475; Rella, Simona/0000-0003-2255-4664; Kirchgeorg, Torben/0000-0002-5253-8318</t>
  </si>
  <si>
    <t>Italian National Program of Antarctic Research (PNRA) through the project 'Studio delle sorgenti e dei processi di trasferimento dell'aerosol atmosferico antartico' [2009/A2.11]; National Research Council of Italy (Consiglio Nazionale delle Ricerche, CNR); [PON 254/Ric Cod. PONa3_00334]</t>
  </si>
  <si>
    <t>Italian National Program of Antarctic Research (PNRA) through the project 'Studio delle sorgenti e dei processi di trasferimento dell'aerosol atmosferico antartico'; National Research Council of Italy (Consiglio Nazionale delle Ricerche, CNR);</t>
  </si>
  <si>
    <t>This work was financially supported by the Italian National Program of Antarctic Research (PNRA) through the project 'Studio delle sorgenti e dei processi di trasferimento dell'aerosol atmosferico antartico' (no. 2009/A2.11) and the project PON 254/Ric Cod. PONa3_00334. The research was also supported by the National Research Council of Italy (Consiglio Nazionale delle Ricerche, CNR). The authors thank ELGA LabWater for providing the Pure-Laboratory Option-R and Ultra Analytic, which produced the ultrapure water used in these experiments.</t>
  </si>
  <si>
    <t>10.1071/EN16056</t>
  </si>
  <si>
    <t>DX5PF</t>
  </si>
  <si>
    <t>WOS:000384432600010</t>
  </si>
  <si>
    <t>Padeiro, A; Amaro, E; dos Santos, MMC; Araújo, MF; Gomes, SS; Leppe, M; Verkulich, S; Hughes, KA; Peter, HU; Canário, J</t>
  </si>
  <si>
    <t>Padeiro, Ana; Amaro, Eduardo; dos Santos, Margarida M. C.; Araujo, Maria F.; Gomes, Susana S.; Leppe, Marcelo; Verkulich, Sergey; Hughes, Kevin A.; Peter, Hans-Ulrich; Canario, Joao</t>
  </si>
  <si>
    <t>Trace element contamination and availability in the Fildes Peninsula, King George Island, Antarctica</t>
  </si>
  <si>
    <t>ENVIRONMENTAL SCIENCE-PROCESSES &amp; IMPACTS</t>
  </si>
  <si>
    <t>COASTAL SEDIMENTS; EAST ANTARCTICA; CASEY STATION; METALS; SOILS; WATERS; MATTER; IRON; REMEDIATION; ENRICHMENT</t>
  </si>
  <si>
    <t>The Ardley Cove area (located on the Maxwell Bay shoreline, Fildes Peninsula, King George Island, Antarctica) is characterized not only by its high biodiversity, but also by a high density of scientific stations, making it potentially one of the most impacted areas of Antarctica. In order to assess the source, contamination levels, distribution and availability of several trace elements (Cr, Ni, Cu, Zn, As, Pb, Cd and Hg) in and around Maxwell Bay, soil and seawater samples were collected. Soil samples were also collected in the study reference site near the Bellingshausen Dome area, as it lies far from centers of human activity and associated infrastructure. Enrichment factors (EFs) and sequential extractions were also used to assess the degree of contamination and availability of the trace elements under investigation. The results obtained in this study pointed to the existence of several contamination hotspots, mainly related to high levels of Zn, Pb, Cd, Cr and Ni. Comparison of the contaminant distribution patterns with data from earlier studies allowed the identification of anthropogenic sources. Use of the EF approach and sequential extractions confirmed these findings. In particular, higher extraction proportions were obtained for Zn and Pb (68 and 71%, respectively), which were also the same elements where the highest EFs were determined. The results obtained in this study clearly point to human impact on the natural environment in this region of Antarctica and we recommend the implementation of appropriate contamination control and remediation methods.</t>
  </si>
  <si>
    <t>[Padeiro, Ana; Amaro, Eduardo; dos Santos, Margarida M. C.; Canario, Joao] Univ Lisbon, Inst Super Tecn, Ctr Quim Estrutural, Av Rovisco Pais, P-1049001 Lisbon, Portugal; [Araujo, Maria F.; Gomes, Susana S.] Univ Lisbon, Inst Super Tecn, C2TN, P-1049001 Lisbon, Portugal; [Leppe, Marcelo] Chilean Antarctic Inst, INACH, Punta Arenas, Chile; [Verkulich, Sergey] Arctic &amp; Antarctic Res Inst, St Petersburg, Russia; [Hughes, Kevin A.] British Antarctic Survey, NERC, Madingley Rd, Cambridge CB3 0ET, England; [Peter, Hans-Ulrich] Univ Jena, Jena, Germany</t>
  </si>
  <si>
    <t>Universidade de Lisboa; Universidade de Lisboa; Arctic &amp; Antarctic Research Institute; UK Research &amp; Innovation (UKRI); Natural Environment Research Council (NERC); NERC British Antarctic Survey; Friedrich Schiller University of Jena</t>
  </si>
  <si>
    <t>Canário, J (corresponding author), Univ Lisbon, Inst Super Tecn, Ctr Quim Estrutural, Av Rovisco Pais, P-1049001 Lisbon, Portugal.</t>
  </si>
  <si>
    <t>joao.canario@tecnico.ulisboa.pt</t>
  </si>
  <si>
    <t>Canário, João/O-7189-2019; Gomes, Susana Cardoso/GQZ-8654-2022; Leppe, Marcelo/L-5447-2014; de Sousa e Silva Gomes, Susana Alves/B-3376-2015; Canário, João/B-1193-2008; dos Santos, Margarida MPC/H-7897-2012; Hughes, Kevin/JVZ-0793-2024; Araujo, M. Fatima/K-2289-2013</t>
  </si>
  <si>
    <t>Canário, João/0000-0002-5190-446X; Leppe, Marcelo/0000-0002-1545-8167; de Sousa e Silva Gomes, Susana Alves/0000-0002-8622-2119; Canário, João/0000-0002-5190-446X; dos Santos, Margarida MPC/0000-0001-7531-757X; Araujo, M. Fatima/0000-0001-9192-9461; Padeiro, Ana Carina/0000-0001-7750-2146</t>
  </si>
  <si>
    <t>Portuguese Polar Program; Chilean Antarctic Institute; Portuguese Polar Program (PROPOLAR) - Fundacao para a Ciencia e Tecnologia; FCT project [UID/QUI/00100/2013]; Natural Environment Research Council [bas010011] Funding Source: researchfish; NERC [bas010011] Funding Source: UKRI</t>
  </si>
  <si>
    <t>Portuguese Polar Program; Chilean Antarctic Institute; Portuguese Polar Program (PROPOLAR) - Fundacao para a Ciencia e Tecnologia; FCT project(Fundacao para a Ciencia e a Tecnologia (FCT)); Natural Environment Research Council(UK Research &amp; Innovation (UKRI)Natural Environment Research Council (NERC)); NERC(UK Research &amp; Innovation (UKRI)Natural Environment Research Council (NERC))</t>
  </si>
  <si>
    <t>We thank the Portuguese Polar Program and the Chilean Antarctic Institute for support and logistics. Ana Padeiro and Eduardo Amaro also would like to acknowledge the PROPOLAR, Bolsas de Mobilidade do de Jovens Cientistas Polares. This work was financially supported by the Portuguese Polar Program (PROPOLAR) funded by Fundacao para a Ciencia e Tecnologia and by the FCT project UID/QUI/00100/2013. This work is a contribution to the Scientific Committee on Antarctic Research (SCAR) 'State of the Antarctic Ecosystem' (AntEco) program.</t>
  </si>
  <si>
    <t>2050-7887</t>
  </si>
  <si>
    <t>2050-7895</t>
  </si>
  <si>
    <t>ENVIRON SCI-PROC IMP</t>
  </si>
  <si>
    <t>Environ. Sci.-Process Impacts</t>
  </si>
  <si>
    <t>10.1039/c6em00052e</t>
  </si>
  <si>
    <t>DP1FX</t>
  </si>
  <si>
    <t>WOS:000378237000001</t>
  </si>
  <si>
    <t>Rodhouse, PGK; Yamashiro, C; Arguelles, J</t>
  </si>
  <si>
    <t>Rodhouse, Paul G. K.; Yamashiro, Carmen; Arguelles, Juan</t>
  </si>
  <si>
    <t>Jumbo squid in the eastern Pacific Ocean: A quarter century of challenges and change Introduction</t>
  </si>
  <si>
    <t>FISHERIES RESEARCH</t>
  </si>
  <si>
    <t>DOSIDICUS-GIGAS; FISHERY; BIOLOGY</t>
  </si>
  <si>
    <t>[Rodhouse, Paul G. K.] British Antarctic Survey, Cambridge CB3 0ET, England; [Yamashiro, Carmen; Arguelles, Juan] Inst del Mar Peru, Chucuito, Callao, Peru</t>
  </si>
  <si>
    <t>UK Research &amp; Innovation (UKRI); Natural Environment Research Council (NERC); NERC British Antarctic Survey; Instituto del Mar del Peru</t>
  </si>
  <si>
    <t>Rodhouse, PGK (corresponding author), British Antarctic Survey, Madingley Rd, Cambridge CB3 0ET, England.</t>
  </si>
  <si>
    <t>pgkr@bas.ac.uk</t>
  </si>
  <si>
    <t>Rodhouse, Paul/0000-0001-5399-967X; Yamashiro-Guinoza, Carmen Rosario/0000-0003-4379-4392</t>
  </si>
  <si>
    <t>NERC [bas010011] Funding Source: UKRI; Natural Environment Research Council [bas010011] Funding Source: researchfish</t>
  </si>
  <si>
    <t>0165-7836</t>
  </si>
  <si>
    <t>1872-6763</t>
  </si>
  <si>
    <t>FISH RES</t>
  </si>
  <si>
    <t>Fish Res.</t>
  </si>
  <si>
    <t>10.1016/j.fishres.2015.11.001</t>
  </si>
  <si>
    <t>DA4MO</t>
  </si>
  <si>
    <t>WOS:000367774200001</t>
  </si>
  <si>
    <t>Wang, YC; Chang, YG; Xue, Y; Li, ZJ; Wang, YM; Xue, CH</t>
  </si>
  <si>
    <t>Wang, Yanchao; Chang, Yaoguang; Xue, Yong; Li, Zhaojie; Wang, Yuming; Xue, Changhu</t>
  </si>
  <si>
    <t>Rheology and microstructure of heat-induced fluid gels from Antarctic krill (Euphausia superba) protein: Effect of pH</t>
  </si>
  <si>
    <t>FOOD HYDROCOLLOIDS</t>
  </si>
  <si>
    <t>Krill protein; Fluid gels; Microstructure; Flow behavior; Thixotropy</t>
  </si>
  <si>
    <t>HYDROPHOBICALLY-MODIFIED POLYACRYLAMIDE; BETA-LACTOGLOBULIN-B; ALPHA-LACTALBUMIN; SKIM MILK; FLOW PROPERTIES; BEHAVIOR; EXTRACTION; VISCOSITY; ISOLATE; SHEAR</t>
  </si>
  <si>
    <t>Antarctic krill (Euphausia superba) offers a high potential for development of innovative food products due to its large reserves and satisfied nutritional values. This study aimed to evaluate the thickening function of heat-induced krill protein fluid gels through the investigation of their flow behavior and microstructure. The microstructure of these physical gels was classified as four types, including particulate gels (pH 5.5), transition state from particulate to branched gels (pH 6.0), loose connected networks (pH 6.8, 7.0, 8.0 and 8.6) and fine cross-linked structure (pH 6.4, 7.2 and 7.5). Gels at pH 5.5 and 7.2 showed significantly higher gel strength in comparison with their counterparts at other pHs. Fluid gels showed characteristic non-Newtonian pseudoplastic behavior with low flow behavior indexes in the shear thinning region. Fluid gels at pH 7.2 showed significantly higher viscosity in comparison with other gels, which was related with its viscoelasticity and microstructure. Fluid gels with branched networks exhibited significantly better water binding capacities than particulate gels. Fluid gels became less pseudoplastic as temperature increased, which resulted from the melting of gels. The thixotropy of fluid gels was demonstrated through loop test, stepwise test and start-up flow experiment. Particulate gels at pH 5.5 showed smaller thixotropy in comparison with branched gels at higher pHs. Fine connected fluid gels showed lower structural recovery than loose cross-linked gels under stepwise test. This resulted from the irreversible damage of fine connected structure under high shear rate. Heat-induced fluid gels of krill protein exhibited thickening function and could be applied in food development with desired requirement. (C) 2015 Elsevier Ltd. All rights reserved.</t>
  </si>
  <si>
    <t>[Wang, Yanchao; Chang, Yaoguang; Xue, Yong; Li, Zhaojie; Wang, Yuming; Xue, Changhu] Ocean Univ China, Coll Food Sci &amp; Engn, Qingdao 266003, Peoples R China</t>
  </si>
  <si>
    <t>Xue, CH (corresponding author), Ocean Univ China, Coll Food Sci &amp; Engn, Qingdao 266003, Peoples R China.</t>
  </si>
  <si>
    <t>xuech@ouc.edu.cn</t>
  </si>
  <si>
    <t>Chang, Yaoguang/E-5875-2014; yuming, wang/K-8179-2012</t>
  </si>
  <si>
    <t>National Natural Science Foundation of China [31330060, U1406402]; National High Technology Research, Development Program of China (863 Program) [2011AA090801]</t>
  </si>
  <si>
    <t>National Natural Science Foundation of China(National Natural Science Foundation of China (NSFC)); National High Technology Research, Development Program of China (863 Program)(National High Technology Research and Development Program of China)</t>
  </si>
  <si>
    <t>This work was supported by National Natural Science Foundation of China (No. 31330060 and U1406402), and National High Technology Research, Development Program of China (863 Program) (No. 2011AA090801).</t>
  </si>
  <si>
    <t>0268-005X</t>
  </si>
  <si>
    <t>1873-7137</t>
  </si>
  <si>
    <t>FOOD HYDROCOLLOID</t>
  </si>
  <si>
    <t>Food Hydrocolloids</t>
  </si>
  <si>
    <t>10.1016/j.foodhyd.2015.07.032</t>
  </si>
  <si>
    <t>Chemistry, Applied; Food Science &amp; Technology</t>
  </si>
  <si>
    <t>Chemistry; Food Science &amp; Technology</t>
  </si>
  <si>
    <t>CU8ZJ</t>
  </si>
  <si>
    <t>WOS:000363832300052</t>
  </si>
  <si>
    <t>Van de Vijver, B; Kopalová, K; Zidarova, R</t>
  </si>
  <si>
    <t>Van de Vijver, Bart; Kopalova, Katerina; Zidarova, Ralitsa</t>
  </si>
  <si>
    <t>Revision of the Psammothidium germainii complex (Bacillariophyta) in the Maritime Antarctic Region</t>
  </si>
  <si>
    <t>Psammothidium; monoraphid diatoms; Antarctic Region; type material; morphology</t>
  </si>
  <si>
    <t>FRESH-WATER; DIATOM COMMUNITIES; LIVINGSTON ISLAND; SHETLAND ISLANDS; BYERS PENINSULA; FLORA; LAKES</t>
  </si>
  <si>
    <t>Psammothidium germainii is a widespread freshwater monoraphid diatom species in the Antarctic Region. Detailed analysis of the populations in the different parts of the Antarctic Region revealed the presence of several species that were lumped under the name 'P. germainii'. The type material of both Achnanthes germainii and Achnanthes ninckei has been investigated to allow a better morphological delimitation of both taxa and to better characterize the new taxa. Two new taxa are proposed: Psammothidium rostrogermainii sp. nov., typical for its rostrate apices and its rather distantly spaced stria pattern, and Psammothidium germainioides sp. nov., formerly identified in Antarctica as Achnanthes ninckei. Both new taxa are illustrated using light and scanning electron micrographs and are compared with similar taxa worldwide. Additionally, two populations of Psammothidium germainii lacking a raphe on the raphevalve are illustrated and discussed.</t>
  </si>
  <si>
    <t>[Van de Vijver, Bart] Bot Garden Meise, Dept Bryophyta &amp; Thallophyta, Nieuwelaan 38, B-1860 Meise, Belgium; [Van de Vijver, Bart] Univ Antwerp, Dept Biol, ECOBE, Univ Pl 1, B-2610 Antwerp, Belgium; [Kopalova, Katerina] Charles Univ Prague, Fac Sci, Dept Ecol, Vinicna 7, Prague 12844 2, Czech Republic; [Zidarova, Ralitsa] Sofia Univ St Kliment Ohridski, Fac Biol, Dept Bot, 8 Dragan Tzankov Blvd, Sofia 1164, Bulgaria</t>
  </si>
  <si>
    <t>University of Antwerp; Charles University Prague; University of Sofia</t>
  </si>
  <si>
    <t>Van de Vijver, B (corresponding author), Bot Garden Meise, Dept Bryophyta &amp; Thallophyta, Nieuwelaan 38, B-1860 Meise, Belgium.;Van de Vijver, B (corresponding author), Univ Antwerp, Dept Biol, ECOBE, Univ Pl 1, B-2610 Antwerp, Belgium.</t>
  </si>
  <si>
    <t>bart.vandevijver@plantentuinmeise.be; k.kopalova@hotmail.com; zidarova.r@gmail.com</t>
  </si>
  <si>
    <t>project RVO [67985939]; Ministerio de Ciencia y Tecnologia, Spain [POL2006-06635]; FWO [G.0533.07]; BELSPO project CCAMBIO</t>
  </si>
  <si>
    <t>project RVO(Netherlands Enterprise Agency (RVO)); Ministerio de Ciencia y Tecnologia, Spain(Spanish Government); FWO(FWO); BELSPO project CCAMBIO</t>
  </si>
  <si>
    <t>This study was supported as a long-term research development project RVO no. 67985939. Samples on Byers Peninsula were taken in the framework of the IPY-Limnopolar Project POL2006-06635 (Ministerio de Ciencia y Tecnologia, Spain). Observations on Deception Island, King George Island and Nelson Island were done within (sic)MY 03-63 (Bulgarian Science Fund). Part of this research was funded within the FWO project G.0533.07 and by the BELSPO project CCAMBIO. Dr. ALEX BALL and the staff of the IAC laboratory at the Natural History Museum are thanked for their help with the scanning electron microscopy. Dr. Niek Gremmen is thanked for sampling at Heard Island and the Prince Edward Islands. Dr. LINE LE GALL of the Museum national d'Histoire naturelle (MNHN) in Paris is thanked for borrowing us the type slides or Achnanthes germainii and A. ninckei.</t>
  </si>
  <si>
    <t>10.5507/fot.2016.008</t>
  </si>
  <si>
    <t>EF5MP</t>
  </si>
  <si>
    <t>WOS:000390374600001</t>
  </si>
  <si>
    <t>Cherel, Y; Quilifeldt, P; Delord, K; Weimerskirch, H</t>
  </si>
  <si>
    <t>Cherel, Yves; Quilifeldt, Petra; Delord, Karine; Weimerskirch, Henri</t>
  </si>
  <si>
    <t>Combination of At-Sea Activity, Geolocation and Feather Stable Isotopes Documents Where and When Seabirds Molt</t>
  </si>
  <si>
    <t>FRONTIERS IN ECOLOGY AND EVOLUTION</t>
  </si>
  <si>
    <t>body feathers; flight feathers; inter-breeding period; petrels; Procellariiformes; Southern Ocean; winter</t>
  </si>
  <si>
    <t>TRANS-EQUATORIAL MIGRATION; PETRELS PROCELLARIA-AEQUINOCTIALIS; BLACK-LEGGED KITTIWAKES; ACTIVITY PATTERNS; FEEDING ECOLOGY; ROUND DISTRIBUTION; BLUE-PETRELS; SURFACE TEMPERATURE; POPULATION-DYNAMICS; HALOBAENA-CAERULEA</t>
  </si>
  <si>
    <t>Key facets of the foraging ecology of seabirds during the inter-breeding period still remain poorly understood because of the difficulty of studying them at sea, including during the energy-demanding molting stage. Here, the extent to which three sympatric petrels (Antarctic and thin-billed prions, and blue petrel) from the subantarctic Kerguelen Islands modify their foraging ecology during molt was investigated using a combination of complementary tools, namely miniaturized saltwater immersion geolocators (GLS) and the isotopic method. Firstly, molting behavior was first characterized in the blue petrel, a reference species that is known to renew its plumage in autumn. GLS and feather stable isotopes (delta C-13 as a proxy of the birds foraging habitat) indicated that the post-breeding molt of blue petrel occurred in Antarctic waters. Importantly, activity recorders showed that molt was marked by a strong peak in time spent daily sitting on water, which thereafter declined to lower values during the remaining winter months. Secondly, the peak in time spent sitting on water was used as a proxy to characterize the contrasted molt strategies of the two prion species. As blue petrels demonstrated, thin-billed prions molted during the post breeding period in cold Antarctic waters where they fed primarily on low trophic level prey, most likely Antarctic krill (delta N-15 as a proxy of the birds' diet). By contrast, Antarctic prions presented an unexpected pre-breeding molt of longer duration that took place further north, in warm subtropical waters. Interestingly, the two Antarctic molting species, the blue petrel and thin-billed prion, renewed their plumage at the same time and within the same oceanic zone that is likely to be a previously undescribed hot spot of seabird diversity during the Austral autumn. The study contributes to a growing body of evidence that closely-related species exhibit various foraging strategies allowing ecological segregation and sheds new light on the poorly known critical molting stage of seabirds.</t>
  </si>
  <si>
    <t>[Cherel, Yves; Delord, Karine; Weimerskirch, Henri] Univ La Rochelle, CNRS, Ctr Etud Biol Chize, UMR 7372, Villiers En Bois, France; [Quilifeldt, Petra] Justus Liebig Univ Giessen, Dept Anim Ecol &amp; Systemat, Giessen, Germany</t>
  </si>
  <si>
    <t>Centre National de la Recherche Scientifique (CNRS); CNRS - Institute of Ecology &amp; Environment (INEE); La Rochelle Universite; Justus Liebig University Giessen</t>
  </si>
  <si>
    <t>Cherel, Y (corresponding author), Univ La Rochelle, CNRS, Ctr Etud Biol Chize, UMR 7372, Villiers En Bois, France.</t>
  </si>
  <si>
    <t>cherel@cebc.cnrs.fr</t>
  </si>
  <si>
    <t>Weimerskirch, Henri/F-5562-2013; Quillfeldt, Petra/A-9549-2009</t>
  </si>
  <si>
    <t>Quillfeldt, Petra/0000-0002-4450-8688</t>
  </si>
  <si>
    <t>IPEV [109]; TAAF; Heisenberg program (DFG) [Qu 148-5]</t>
  </si>
  <si>
    <t>IPEV; TAAF; Heisenberg program (DFG)(German Research Foundation (DFG))</t>
  </si>
  <si>
    <t>The present work was supported financially and logistically by IPEV (Programme No 109, HW) and TAAF. PQ was supported by a grant of the Heisenberg program (DFG, Qu 148-5).</t>
  </si>
  <si>
    <t>FRONTIERS MEDIA SA</t>
  </si>
  <si>
    <t>LAUSANNE</t>
  </si>
  <si>
    <t>AVENUE DU TRIBUNAL FEDERAL 34, LAUSANNE, CH-1015, SWITZERLAND</t>
  </si>
  <si>
    <t>2296-701X</t>
  </si>
  <si>
    <t>FRONT ECOL EVOL</t>
  </si>
  <si>
    <t>Front. Ecol. Evol.</t>
  </si>
  <si>
    <t>10.3389/fevo.2016.00003</t>
  </si>
  <si>
    <t>VI8OC</t>
  </si>
  <si>
    <t>WOS:000517761700003</t>
  </si>
  <si>
    <t>Springer, MS; Emerling, CA; Fugate, N; Patel, R; Starrett, J; Morins, PA; Hayashi, C; Gatesy, J</t>
  </si>
  <si>
    <t>Springer, Mark S.; Emerling, Christopher A.; Fugate, Noah; Patel, Rachna; Starrett, James; Morins, Phillip A.; Hayashi, Cheryl; Gatesy, John</t>
  </si>
  <si>
    <t>Inactivation of Cone-Specific Phototransduction Genes in Rod Monochromatic Cetaceans</t>
  </si>
  <si>
    <t>Cetacea; opsins; phototransduction; pseudogenes; rod monochromacy</t>
  </si>
  <si>
    <t>VISUAL PIGMENTS; PHYLOGENETIC ANALYSIS; COLOR-VISION; OPSIN GENES; EVOLUTION; WHALES; PHOTOPIGMENTS; MITOCHONDRIAL; MYSTICETE; SEALS</t>
  </si>
  <si>
    <t>Vertebrate vision is mediated by two types of photoreceptors, rod and cone cells. Rods are more sensitive than cones in dim light, but are incapable of color discrimination because they possess only one type of photosensitive opsin protein (rod opsin = RH1). By contrast, cones are more important for vision in bright light. Cones also facilitate dichromatic color vision in most mammals because there are two cone pigment genes (SWS1, LWS) that facilitate color discrimination. Cone monochromacy occurs when one of the cone opsins (usually SWS1) is inactivated and is present in assorted subterranean, nocturnal, and aquatic mammals. Rod monochromacy occurs when both cone photoreceptors are inactivated, resulting in a pure rod retina. The latter condition is extremely rare in mammals and has only been confirmed with genetic evidence in five cetacean lineages, golden moles, armadillos, and sloths. The first genetic evidence for rod monochromacy in these taxa consisted of inactivated copies of both of their cone pigment genes (SWS1, LWS). However, other components of the cone phototransduction cascade are also predicted to accumulate inactivating mutations in rod monochromats. Here, we employ genome sequences and exon capture data from four baleen whales (bowhead, two minke whales, fin whale) and five toothed whales (sperm whale, Yangtze River dolphin, beluga, killer whale, bottlenose dolphin) to test the hypothesis that rod monochromacy is associated with the inactivation of seven genes (GNAT2, GNB3, GNGT2, PDE6C, PDE6H, CNGA3, CNGB3) in the cone phototransduction cascade. Cone-monochromatic toothed whales that retain a functional copy of LWS (beluga whale, Yangtze River dolphin, killer whale, bottlenose dolphin) also retain intact copies of other cone-specific phototransduction genes, whereas rod monochromats (Antarctic minke whale, common minke whale, fin whale, bowhead whale, sperm whale) have inactivating mutations in five or more genes in the cone phototransduction cascade. The only shared inactivating mutations that were discovered occur in the three Balaenoptera species (two minke whales, fin whale), further suggesting that rod monochromacy evolved independently in two clades of baleen whales, Balaenopteroidea and Balaenidae. We estimate that rod monochromacy evolved first in Balaenopteroidea (similar to 28.8 Ma) followed by P rnacrocephalus (similar to 19.5 Ma) and Balaenidae (similar to 13.0 Ma).</t>
  </si>
  <si>
    <t>[Springer, Mark S.; Emerling, Christopher A.; Fugate, Noah; Patel, Rachna; Starrett, James; Hayashi, Cheryl; Gatesy, John] Univ Calif Riverside, Dept Biol, Riverside, CA 92521 USA; [Emerling, Christopher A.] Univ Calif Berkeley, Museum Vertebrate Zool, Berkeley, CA 94720 USA; [Fugate, Noah] Univ Calif Los Angeles, Dept Ecol &amp; Evolutionary Biol, Los Angeles, CA USA; [Starrett, James] San Diego State Univ, Dept Biol, San Diego, CA USA; [Morins, Phillip A.] NOAA, Southwest Fisheries Sci Ctr, Natl Marine Fisheries Serv, La Jolla, CA USA; [Morins, Phillip A.] Univ Calif San Diego, Scripps Inst Oceanog, La Jolla, CA 92093 USA</t>
  </si>
  <si>
    <t>University of California System; University of California Riverside; University of California System; University of California Berkeley; University of California System; University of California Los Angeles; California State University System; San Diego State University; National Oceanic Atmospheric Admin (NOAA) - USA; University of California System; University of California San Diego; Scripps Institution of Oceanography</t>
  </si>
  <si>
    <t>Springer, MS (corresponding author), Univ Calif Riverside, Dept Biol, Riverside, CA 92521 USA.</t>
  </si>
  <si>
    <t>mark.springer@ucr.edu</t>
  </si>
  <si>
    <t>Morin, Phillip A/E-9515-2010</t>
  </si>
  <si>
    <t>Emerling, Christopher/0000-0002-7722-7305; Morin, Phillip/0000-0002-3279-1519</t>
  </si>
  <si>
    <t>NSF [DEB-1457735]; Division Of Environmental Biology; Direct For Biological Sciences [1457735] Funding Source: National Science Foundation</t>
  </si>
  <si>
    <t>NSF(National Science Foundation (NSF)); Division Of Environmental Biology; Direct For Biological Sciences(National Science Foundation (NSF)NSF - Directorate for Biological Sciences (BIO))</t>
  </si>
  <si>
    <t>This work was supported by NSF grant DEB-1457735 to JG, MS, and PM.</t>
  </si>
  <si>
    <t>10.3389/fevo.2016.00061</t>
  </si>
  <si>
    <t>WOS:000517761700061</t>
  </si>
  <si>
    <t>Morley, SA; Berman, J; Barnes, DKA; Carbonell, CD; Downey, RV; Peck, LS</t>
  </si>
  <si>
    <t>Morley, Simon A.; Berman, Jade; Barnes, David K. A.; Carbonell, Carlos de Juan; Downey, Rachel V.; Peck, Lloyd S.</t>
  </si>
  <si>
    <t>Extreme Phenotypic Plasticity in Metabolic Physiology of Antarctic Demosponges</t>
  </si>
  <si>
    <t>seasonal physiology; paradigm shift; seasonal metabolism; Porifera; polar physiology; elemental composition; CHN; phenotypic plasticity</t>
  </si>
  <si>
    <t>NACELLA-CONCINNA STREBEL; MARINE BENTHIC PREDATORS; FRESH-WATER SPONGE; DEEP-SEA SPONGES; MICROBIAL COMMUNITIES; MEDITERRANEAN SPONGE; SEASONAL PHYSIOLOGY; NITROGEN-EXCRETION; WEDDELL SEA; ICE SHELF</t>
  </si>
  <si>
    <t>Seasonal measurements of the metabolic physiology of four Antarctic demosponges and their associated assemblages, maintained in a flow through aquarium facility, demonstrated one of the largest differences in seasonal strategies between species and their associated sponge communities. The sponge oxygen consumption measured here exhibited both the lowest and highest seasonal changes for any Antarctic species; metabolic rates varied from a 25% decrease to a 5.8 fold increase from winter to summer, a range which was greater than all 17 Antarctic marine species (encompassing eight phyla) previously investigated and amongst the highest recorded for any marine environment. The differences in nitrogen excretion, metabolic substrate utilization and tissue composition between species were, overall, greater than seasonal changes. The largest seasonal difference in tissue composition was an increase in CHN (Carbon, Hydrogen, and Nitrogen) content in Homaxinella balfourensis, a pioneer species in ice-scour regions, which changed growth form to a twig-like morph in winter. The considerable flexibility in seasonal and metabolic physiology across the Demospongiae likely enables these species to respond to rapid environmental change such as ice-scour, reductions in sea ice cover and ice-shelf collapse in the Polar Regions, shifting the paradigm that polar sponges always live life in the slow lane. Great phenotypic plasticity in physiology has been linked to differences in symbiotic community composition, and this is likely to be a key factor in the global success of sponges in all marine environments and their dominant role in many climax communities.</t>
  </si>
  <si>
    <t>[Morley, Simon A.; Berman, Jade; Barnes, David K. A.; Carbonell, Carlos de Juan; Downey, Rachel V.; Peck, Lloyd S.] British Antarctic Survey, Nat Environm Res Council, Cambridge, England; [Berman, Jade] Ulster Wildlife, Belfast, Antrim, North Ireland; [Downey, Rachel V.] Forschungsinst &amp; Nat Museum Senckenberg, Frankfurt, Germany</t>
  </si>
  <si>
    <t>UK Research &amp; Innovation (UKRI); Natural Environment Research Council (NERC); NERC British Antarctic Survey; Senckenberg Gesellschaft fur Naturforschung (SGN)</t>
  </si>
  <si>
    <t>Morley, SA (corresponding author), British Antarctic Survey, Nat Environm Res Council, Cambridge, England.</t>
  </si>
  <si>
    <t>smor@bas.ac.uk</t>
  </si>
  <si>
    <t>Downey, Rachel/Q-4156-2019; de Juan, Carlos/KFR-1914-2024</t>
  </si>
  <si>
    <t>de Juan, Carlos/0000-0002-1083-4418; Downey, Rachel/0000-0001-9275-8879</t>
  </si>
  <si>
    <t>NERC; NERC [bas0100036] Funding Source: UKRI; Natural Environment Research Council [bas0100036] Funding Source: researchfish</t>
  </si>
  <si>
    <t>This work was supported by NERC core funding to the British Antarctic Survey's Adaptation and Physiology work package within the Ecosystems program. None of the authors have a financial conflict arising from this work. We thank the marine team and station support at Rothera Research station. We also thank Manuela Truebano and Paul Geissler who prepared and analyzed the CHN samples.</t>
  </si>
  <si>
    <t>10.3389/fevo.2015.00157</t>
  </si>
  <si>
    <t>VH2RX</t>
  </si>
  <si>
    <t>WOS:000452060500011</t>
  </si>
  <si>
    <t>Kavitha, M</t>
  </si>
  <si>
    <t>Kavitha, M.</t>
  </si>
  <si>
    <t>Cold active lipases - an update</t>
  </si>
  <si>
    <t>FRONTIERS IN LIFE SCIENCE</t>
  </si>
  <si>
    <t>GCHERA 8th World Conference on Universities Global Challenge - Nutritional Security and Environmental Sustainability for Human Health</t>
  </si>
  <si>
    <t>JUN 25-26, 2015</t>
  </si>
  <si>
    <t>Holy Spirit Univ Kaslik, Kaslik, LEBANON</t>
  </si>
  <si>
    <t>Holy Spirit Univ Kaslik</t>
  </si>
  <si>
    <t>Cold active lipase; psychrophilic bacteria; cold adaption; industrial applications</t>
  </si>
  <si>
    <t>CANDIDA-ANTARCTICA-LIPASE; ITERATIVE SATURATION MUTAGENESIS; PRELIMINARY-X-RAY; ADAPTED LIPASE; SP-NOV.; MICROBIAL LIPASES; GENE CLONING; DIRECTED EVOLUTION; LIPOLYTIC-ACTIVITY; ALKALINE LIPASE</t>
  </si>
  <si>
    <t>Cold active lipases (CLPs) are gaining importance nowadays as they are increasingly used in fine chemical synthesis, bioremediation, food processing and as detergent additive. These enzymes exhibit high catalytic activity at low temperatures and flexibility to act at low water medium. Since they are active at low temperatures consume less energy and also stabilize fragile compounds in the reaction medium. CLPs are commonly obtained from psychrophilic microorganisms which thrive in cold habitats. Compared to mesophilic and thermophilic lipases, only a few CLPs were studied and industrially exploited so far. CLPs (C. antarctica lipase-A and C. antarctica lipase-B) from Candida antarctica isolated from Antarctic region are the well studied and industrially employed, and many are being followed up. This review updates the CLPs reported recently and the industrial applications of CLPs.</t>
  </si>
  <si>
    <t>[Kavitha, M.] VIT Univ, Sch Biosci &amp; Technol, Vellore 632014, Tamil Nadu, India</t>
  </si>
  <si>
    <t>Vellore Institute of Technology (VIT); VIT Vellore</t>
  </si>
  <si>
    <t>Kavitha, M (corresponding author), VIT Univ, Sch Biosci &amp; Technol, Vellore 632014, Tamil Nadu, India.</t>
  </si>
  <si>
    <t>mkavitha1972@gmail.com</t>
  </si>
  <si>
    <t>, M.Kavitha/0000-0002-1862-8037</t>
  </si>
  <si>
    <t>2155-3769</t>
  </si>
  <si>
    <t>2155-3777</t>
  </si>
  <si>
    <t>FRONT LIFE SCI</t>
  </si>
  <si>
    <t>Front. Life Sci.</t>
  </si>
  <si>
    <t>10.1080/21553769.2016.1209134</t>
  </si>
  <si>
    <t>DW3DG</t>
  </si>
  <si>
    <t>WOS:000383521700011</t>
  </si>
  <si>
    <t>Bundy, RM; Jiang, MS; Carter, M; Barbeau, KA</t>
  </si>
  <si>
    <t>Bundy, Randelle M.; Jiang, Mingshun; Carter, Melissa; Barbeau, Katherine A.</t>
  </si>
  <si>
    <t>Iron-Binding Ligands in the Southern California Current System: Mechanistic Studies</t>
  </si>
  <si>
    <t>FRONTIERS IN MARINE SCIENCE</t>
  </si>
  <si>
    <t>California Current Ecosystem; long term ecological research; iron limitation; dissolved iron-binding ligands; multiple analytical windows; electrochemistry</t>
  </si>
  <si>
    <t>CATHODIC STRIPPING VOLTAMMETRY; NATURAL ORGANIC-LIGANDS; DISSOLVED IRON; CHEMICAL SPECIATION; HETEROTROPHIC BACTERIA; MARINE-PHYTOPLANKTON; ANTARCTIC PENINSULA; COMPLEXING LIGANDS; HUMIC SUBSTANCES; COASTAL WATERS</t>
  </si>
  <si>
    <t>The distributions of dissolved iron and organic iron-binding ligands were examined in water column profiles and deckboard incubation experiments in the southern California Current System (sCCS) along a transition from coastal to semi-oligotrophic waters. Analysis of the iron-binding ligand pool by competitive ligand exchange-adsorptive cathodic stripping voltammetry (CLE-ACSV) using multiple analytical windows (MAWs) revealed three classes of iron-binding ligands present throughout the water column (L-1-L-3), whose distributions closely matched those of dissolved iron and nitrate. Despite significant biogeochemical gradients, ligand profiles were similar between stations, with surface minima in strong ligands (L-1 and L-2), and relatively constant concentrations of weaker ligands (L-3) down to 500 m. A phytoplankton grow-out incubation, initiated from an iron-limited water mass, showed dynamic temporal cycling of iron-binding ligands. A biological iron model was able to capture the patterns of the strong ligands in the grow-out incubation relatively well with only the microbial community as a biological source. An experiment focused on remineralization of particulate organic matter showed production of both strong and weak iron-binding ligands by the heterotrophic community, supporting a mechanism for in-situ production of both strong and weak iron-binding ligands in the subsurface water column. Photochemical experiments showed a variable influence of sunlight on the degradation of natural iron-binding ligands, providing some evidence to explain differences in surface ligand concentrations between stations. Patterns in ligand distributions between profiles and in the incubation experiments were primarily related to macronutrient concentrations, suggesting microbial remineralization processes might dominate on longer time-scales over short-term changes associated with photochemistry or phytoplankton growth.</t>
  </si>
  <si>
    <t>[Bundy, Randelle M.; Carter, Melissa; Barbeau, Katherine A.] Univ Calif San Diego, Geosci Res Div, Scripps Inst Oceanog, San Diego, CA 92103 USA; [Jiang, Mingshun] Florida Atlantic Univ, Harbor Branch Oceanog Inst, Ft Pierce, FL USA</t>
  </si>
  <si>
    <t>University of California System; University of California San Diego; Scripps Institution of Oceanography; Harbor Branch Oceanographic Institute Foundation; State University System of Florida; Florida Atlantic University</t>
  </si>
  <si>
    <t>Bundy, RM (corresponding author), Univ Calif San Diego, Geosci Res Div, Scripps Inst Oceanog, San Diego, CA 92103 USA.</t>
  </si>
  <si>
    <t>rbundy@whoi.edu</t>
  </si>
  <si>
    <t>; Bundy, Randelle M./J-8453-2016</t>
  </si>
  <si>
    <t>Carter, Melissa/0000-0002-3458-4775; Barbeau, Katherine/0000-0002-2132-7219; Bundy, Randelle M./0000-0002-0600-3953</t>
  </si>
  <si>
    <t>NSF OCE [10-2667]; NSF ANT grant [0948378]; Harbor Branch Oceanographic Institute Foundation; Division Of Ocean Sciences; Directorate For Geosciences [1026607] Funding Source: National Science Foundation</t>
  </si>
  <si>
    <t>NSF OCE(National Science Foundation (NSF)); NSF ANT grant; Harbor Branch Oceanographic Institute Foundation; Division Of Ocean Sciences; Directorate For Geosciences(National Science Foundation (NSF)NSF - Directorate for Geosciences (GEO))</t>
  </si>
  <si>
    <t>We would like to thank the captain and crew of the R/V Melville and the CCE-LTER program. We would like to thank Teresa Fukuda for phytoplankton pigment measurements. We also thank Wendy Plante and Shane Hogle for help with sampling. RB, KB, and MC were supported by NSF OCE #10-2667 for the CCE-LTER program. MJ was funded by NSF ANT grant 0948378 and Harbor Branch Oceanographic Institute Foundation.</t>
  </si>
  <si>
    <t>2296-7745</t>
  </si>
  <si>
    <t>FRONT MAR SCI</t>
  </si>
  <si>
    <t>Front. Mar. Sci.</t>
  </si>
  <si>
    <t>10.3389/fmars.2016.00027</t>
  </si>
  <si>
    <t>VH8XL</t>
  </si>
  <si>
    <t>WOS:000457358000026</t>
  </si>
  <si>
    <t>Butterworth, A</t>
  </si>
  <si>
    <t>Butterworth, Andy</t>
  </si>
  <si>
    <t>A Review of the Welfare Impact on Pinnipeds of Plastic Marine Debris</t>
  </si>
  <si>
    <t>welfare; pinnipedia; marine debris; seals; entanglement</t>
  </si>
  <si>
    <t>ANTARCTIC FUR SEALS; HAWAIIAN MONK SEAL; MAN-MADE DEBRIS; FISHING GEAR; NEW-ZEALAND; ENTANGLEMENT; CALIFORNIA; ISLAND; ACCUMULATION; POLLUTION</t>
  </si>
  <si>
    <t>Uncounted, and usually unobserved, numbers of pinnipeds find themselves entangled in lost fishing gear, monofilament line, nets, rope, plastic packaging in the ocean or on the shoreline. These animals may carry debris wrapped around themselves for long periods, and often die as a result, sometimes from deep chronic wounds. The pinniped species most affected by this modern and manmade phenomenon are fur seals, monk seals, and California sea lions, and to a lesser extent gray, common, and monk seals. Entanglement rates described range up to 7.9% of local populations annually, and the common entangling materials; packing bands, fragments of lost net, rope, monofilament line, fishery flashers and lures, long-line fishing gear, hooks and line, and bait hooks are discussed. Awareness of this issue is increasing, and local action is reported to have made measurable differences in entanglement rates, however, plastic material in the ocean is likely to be long lived, and will leave many entangled pinnipeds unreported and result in a hidden and potentially significant effect on wild animal welfare.</t>
  </si>
  <si>
    <t>[Butterworth, Andy] Univ Bristol, Sch Vet, Clin Vet Sci, Bristol, Avon, England</t>
  </si>
  <si>
    <t>University of Bristol</t>
  </si>
  <si>
    <t>Butterworth, A (corresponding author), Univ Bristol, Sch Vet, Clin Vet Sci, Bristol, Avon, England.</t>
  </si>
  <si>
    <t>andy.butterworth@bris.ac.uk</t>
  </si>
  <si>
    <t>Butterworth, Andrew/0000-0002-5904-8397</t>
  </si>
  <si>
    <t>10.3389/fmars.2016.00149</t>
  </si>
  <si>
    <t>WOS:000457358000146</t>
  </si>
  <si>
    <t>Fourquez, M; Beier, S; Jongmans, E; Hunter, R; Obernosterer, I</t>
  </si>
  <si>
    <t>Fourquez, Marion; Beier, Sara; Jongmans, Elanor; Hunter, Robert; Obernosterer, Ingrid</t>
  </si>
  <si>
    <t>Uptake of Leucine, Chitin, and Iron by Prokaryotic Groups during Spring Phytoplankton Blooms Induced by Natural Iron Fertilization off Kerguelen Island (Southern Ocean)</t>
  </si>
  <si>
    <t>iron; chitin; leucine; prokaryotic community composition; MICRO-CARD-FISH; Southern Ocean</t>
  </si>
  <si>
    <t>DISSOLVED ORGANIC-MATTER; IN-SITU HYBRIDIZATION; AMPHIPHILIC SIDEROPHORES; HETEROTROPHIC BACTERIA; COMMUNITY STRUCTURE; CARBON METABOLISM; MARINE-BACTERIA; CARD-FISH; BACTERIOPLANKTON; REGION</t>
  </si>
  <si>
    <t>Iron and carbon are essential for microbial heterotrophic activity, but the bioavailability of these elements is low in surface waters of the Southern Ocean. Whether the access to iron and carbon differs among phylogenetic groups of prokaryotes is barely known. To address this question we used iron ((FeCl3)-Fe-55), and the carbon compounds chitin (H-3-Diacetylchitobiose) and leucine (H-3-leucine) as model substrates in combination with MICRO-CARD-FISH during spring phytoplankton blooms induced by natural iron fertilization off Kerguelen Island (KErguelen Ocean and Plateau compared Study 2 - KEOPS2; October-November 2011). The application of probes at broad phylogenetic levels indicated an overall similar community composition in surface waters at the 8 investigated sites. The relative contributions of the prokaryotic groups to abundance revealed a strong positive relationship with their respective contributions to the leucine-active community (p &lt; 0.0001; r = 0.93). This relationship was much weaker for chitin (p &lt; 0.001; r = 0.51) and absent for iron (p &gt; 0.05; r = 0.26). These results suggest preferential uptake of iron and chitin by some prokaryotic groups. SAR11 and Cytophaga-Flavobacterium-Bacteroides (CFB) were the dominant contributors to the leucine-active community, while CFB and Archaea had the highest contributions to the chitin-active community. By contrast, Gammaproteobacteria, including SAR86, and CFB revealed the highest contributions to the iron-active community. We found several correlations between the group-specific fractions of active cells for a given substrate and most of them included CFB, pointing to the potential importance of microbial interactions for iron and carbon cycling in the Southern Ocean.</t>
  </si>
  <si>
    <t>[Fourquez, Marion] Univ Tasmania, Antarctic Climate &amp; Ecosyst Cooperat Res Ctr, Hobart, Tas, Australia; [Fourquez, Marion; Beier, Sara; Jongmans, Elanor; Hunter, Robert; Obernosterer, Ingrid] UPMC Univ Paris 06, Sorbonne Univ, Lab Oceanog Microbienne LOMIC, Observ Oceanol,CNRS, Banyuls Sur Mer, France; [Beier, Sara] Letbniz Inst Balt Sea Res Warnemunde IOW, Dept Biol Oceanog, Rostock, Germany</t>
  </si>
  <si>
    <t>Antarctic Climate &amp; Ecosystems Cooperative Research Centre (ACE CRC); University of Tasmania; Centre National de la Recherche Scientifique (CNRS); Sorbonne Universite</t>
  </si>
  <si>
    <t>Fourquez, M (corresponding author), Univ Tasmania, Antarctic Climate &amp; Ecosyst Cooperat Res Ctr, Hobart, Tas, Australia.;Fourquez, M (corresponding author), UPMC Univ Paris 06, Sorbonne Univ, Lab Oceanog Microbienne LOMIC, Observ Oceanol,CNRS, Banyuls Sur Mer, France.</t>
  </si>
  <si>
    <t>marion.fourquez@gmail.com</t>
  </si>
  <si>
    <t>Beier, Sara/AAA-2506-2020; Obernosterer, Ingrid/A-5434-2011</t>
  </si>
  <si>
    <t>Beier, Sara/0000-0003-3707-4487; Obernosterer, Ingrid/0000-0002-2530-8111; Fourquez, Marion/0000-0001-5395-4877; Jongmans-Hochschulz, Elanor/0000-0003-4492-585X</t>
  </si>
  <si>
    <t>French Research program of the INSU-CNRS LEFE-CYBER (Les enveloppes tluides et Eenvironnement-Cycles biogeochimiques, environnement et ressources); French ANR (Agence Nationale de la Recherche, SIMI-6 program); French ONES (Centre National &amp;Etudes Spatiales); French Polar Institute IPEV (Institut Polaire Paul-Emile Victor)</t>
  </si>
  <si>
    <t>French Research program of the INSU-CNRS LEFE-CYBER (Les enveloppes tluides et Eenvironnement-Cycles biogeochimiques, environnement et ressources); French ANR (Agence Nationale de la Recherche, SIMI-6 program)(Agence Nationale de la Recherche (ANR)); French ONES (Centre National &amp;Etudes Spatiales); French Polar Institute IPEV (Institut Polaire Paul-Emile Victor)</t>
  </si>
  <si>
    <t>We a grateful to S. Blain, the PI of the KEOPS2 project for providing us the opportunity to participate to this cruise. We thank the chief scientist B. Queguiner, the captain Bernard Lassiette and the crew of the R/V Marion Dufresne for their enthusiasm and help aboard. S. Bertilsson kindly provided radiolabeled N-Diacteylglucosamine. Thanks to P. Catala and S. Rachik for their help with MICRO-CARD FISH and microscopic analyses. Two reviewers provided constructive comments on a previous version of this manuscript. We also thank Gustave Chiffard for insightful discussions during the development of this project. This work was supported by the French Research program of the INSU-CNRS LEFE-CYBER (Les enveloppes tluides et Eenvironnement-Cycles biogeochimiques, environnement et ressources), the French ANR (Agence Nationale de la Recherche, SIMI-6 program), the French ONES (Centre National &amp;Etudes Spatiales) and the French Polar Institute IPEV (Institut Polaire Paul-Emile Victor).</t>
  </si>
  <si>
    <t>10.3389/fmars.2016.00256</t>
  </si>
  <si>
    <t>Green Published, gold, Green Accepted</t>
  </si>
  <si>
    <t>WOS:000457358000252</t>
  </si>
  <si>
    <t>Heiden, JP; Bischof, K; Trimborn, S</t>
  </si>
  <si>
    <t>Heiden, Jasmin P.; Bischof, Kai; Trimborn, Scarlett</t>
  </si>
  <si>
    <t>Light Intensity Modulates the Response of Two Antarctic Diatom Species to Ocean Acidification</t>
  </si>
  <si>
    <t>Southern Ocean; photophysiology; growth; carbon fixation; season; phytoplankton; CO2; climate change</t>
  </si>
  <si>
    <t>PHYTOPLANKTON TAXA PHOTOSYNTHESIS; SOUTHERN-OCEAN; PHAEOCYSTIS-ANTARCTICA; FRAGILARIOPSIS-CYLINDRUS; CARBON ACQUISITION; PHOTOSYSTEM-II; CONCENTRATING MECHANISMS; CHLOROPHYLL FLUORESCENCE; MARINE-PHYTOPLANKTON; ICE-ZONE</t>
  </si>
  <si>
    <t>It is largely unknown how rising atmospheric CO2 concentrations and changes in the upper mixed layer depth, with its subsequent effects on light availability will affect phytoplankton physiology in the Southern Ocean. Linking seasonal variations in the availability of CO2 and light to abundances and physiological traits of key phytoplankton species could aid to understand their abilities to acclimate to predicted future climatic conditions. To investigate the combined effects of CO2 and light on two ecologically relevant Antarctic diatoms (Fragilariopsis curta and Odontella weisflogii) a matrix of three light intensities (LL = 20, ML = 200, HL = 500 mu mol photons m(-2) s(-1)) and three pCO(2) levels (low = 180, ambient = 380, high = 1000 mu atm) was applied assessing their effects on growth, particulate organic carbon (POC) fixation and photophysiology. Under ambient pCO(2), POC production rates were highest already at low light in Fragilariopsis, indicating saturation of photosynthesis, while in Odontella highest rates were only reached at medium irradiances. In both species ocean acidification did not stimulate, but rather inhibited, growth and POC production under low and medium light. This effect was, however, amended under high growth irradiances. Low pCO(2) levels inhibited growth and POC production in both species at low and medium light, and further decreased absolute electron transport rates under high light. Our results suggest that Southern Ocean diatoms were sensitive to changes in pCO(2), showing species-specific responses, which were further modulated by light intensity. The two diatom species represent distinct ecotypes and revealed discrete physiological traits that matched their seasonal occurrence with the related physical conditions in Antarctic coastal waters.</t>
  </si>
  <si>
    <t>[Heiden, Jasmin P.; Trimborn, Scarlett] Alfred Wegener Inst Polar &amp; Marine Res, EcoTrace, Biogeosci Dept, Bremerhaven, Germany; [Heiden, Jasmin P.; Bischof, Kai; Trimborn, Scarlett] Univ Bremen, Marine Bot, Fac Biol Chem 02, Bremen, Germany</t>
  </si>
  <si>
    <t>Heiden, JP (corresponding author), Alfred Wegener Inst Polar &amp; Marine Res, EcoTrace, Biogeosci Dept, Bremerhaven, Germany.;Heiden, JP (corresponding author), Univ Bremen, Marine Bot, Fac Biol Chem 02, Bremen, Germany.</t>
  </si>
  <si>
    <t>jasmin.heiden@awi.de</t>
  </si>
  <si>
    <t>Trimborn, Scarlett/AAM-1061-2021</t>
  </si>
  <si>
    <t>Trimborn, Scarlett/0000-0003-1434-9927; Bischof, Kai/0000-0002-4497-1920; Heiden, Jasmin Pascale/0000-0001-6940-9347</t>
  </si>
  <si>
    <t>Helmholtz Impulse Fond (HGF Young Investigators Group EcoTrace)</t>
  </si>
  <si>
    <t>ST and JH were funded by the Helmholtz Impulse Fond (HGF Young Investigators Group EcoTrace).</t>
  </si>
  <si>
    <t>10.3389/fmars.2016.00260</t>
  </si>
  <si>
    <t>WOS:000457358000256</t>
  </si>
  <si>
    <t>Heller, M; Wattig, K; Croot, PL</t>
  </si>
  <si>
    <t>Heller, Majia; Wattig, Kathrin; Croot, Peter L.</t>
  </si>
  <si>
    <t>Identifying the Sources and Sinks of CDOM/FDOM across the Mauritanian Shelf and Their Potential Role in the Decomposition of Superoxide (O2-)</t>
  </si>
  <si>
    <t>reactive oxygen species; parafac; colored dissolved organic matter (CDOM); Atlantic Ocean; excitation emission matrix fluorescence; fluorescence dissolved organic matter (FDOM); superoxide dismutase; hydrogen peroxide</t>
  </si>
  <si>
    <t>DISSOLVED ORGANIC-MATTER; HYDROGEN-PEROXIDE; PHOTOCHEMICAL PRODUCTION; OPTICAL-PROPERTIES; PHENOLIC-COMPOUNDS; HUMIC SUBSTANCES; SINGLET OXYGEN; SURFACE WATERS; FLUORESCENCE CHARACTERISTICS; PHAEODACTYLUM-TRICORNUTUM</t>
  </si>
  <si>
    <t>Superoxide (O-2(-)) is a short lived reactive oxygen species (ROS) formed in seawater by photochemical or biological sources, it is important in the redox cycling of trace elements and organic matter in the ocean. The photoproduction of O-2(-) is now thought to involve reactions between O-2 and reactive reducing (radical) intermediates formed from dissolved organic matter (DOM) via intramolecular reactions between excited singlet state donors and ground-state acceptors (Zhang et al., 2012). In seawater the main pathways identified for the decomposition of O-2(-) into H2O2 and O-2, involve reactions with Cu, Mn, and DOM. In productive regions of the ocean, the reaction between DOM and O-2(-) can be a significant sink for O-2(-) . Thus, DOM is a key component of both the formation and decomposition of O-2(-) and formation of H2O2. In the present work we examined the relationships between O-2(-) decay rates and parameters associated with chromophoric dissolved organic matter (CDOM) and fluorescent dissolved organic matter (FDOM) by using the thermal O-2(-) source SOTS-1. Filtered samples (0.2 mu m) were run both in the presence, and absence, of the metal chelator diethylenetriaminepentaacetic acid (DTPA) to determine the contribution from DOM. Samples were collected along a transect across the continental shelf of the Mauritanian continental shelf during a period of upwelling. In this region we found that reactions with DOM, are a significant sink for O-2(-) in the Mauritanian Upwelling, constituting on average 58 +/- 13% of the O-2(-) loss rates. Superoxide reactivity with organic matter showed no clear correlation with bulk CDOM or FDOM properties (as assessed by PARAFAC analysis) suggesting that future work should concentrate at the functional group level to clearly elucidate which molecular species are involved as bulk properties represent a wide spread of chemical moieties with different O-2(-) reactivities. Analysis of FDOM parameters indicates that many of the markers used previously for terrestrial sources of DOM and FDOM are called into question as marine sources exist. In particular recent work (Rico et al., 2013) indicates that algal species may also produce syringic, vanillic, and cinnamic acids, which had previously been ascribed solely to terrestrial vegetation.</t>
  </si>
  <si>
    <t>[Heller, Majia; Wattig, Kathrin; Croot, Peter L.] GEOMAR Helmholtz Ctr Ocean Res Kiel, Marine Biogeochem, Kiel, Germany; [Heller, Majia] Univ Calif Santa Cruz, Dept Ocean Sci, Santa Cruz, CA 95064 USA; [Wattig, Kathrin] Univ Tasmania, Antarctic Climate &amp; Ecosyst Cooperat Res Ctr, Hobart, Tas, Australia; [Croot, Peter L.] Natl Univ Ireland Galway, Earth &amp; Ocean Sci, Sch Nat Sci, Galway, Ireland</t>
  </si>
  <si>
    <t>Helmholtz Association; GEOMAR Helmholtz Center for Ocean Research Kiel; University of California System; University of California Santa Cruz; University of Tasmania; Antarctic Climate &amp; Ecosystems Cooperative Research Centre (ACE CRC); Ollscoil na Gaillimhe-University of Galway</t>
  </si>
  <si>
    <t>Heller, M (corresponding author), GEOMAR Helmholtz Ctr Ocean Res Kiel, Marine Biogeochem, Kiel, Germany.;Heller, M (corresponding author), Univ Calif Santa Cruz, Dept Ocean Sci, Santa Cruz, CA 95064 USA.</t>
  </si>
  <si>
    <t>maijahelier@gmail.com</t>
  </si>
  <si>
    <t>Croot, Peter/U-5296-2019; Heller, Maija I/AAU-4901-2020; Wuttig, Kathrin/O-2888-2019</t>
  </si>
  <si>
    <t>Heller, Maija I/0000-0002-1258-8660; Wuttig, Kathrin/0000-0003-4010-5918</t>
  </si>
  <si>
    <t>German BMBF project SOPRAN III [FKZ 03F0611A, 03E0662A]; DFG [CR145/17-1, SFB754]</t>
  </si>
  <si>
    <t>German BMBF project SOPRAN III(Federal Ministry of Education &amp; Research (BMBF)); DFG(German Research Foundation (DFG))</t>
  </si>
  <si>
    <t>MH's participation was financially supported by the German BMBF project SOPRAN III (FKZ 03F0611A and 03E0662A, PC co-PI) that forms part of the German contribution to SOFAS (Surface Ocean Lower Atmosphere Studies). Funding for the participation of KW was awarded to PC from the DFG (CR145/17-1). Research work at sea was funded through SFB754 (DFG), project B5 (PC).</t>
  </si>
  <si>
    <t>10.3389/fmars.2016.00132</t>
  </si>
  <si>
    <t>Green Published, Green Accepted, gold</t>
  </si>
  <si>
    <t>WOS:000457358000129</t>
  </si>
  <si>
    <t>Heneghan, RF; Everett, JD; Blanchard, JL; Richardson, AJ</t>
  </si>
  <si>
    <t>Heneghan, Ryan F.; Everett, Jason D.; Blanchard, Julia L.; Richardson, Anthony J.</t>
  </si>
  <si>
    <t>Zooplankton Are Not Fish: Improving Zooplankton Realism in Size-Spectrum Models Mediates Energy Transfer in Food Webs</t>
  </si>
  <si>
    <t>zooplankton dynamics; marine size-spectrum; end-to-end modeling; fish productivity; ecosystem stability</t>
  </si>
  <si>
    <t>BODY-SIZE; CLIMATE-CHANGE; MARINE ECOSYSTEMS; PREY SELECTION; BOTTOM-UP; TOP-DOWN; PHYTOPLANKTON; BIOMASS; EFFICIENCIES; COMMUNITIES</t>
  </si>
  <si>
    <t>The evidence for an equal distribution of biomass from bacteria to whales has led to development of size-spectrum models that represent the dynamics of the marine ecosystem using size rather than species identity. Recent advances have improved the realism of the fish component of the size-spectrum, but these often assume that small fish feed on an aggregated plankton size-spectrum, without any explicit representation of zooplankton dynamics. In these models, small zooplankton are grouped with phytoplankton as a resource for larval fish, and large zooplankton are parameterized as small fish. Here, we investigate the impact of resolving zooplankton and their feeding traits in a dynamic size-spectrum model. First, we compare a base model, where zooplankton are parameterized as smaller fish, to a model that includes zooplankton-specific feeding parameters. Second, we evaluate how the parameterization of zooplankton feeding characteristics, specifically the predator-prey mass ratio (PPMR), assimilation efficiency and feeding kernel width, affects the productivity and stability of the fish community. Finally, we compare how feeding characteristics of different zooplankton functional groups mediate increases in primary production and fishing pressure. Incorporating zooplankton-specific feeding parameters increased productivity of the fish community, but also changed the dynamics of the entire system from a stable to an oscillating steady-state. The inclusion of zooplankton feeding characteristics mediated a trade-off between the productivity and resilience of the fish community, and its stability. Fish communities with increased productivity and lower stability were supported by zooplankton with a larger PPMR and a narrower feeding kernel-specialized herbivores. In contrast, fish communities that were stable had lower productivity, and were supported by zooplankton with a lower PPMR and a wider feeding kernel-generalist carnivores. Herbivorous zooplankton communities were more efficient at mediating increases in primary production, and supported fish communities more resilient to fishing. Our results illustrate that zooplankton are not just a static food source for larger organisms, nor can they be resolved as very small fish. The unique feeding characteristics of zooplankton have enormous implications for the dynamics of marine ecosystems, and their representation is of critical importance in size-spectrum models, and end-to-end ecosystem models more broadly.</t>
  </si>
  <si>
    <t>[Heneghan, Ryan F.; Richardson, Anthony J.] Univ Queensland, Ctr Applicat Nat Resource Math, Sch Math &amp; Phys, Brisbane, Qld, Australia; [Everett, Jason D.] Univ New South Wales, Sch Biol Earth &amp; Environm Sci, Sydney, NSW, Australia; [Everett, Jason D.] Sydney Inst Marine Sci, Sydney, NSW, Australia; [Blanchard, Julia L.] Univ Tasmania, Inst Marine &amp; Antarctic Studies, Hobart, Tas, Australia; [Richardson, Anthony J.] CSIRO Ocean &amp; Atmosphere, Ecosci Precinct, Brisbane, Qld, Australia</t>
  </si>
  <si>
    <t>University of Queensland; University of New South Wales Sydney; Sydney Institute of Marine Science; University of Tasmania; Commonwealth Scientific &amp; Industrial Research Organisation (CSIRO)</t>
  </si>
  <si>
    <t>Heneghan, RF (corresponding author), Univ Queensland, Ctr Applicat Nat Resource Math, Sch Math &amp; Phys, Brisbane, Qld, Australia.</t>
  </si>
  <si>
    <t>ryan.heneghan@uqconnect.edu.au</t>
  </si>
  <si>
    <t>Blanchard, Julia L/E-4919-2010; Richardson, Anthony J/B-3649-2010; Everett, Jason/C-4557-2008</t>
  </si>
  <si>
    <t>Richardson, Anthony J/0000-0002-9289-7366; Everett, Jason/0000-0002-6681-8054; Heneghan, Ryan/0000-0001-7626-1248; Blanchard, Julia/0000-0003-0532-4824</t>
  </si>
  <si>
    <t>Australian Research Council [DP150102656]</t>
  </si>
  <si>
    <t>Australian Research Council(Australian Research Council)</t>
  </si>
  <si>
    <t>We thank Kai Wirtz for being available to answer questions about his mechanistic zooplankton feeding equations. We also thank fain Suthers for helpful comments about the assumptions underlying our model, from a biological perspective. This study was supported by an Australian Research Council Discovery Grant (DP150102656).</t>
  </si>
  <si>
    <t>10.3389/fmars.2016.00201</t>
  </si>
  <si>
    <t>WOS:000457358000198</t>
  </si>
  <si>
    <t>Kim, H; Ducklow, HW</t>
  </si>
  <si>
    <t>Kim, Hyewon; Ducklow, Hugh W.</t>
  </si>
  <si>
    <t>A Decadal (2002-2014) Analysis for Dynamics of Heterotrophic Bacteria in an Antarctic Coastal Ecosystem: Variability and Physical and Biogeochemical Forcings</t>
  </si>
  <si>
    <t>heterotrophic bacteria; bacterial production; bacterial biomass; phytoplankton; the western Antarctic Peninsula; Palmer LTER; climate change</t>
  </si>
  <si>
    <t>DISSOLVED ORGANIC-MATTER; ICE ZONE WEST; SEA-ICE; ROSS SEA; INTERANNUAL VARIABILITY; PHYTOPLANKTON BIOMASS; CONTINENTAL-SHELF; MARINE BACTERIAL; FLOW-CYTOMETRY; BOTTOM-UP</t>
  </si>
  <si>
    <t>We investigated the dynamics of heterotrophic bacteria in the coastal western Antarctic Peninsula (WAP), using decadal (2002-2014) time series of two bacterial variables, bacterial production (BP) via H-3-leucine incorporation rates and bacterial biomass (BB) via bacterial abundance, collected at Palmer Antarctica Long Term Ecological Research (LTER) Station B (64.8 degrees S, 64.1 degrees W) over a full austral growing season (October-March). Strong seasonal and interannual variability in the degree of bacterial coupling with phytoplankton processes were observed with varying lags. On average, BP was only 4% of primary production (PP), consistent with low BP: PP ratios observed in polar waters. BP was more strongly correlated with chlorophyll (Chl), than with PP, implying that bacteria feed on dissolved organic carbon (DOC) produced from a variety of trophic levels (e.g., zooplankton sloppy feeding and excretion) as well as directly on phytoplankton-derived DOC. The degree of bottom-up control on bacterial abundance was moderate and relatively consistent across entire growing seasons, suggesting that bacteria in the coastal WAP are under consistent DOC limitation. Temperature also influenced BP rates, though its effect was weaker than DOC. We established generalized linear models (GLMs) for monthly composites of BP and BB via stepwise regression to explore a set of physical and biogeochemical predictors. Physically, high BP and large BB were shaped by a stratified water-column, similar to forcing mechanisms favoring phytoplankton blooms, but high sea surface temperature (SST) also significantly promoted bacterial processes. High BP and large BB were influenced by high PP and bulk DOC concentrations. Based on these findings, we suggest an increasingly important role of marine heterotrophic bacteria in the coastal WAP food-web as climate change introduces a more favorable environmental setting for promoting BP, with increased DOC from retreating glaciers, a more stabilized upper water-column from ice-melt, and a baseline shift of water temperature due to more frequent delivery of warming Upper Circumpolar Deep Water (UCDW) onto the WAP shelf.</t>
  </si>
  <si>
    <t>[Kim, Hyewon; Ducklow, Hugh W.] Columbia Univ, Dept Earth &amp; Environm Sci, New York, NY 10027 USA; [Kim, Hyewon; Ducklow, Hugh W.] Columbia Univ, Lamont Doherty Earth Observ, Div Biol &amp; Paleo Environm, New York, NY 10027 USA</t>
  </si>
  <si>
    <t>Columbia University; Columbia University</t>
  </si>
  <si>
    <t>Kim, H (corresponding author), Columbia Univ, Dept Earth &amp; Environm Sci, New York, NY 10027 USA.;Kim, H (corresponding author), Columbia Univ, Lamont Doherty Earth Observ, Div Biol &amp; Paleo Environm, New York, NY 10027 USA.</t>
  </si>
  <si>
    <t>hyewon@ldeo.columbia.edu</t>
  </si>
  <si>
    <t>Kim, Heather Hyewon/M-8039-2017</t>
  </si>
  <si>
    <t>Kim, Heather Hyewon/0000-0002-1280-3340</t>
  </si>
  <si>
    <t>U.S. National Science Foundation [OPP 0217282, OPP 0823101, GEO-PLR 1440435]; Department of Earth and Environmental Sciences at Columbia University; NASA ROSES award [NNX14AL86G]</t>
  </si>
  <si>
    <t>U.S. National Science Foundation(National Science Foundation (NSF)); Department of Earth and Environmental Sciences at Columbia University; NASA ROSES award</t>
  </si>
  <si>
    <t>Palmer LTER program was supported by U.S. National Science Foundation awards OPP 0217282, OPP 0823101, and GEO-PLR 1440435. HK was supported in part by the Department of Earth and Environmental Sciences at Columbia University, and by a subcontract to Lamont-Doherty Earth Observatory from NASA ROSES award NNX14AL86G to Scott Doney (Woods Hole Oceanographic Institution).</t>
  </si>
  <si>
    <t>10.3389/fmars.2016.00214</t>
  </si>
  <si>
    <t>WOS:000457358000210</t>
  </si>
  <si>
    <t>Mawdsley, RJ; Haigh, ID</t>
  </si>
  <si>
    <t>Mawdsley, Robert J.; Haigh, Ivan D.</t>
  </si>
  <si>
    <t>Spatial and Temporal Variability and Long-Term Trends in Skew Surges Globally</t>
  </si>
  <si>
    <t>storm surge; extreme sea level; tide-surge interaction; regional climate; skew surge</t>
  </si>
  <si>
    <t>SEA-LEVEL VARIABILITY; EAST-COAST; 20TH-CENTURY; TIDES; UK; STORMINESS; EXTREMES; RISE</t>
  </si>
  <si>
    <t>Storm surges and the resulting extreme high sea levels are among the most dangerous natural disasters and are responsible for widespread social, economic and environmental consequences. Using a set of 220 tide gauges, this paper investigates the temporal variations in storm surges around the world and the spatial coherence of its variability. We compare results derived from two parameters used to represent storm surge: skew surge and the more traditional, non-tidal residual. We determine the extent of tide-surge interaction, at each study site, and find statistically significant (95% confidence) levels of tide-surge interaction at 59% of sites based on tidal level and 81% of sites based on tidal-phase. The tide-surge interaction was strongest in regions of shallow bathymetry such as the North Sea, north Australia and the Malay Peninsula. At most sites the trends in the skew surge time series were similar to those of non-tidal residuals, but where there were large differences in trends, the sites tended to have a large tidal range. Only 13% of sites had a statistically significant trend in skew surge, and of these approximately equal numbers were positive and negative. However, for trends in the non-tidal residual there were significantly more negative trends. We identified 8 regions where there were strong positive correlations in skew surge variability between sites, which meant that a regional index could be created to represent these groups of sites. Despite strong correlations between some regional skew surge indices, none were significant at the 95% level, however, at the 80% level there was significant positive correlation between the north-west Atlantic -south and the North Sea. Correlations between the regional skew surge indices and climate indices only became significant at the 80% level, where Nino 4 was positively correlated with the Gulf of Mexico skew surge index and negatively correlated with the east Australia skew surge index. The inclusion of autocorrelation in the calculation of correlation greatly reduced their significance, especially in the short time-series used for the regional skew surge indices. Skew surge improved the representation of storm surge magnitudes, and therefore allows a more accurate detection of changes on secular and inter-annual time scales.</t>
  </si>
  <si>
    <t>[Mawdsley, Robert J.; Haigh, Ivan D.] Univ Southampton, Natl Oceanog Ctr Southampton, Ocean &amp; Earth Sci, Southampton, Hants, England</t>
  </si>
  <si>
    <t>University of Southampton; NERC National Oceanography Centre</t>
  </si>
  <si>
    <t>Mawdsley, RJ (corresponding author), Univ Southampton, Natl Oceanog Ctr Southampton, Ocean &amp; Earth Sci, Southampton, Hants, England.</t>
  </si>
  <si>
    <t>robert.mawdsley@noc.soton.ac.uk</t>
  </si>
  <si>
    <t>Haigh, Ivan D/A-6575-2010</t>
  </si>
  <si>
    <t>Mawdsley, Robert/0000-0003-4713-2935</t>
  </si>
  <si>
    <t>University of Southampton, School of Ocean and Earth Science; National Environmental Research Council (NERC); Engineering and Physical Science Research Council Flood Memory Project [EP/K013513/1]; Engineering and Physical Sciences Research Council [EP/K013513/1] Funding Source: researchfish; EPSRC [EP/K013513/1] Funding Source: UKRI</t>
  </si>
  <si>
    <t>University of Southampton, School of Ocean and Earth Science; National Environmental Research Council (NERC)(UK Research &amp; Innovation (UKRI)Natural Environment Research Council (NERC)); Engineering and Physical Science Research Council Flood Memory Project(UK Research &amp; Innovation (UKRI)Engineering &amp; Physical Sciences Research Council (EPSRC)); Engineering and Physical Sciences Research Council(UK Research &amp; Innovation (UKRI)Engineering &amp; Physical Sciences Research Council (EPSRC)); EPSRC(UK Research &amp; Innovation (UKRI)Engineering &amp; Physical Sciences Research Council (EPSRC))</t>
  </si>
  <si>
    <t>This study was funded by the University of Southampton, School of Ocean and Earth Science and the National Environmental Research Council (NERC). Conversations and feedback from Phillip Woodworth, Neil Wells and Francisco Calafat at the National Oceanography Centre have been invaluable. We thank the reviewers of the paper, whose excellent comments have improved this paper. The GESLA data set was initially collated by staff from the National Oceanography Centre (NOC), Liverpool in the UK and the Antarctic Climate and Ecosystems Cooperative Research Centre (ACE CRC) in Australia. Extensions to the dataset were provided by: University of Hawaii Sea Level Center (UHSLC), National Oceanographic and Atmospheric Authority (NOAA), British Oceanographic Data Centre (BODC), Norwegian Mapping Authority (NMA), Marine Environmental Data Service (MEDS); Bureau of Meteorology (BOM); and Norwegian Mapping Authority (NMA). This paper contributes to the Engineering and Physical Science Research Council Flood Memory Project (grant number EP/K013513/1).</t>
  </si>
  <si>
    <t>10.3389/fmars.2016.00029</t>
  </si>
  <si>
    <t>Green Accepted, gold</t>
  </si>
  <si>
    <t>WOS:000457358000028</t>
  </si>
  <si>
    <t>Sanders, RJ; Henson, SA; Martin, AP; Anderson, TR; Bernardello, R; Enderlein, P; Fielding, S; Giering, SLC; Hartmann, M; Iversen, M; Khatiwala, S; Lam, P; Lampitt, R; Mayor, DJ; Moore, MC; Murphy, E; Painter, SC; Poulton, AJ; Saw, K; Stowasser, G; Tarling, GA; Torres-Valdes, S; Trimmer, M; Wolff, GA; Yool, A; Zubkov, M</t>
  </si>
  <si>
    <t>Sanders, Richard J.; Henson, Stephanie A.; Martin, Adrian P.; Anderson, Tom R.; Bernardello, Raffaele; Enderlein, Peter; Fielding, Sophie; Giering, Sarah L. C.; Hartmann, Manuela; Iversen, Morten; Khatiwala, Samar; Lam, Phyllis; Lampitt, Richard; Mayor, Daniel J.; Moore, Mark C.; Murphy, Eugene; Painter, Stuart C.; Poulton, Alex J.; Saw, Kevin; Stowasser, Gabriele; Tarling, Geraint A.; Torres-Valdes, Sinhue; Trimmer, Mark; Wolff, George A.; Yool, Andrew; Zubkov, Mike</t>
  </si>
  <si>
    <t>Controls over Ocean Mesopelagic Interior Carbon Storage (COMICS): Fieldwork, Synthesis, and Modeling Efforts</t>
  </si>
  <si>
    <t>biological carbon pump; field campaign; science plan; ocean carbon cycle; biogeochemical model</t>
  </si>
  <si>
    <t>PARTICULATE ORGANIC-CARBON; PARTICLE-FLUX; TWILIGHT ZONE; EXPORT; REMINERALIZATION; DARK; ASSIMILATION; ATTENUATION; VARIABILITY; MATTER</t>
  </si>
  <si>
    <t>The ocean's biological carbon pump plays a central role in regulating atmospheric CO2 levels. In particular, the depth at which sinking organic carbon is broken down and respired in the mesopelagic zone is critical, with deeper remineralization resulting in greater carbon storage. Until recently, however, a balanced budget of the supply and consumption of organic carbon in the mesopelagic had not been constructed in any region of the ocean, and the processes controlling organic carbon turnover are still poorly understood. Large-scale data syntheses suggest that a wide range of factors can influence remineralization depth including upper-ocean ecological interactions, and interior dissolved oxygen concentration and temperature. However, these analyses do not provide a mechanistic understanding of remineralization, which increases the challenge of appropriately modeling the mesopelagic carbon dynamics. In light of this, the UK Natural Environment Research Council has funded a programme with this mechanistic understanding as its aim, drawing targeted fieldwork right through to implementation of a new parameterization for mesopelagic remineralization within an IPCC class global biogeochemical model. The Controls over Ocean Mesopelagic Interior Carbon Storage (COMICS) programme will deliver new insights into the processes of carbon cycling in the mesopelagic zone and how these influence ocean carbon storage. Here we outline the programme's rationale, its goals, planned fieldwork, and modeling activities, with the aim of stimulating international collaboration.</t>
  </si>
  <si>
    <t>[Sanders, Richard J.; Henson, Stephanie A.; Martin, Adrian P.; Anderson, Tom R.; Bernardello, Raffaele; Giering, Sarah L. C.; Hartmann, Manuela; Lampitt, Richard; Mayor, Daniel J.; Painter, Stuart C.; Poulton, Alex J.; Saw, Kevin; Torres-Valdes, Sinhue; Yool, Andrew; Zubkov, Mike] Natl Oceanog Ctr, Southampton, Hants, England; [Enderlein, Peter; Fielding, Sophie; Murphy, Eugene; Stowasser, Gabriele; Tarling, Geraint A.] British Antarctic Survey, Cambridge, England; [Iversen, Morten] Univ Bremen, MARUM Ctr Marine Environm Sci, Bremen, Germany; [Khatiwala, Samar] Univ Oxford, Dept Earth Sci, Oxford, England; [Lam, Phyllis; Moore, Mark C.] Univ Southampton, Natl Oceanog Ctr Southampton, Ocean &amp; Earth Sci, Southampton, Hants, England; [Trimmer, Mark] Queen Mary Univ London, Sch Biol &amp; Chem Sci, London, England; [Wolff, George A.] Univ Liverpool, Sch Environm Sci, Liverpool, Merseyside, England</t>
  </si>
  <si>
    <t>NERC National Oceanography Centre; UK Research &amp; Innovation (UKRI); Natural Environment Research Council (NERC); NERC British Antarctic Survey; University of Bremen; University of Oxford; NERC National Oceanography Centre; University of Southampton; University of London; Queen Mary University London; University of Liverpool</t>
  </si>
  <si>
    <t>Henson, SA (corresponding author), Natl Oceanog Ctr, Southampton, Hants, England.</t>
  </si>
  <si>
    <t>s.henson@noc.ac.uk</t>
  </si>
  <si>
    <t>Trimmer, Mark/HGT-8823-2022; Torres-Valdés, Sinhué/O-6436-2019; Henson, Stephanie/AAC-9709-2019; Fielding, Sophie/E-5137-2012; Iversen, Morten H/C-7741-2013; Zubkov, Mikhail/AAW-9674-2020; murphy, eugene/GZL-1620-2022; Mayor, Daniel/HDN-8520-2022; Trimmer, Mark/ABB-2336-2021; Wolff, George/B-7982-2018; Lam, Phyllis/D-9574-2011; Iversen, Morten Hvitfeldt/Q-3774-2016; Poulton, Alex/A-9859-2012; Painter, Stuart/F-1248-2010</t>
  </si>
  <si>
    <t>Torres-Valdés, Sinhué/0000-0003-2749-4170; Zubkov, Mikhail/0000-0001-7723-6810; Mayor, Daniel/0000-0002-1295-0041; Trimmer, Mark/0000-0002-9859-5537; Saw, Kevin/0000-0001-7461-3430; Wolff, George/0000-0002-9380-1039; Lam, Phyllis/0000-0003-2067-171X; Iversen, Morten Hvitfeldt/0000-0002-5287-1110; Poulton, Alex/0000-0002-5149-6961; Stowasser, Gabriele/0000-0002-0595-0772; Painter, Stuart/0000-0001-7934-7346; Giering, Sarah Lou Carolin/0000-0002-3090-1876; Lam, Phoebe J./0000-0001-6609-698X; Bernardello, Raffaele/0000-0003-4923-1582; Moore, Mark/0000-0002-9541-6046</t>
  </si>
  <si>
    <t>UK Natural Environment Research Council [NE/M020835/1]; NERC [noc010009, NE/M020835/1, bas0100035, NE/K001833/2, NE/K001833/1] Funding Source: UKRI; Natural Environment Research Council [bas0100035, noc010009, NE/K001833/2, NE/K001833/1]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</si>
  <si>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</si>
  <si>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COMICS is funded by a Large Grant from the UK Natural Environment Research Council (NE/M020835/1) to RS.</t>
  </si>
  <si>
    <t>10.3389/fmars.2016.00136</t>
  </si>
  <si>
    <t>WOS:000457358000133</t>
  </si>
  <si>
    <t>Sinniger, F; Pawlowski, J; Harii, S; Gooday, AJ; Yamamoto, H; Chevaldonné, P; Cedhagen, T; Carvalho, G; Creer, S</t>
  </si>
  <si>
    <t>Sinniger, Frederic; Pawlowski, Jan; Harii, Saki; Gooday, Andrew J.; Yamamoto, Hiroyuki; Chevaldonne, Pierre; Cedhagen, Tomas; Carvalho, Gary; Creer, Simon</t>
  </si>
  <si>
    <t>Worldwide Analysis of Sedimentary DNA Reveals Major Gaps in Taxonomic Knowledge of Deep-Sea Benthos</t>
  </si>
  <si>
    <t>environmental DNA; biodiversity; metabarcoding; meiobenthos; 18S rDNA</t>
  </si>
  <si>
    <t>COMMUNITY STRUCTURE; BIODIVERSITY LOSS; SOUTHERN-OCEAN; DIVERSITY; BIOGEOGRAPHY; PATTERNS; COSMOPOLITANISM; CRUSTACEA; ECOSYSTEM; IMPACT</t>
  </si>
  <si>
    <t>Deep-sea sediments represent the largest but least known ecosystem on earth. With increasing anthropogenic pressure, it is now a matter of urgency to improve our understanding of deep-sea biodiversity. Traditional morpho-taxonomic studies suggest that the ocean floor hosts extraordinarily diverse benthic communities. However, due to both its remoteness and a lack of expert taxonomists, assessing deep-sea diversity is a very challenging task. Environmental DNA (eDNA) metabarcoding offers a powerful tool to complement morpho-taxonomic studies. Here we use eDNA to assess benthic metazoan diversity in 39 deep-sea sediment samples from bathyal and abyssal depths worldwide. The eDNA dataset was dominated by meiobenthic taxa and we identified all animal phyla commonly found in the deep-sea benthos; yet, the diversity within these phyla remains largely unknown. The large numbers of taxonomically unassigned molecular operational taxonomic units (OTUs) were not equally distributed among phyla, with nematodes and platyhelminthes being the most poorly characterized from a taxonomic perspective. While the data obtained here reveal pronounced heterogeneity and vast amounts of unknown biodiversity in the deep sea, they also expose the difficulties in exploiting metabarcoding datasets resulting from the lack of taxonomic knowledge and appropriate reference databases. Overall, our study demonstrates the promising potential of eDNA metabarcoding to accelerate the assessment of deep-sea biodiversity for pure and applied deep-sea environmental research but also emphasizes the necessity to integrate such new approaches with traditional morphology-based examination of deep-sea organisms.</t>
  </si>
  <si>
    <t>[Sinniger, Frederic; Harii, Saki] Univ Ryukyus, Trop Biosphere Res Ctr, Motobu, Okinawa, Japan; [Sinniger, Frederic; Yamamoto, Hiroyuki] Japan Agcy Marine Earth Sci &amp; Technol, Res &amp; Dev Ctr Submarine Resources, Yokosuka, Kanagawa, Japan; [Pawlowski, Jan] Univ Geneva, Dept Genet &amp; Evolut, Geneva, Switzerland; [Gooday, Andrew J.] Univ Southampton, Natl Oceanog Ctr, Waterfront Campus, Southampton, Hants, England; [Chevaldonne, Pierre] Avignon Univ, Aix Marseille Univ, IRD, IMBE,CNRS, Marseille, France; [Cedhagen, Tomas] Aarhus Univ, Dept Biosci, Aarhus, Denmark; [Carvalho, Gary; Creer, Simon] Bangor Univ, Sch Biol Sci, Bangor, Gwynedd, Wales</t>
  </si>
  <si>
    <t>University of the Ryukyus; Japan Agency for Marine-Earth Science &amp; Technology (JAMSTEC); University of Geneva; NERC National Oceanography Centre; University of Southampton; Avignon Universite; Institut de Recherche pour le Developpement (IRD); Aix-Marseille Universite; Centre National de la Recherche Scientifique (CNRS); Aarhus University; Bangor University</t>
  </si>
  <si>
    <t>Sinniger, F (corresponding author), Univ Ryukyus, Trop Biosphere Res Ctr, Motobu, Okinawa, Japan.;Sinniger, F (corresponding author), Japan Agcy Marine Earth Sci &amp; Technol, Res &amp; Dev Ctr Submarine Resources, Yokosuka, Kanagawa, Japan.</t>
  </si>
  <si>
    <t>fredsinniger@hotmail.com</t>
  </si>
  <si>
    <t>Harii, Saki/GLR-0220-2022; Pawlowski, Jan/JNS-6857-2023; Gooday, Andrew/ABB-4267-2020; Pawlowski, Jan/AAO-3306-2021; Harii, Saki/AHC-2263-2022; Gooday, Andrew/AAH-8991-2021; Cedhagen, Tomas/J-6426-2013</t>
  </si>
  <si>
    <t>Harii, Saki/0000-0003-0440-7169; Gooday, Andrew/0000-0002-5661-7371; Pawlowski, Jan/0000-0003-2421-388X; Harii, Saki/0000-0003-0440-7169; Cedhagen, Tomas/0000-0003-4550-8177; Sinniger, Frederic/0000-0002-4175-5931; Chevaldonne, Pierre/0000-0003-0507-7747</t>
  </si>
  <si>
    <t>European Community [253251]; Japan Society for Promotion of Science [26870917]; Japanese Cross-ministerial Strategic Innovation Promotion (SIP) Program for Development of New-generation Research Protocol for Submarine Resources; Carlsberg foundation [2010-01-0376]; Swiss National Science Foundation [31003A-140766]; British Antarctic Survey collaborative gearing scheme [57]; Deepsets Responsive Mode Proposal (RMP) of the MarBEF No E (EU Network of Excellence); NERC [NE/F001266/1, NE/E001505/1] Funding Source: UKRI; Natural Environment Research Council [NE/F001266/1, NE/E001505/1] Funding Source: researchfish; Grants-in-Aid for Scientific Research [26870917] Funding Source: KAKEN</t>
  </si>
  <si>
    <t>European Community; Japan Society for Promotion of Science(Ministry of Education, Culture, Sports, Science and Technology, Japan (MEXT)Japan Society for the Promotion of Science); Japanese Cross-ministerial Strategic Innovation Promotion (SIP) Program for Development of New-generation Research Protocol for Submarine Resources; Carlsberg foundation(Carlsberg Foundation); Swiss National Science Foundation(Swiss National Science Foundation (SNSF)); British Antarctic Survey collaborative gearing scheme; Deepsets Responsive Mode Proposal (RMP) of the MarBEF No E (EU Network of Excellence);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</si>
  <si>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This study was funded through the European Community FP7 Marie Curie International Incoming Fellowship project MARMEDIV (No 253251) and a Japan Society for Promotion of Science grant in aid for young researcher to FS (no 26870917). Part of this research was funded by the Japanese Cross-ministerial Strategic Innovation Promotion (SIP) Program for Development of New-generation Research Protocol for Submarine Resources and part of the sampling was supported by the Carlsberg foundation to TC (No 2010-01-0376), Swiss National Science Foundation to JP (grant 31003A-140766), and a British Antarctic Survey collaborative gearing scheme to SC (No 57). Mediterranean samples were obtained through funding by the Deepsets Responsive Mode Proposal (RMP) of the MarBEF No E (EU Network of Excellence).</t>
  </si>
  <si>
    <t>10.3389/fmars.2016.00092</t>
  </si>
  <si>
    <t>WOS:000457358000090</t>
  </si>
  <si>
    <t>Velasquez, IB; Ibisanmi, E; Maas, EW; Boyd, PW; Nodder, S; Sander, SG</t>
  </si>
  <si>
    <t>Velasquez, Imelda B.; Ibisanmi, Enitan; Maas, Elizabeth W.; Boyd, Philip W.; Nodder, Scott; Sander, Sylvia G.</t>
  </si>
  <si>
    <t>Ferrioxamine Siderophores Detected amongst Iron Binding Ligands Produced during the Remineralization of Marine Particles</t>
  </si>
  <si>
    <t>siderophores; voltammetry; dfb; particle remineralization; iron; particulate matter</t>
  </si>
  <si>
    <t>CATHODIC STRIPPING VOLTAMMETRY; SUB-ANTARCTIC WATERS; DISSOLVED IRON; ORGANIC COMPLEXATION; HYDROXAMATE SIDEROPHORES; PHYTOPLANKTON BLOOM; COLORIMETRIC DETERMINATION; TITRATION DATA; SURFACE OCEAN; SPECIATION</t>
  </si>
  <si>
    <t>The microbial degradation of marine particles is an important process in the remineralization of nutrients including iron. As part of the GEOTRACES process study (FeCycle II), we conducted incubation experiments with marine particles obtained from 30 to 100 m depth at two stations during austral spring in the subtropical waters east of the North Island of New Zealand. The particles were collected using in-situ pumps, and comprised mainly of suspended and slow sinking populations along with associated attached heterotrophic bacteria. In treatments with live bacteria, increasing concentrations of Fe binding ligands were observed with an average stability constant of logK(FeL, Fe3+) =21.11 +/- 0.37for station 1 and 20.89 +/- 0.25 for station 2. The ligand release rates varied between 2.54 and 11.8 pmol L-1 d(-1) (calculated for ambient seawater particle concentration) and were similar to those found in two Southern Ocean subsurface studies from similar to 110 m depths in subpolar and polar waters. Dissolved iron (DFe) was released at a rate between 0.33 and 2.09 pmol Fe L-1 d(-1) with a column integrated (30-100 m) flux of 107 and 58 nmol Fe m(-2) day(-1) at station 1 and 2, respectively. Given a mixed layer DFe inventory of similar to 48 mu mol m(-2) and similar to 4 mu mol m(-2) at the time of sampling for station 1 and 2, this will therefore result in a DFe residence time of 1.2 and 0.18 years, assuming particle remineralization was the only source of iron in the mixed layer. The DFe release rates calculated were comparable to those found in the previously mentioned study of Southern Ocean water masses. Fe-binding ligand producing bacteria (CAS positive) abundance was found to increase throughout the duration of the experiment of 7-8 days. For the first time ferrioxamine type siderophores, including the well-known ferrioxamine B and G, have been quantified using chemical assays and LC-ESI-MS. Our subtropical study corroborates prior reports from the Southern Ocean of particle remineralization being an important source of DFe and ligands, and adds unprecedented detail by revealing that siderophores are probably an important component of the ligands released into subsurface waters during particle remineralisation.</t>
  </si>
  <si>
    <t>[Velasquez, Imelda B.; Ibisanmi, Enitan; Sander, Sylvia G.] Univ Otago, Dept Chem, Dunedin, New Zealand; [Maas, Elizabeth W.; Nodder, Scott] Natl Inst Water &amp; Atmosphere, Wellington, New Zealand; [Boyd, Philip W.] Univ Tasmania, Inst Marine &amp; Antarctic Studies, Hobart, Tas, Australia; [Boyd, Philip W.; Sander, Sylvia G.] Univ Otago, NIWA, Res Ctr Oceanog, Dunedin, New Zealand; [Maas, Elizabeth W.] Minist Primary Ind, Napier, New Zealand</t>
  </si>
  <si>
    <t>University of Otago; National Institute of Water &amp; Atmospheric Research (NIWA) - New Zealand; University of Tasmania; University of Otago</t>
  </si>
  <si>
    <t>Sander, SG (corresponding author), Univ Otago, Dept Chem, Dunedin, New Zealand.;Sander, SG (corresponding author), Univ Otago, NIWA, Res Ctr Oceanog, Dunedin, New Zealand.</t>
  </si>
  <si>
    <t>sylvia.sander@otago.ac.nz</t>
  </si>
  <si>
    <t>Sander, Sylvia/AAC-3559-2022; Boyd, Philip/J-7624-2014</t>
  </si>
  <si>
    <t>Sander, Sylvia/0000-0001-9581-9737; Boyd, Philip/0000-0001-7850-1911</t>
  </si>
  <si>
    <t>University of Otago; Marsden grant [UOO1117]</t>
  </si>
  <si>
    <t>University of Otago; Marsden grant(Royal Society of New ZealandMarsden Fund (NZ))</t>
  </si>
  <si>
    <t>El and IBV received a University of Otago PhD scholarship. SGS and PWB were supported by Marsden grant UOO1117.</t>
  </si>
  <si>
    <t>10.3389/fmars.2016.00172</t>
  </si>
  <si>
    <t>WOS:000457358000169</t>
  </si>
  <si>
    <t>Xavier, JC; Brandt, A; Ropert-Coudert, Y; Badhe, R; Gutt, J; Havermans, C; Jones, C; Costa, ES; Lochte, K; Schloss, IR; Kennicutt, MC; Sutherland, WJ</t>
  </si>
  <si>
    <t>Xavier, Jose C.; Brandt, Angelika; Ropert-Coudert, Yan; Badhe, Renuka; Gutt, Julian; Havermans, Charlotte; Jones, Christopher; Costa, Erli S.; Lochte, Karin; Schloss, Irene R.; Kennicutt, Mahlon C., II; Sutherland, William J.</t>
  </si>
  <si>
    <t>Future Challenges in Southern Ocean Ecology Research</t>
  </si>
  <si>
    <t>Southern Ocean; future research; policy making; ecology; conservation</t>
  </si>
  <si>
    <t>CLIMATE-CHANGE; BIODIVERSITY; 21ST-CENTURY; ECOSYSTEMS; MANAGEMENT; NUTRIENTS; CO2</t>
  </si>
  <si>
    <t>The Southern Ocean is experiencing relentless change. The Antarctic and Southern Ocean community, represented by 75 scientists and policy-makers from 22 countries, recently met to formulate a collective vision on the priorities for Antarctic research for the next two decades and beyond. Here, we assess high-interest research areas related specifically to Southern Ocean life and ecology that, although not all retained as the 80 top priorities among the addressed scientific domains, are of considerable relevance to the biology and ecology of the Southern Ocean. As certain regions of the Southern Ocean ecosystems have witnessed abiotic and biotic changes in the last decades (e.g., warming, climate variability, changes in sea ice, and abundance of marine organisms), such an exercise was urgently needed. We concluded that basic biological information on the taxonomy of numerous organisms is still lacking in areas, such as the deep ocean floor or the under-ice environments. Furthermore, there is a need for knowledge about the response and resilience of Antarctic marine ecosystems to change. The continuation of a long-term commitment and the development and use of innovative technology to adequately monitor the Southern Ocean ecosystems is required. Highlighting the most important Southern Ocean research topics allow the identification of the challenges and future requirements in technological development, and both research and funding strategies for the various stakeholders.</t>
  </si>
  <si>
    <t>[Xavier, Jose C.; Sutherland, William J.] British Antarctic Survey, Nat Environm Res Council, Cambridge, England; [Xavier, Jose C.] Univ Coimbra, Fac Ciencias &amp; Tecnol, Marine &amp; Environm Sci Ctr, Dept Ciencias Vida, Coimbra, Portugal; [Brandt, Angelika] Univ Hamburg, Zool Museum, Ctr Nat Hist CeNak, Hamburg, Germany; [Ropert-Coudert, Yan; Sutherland, William J.] CNRS, UMR 7372, Ctr Etud Biol Chize, Villiers En Bois, France; [Badhe, Renuka] European Polar Board, The Hague, Netherlands; [Gutt, Julian; Havermans, Charlotte; Lochte, Karin] Helmholtz Zentrum Polar &amp; Meeresforsch, Alfred Wegener Inst, Bremerhaven, Germany; [Havermans, Charlotte] Royal Belgian Inst Nat Sci, Brussels, Belgium; [Jones, Christopher] NOAA, Southwest Fisheries Sci Ctr, Natl Marine Fisheries Serv, La Jolla, CA USA; [Costa, Erli S.] Univ Estado Rio Grande Sul, Porto Alegre, RS, Brazil; [Schloss, Irene R.] Inst Antartico Argentino, Buenos Aires, DF, Argentina; [Schloss, Irene R.] Consejo Nacl Invest Cient &amp; Tecn CONICET, Buenos Aires, DF, Argentina; [Schloss, Irene R.] Inst Sci Mer Rimouski, Rimouski, PQ, Canada; [Kennicutt, Mahlon C., II] Texas A&amp;M Univ, College Stn, TX USA; Univ Cambridge, Dept Zool, Conservat Sci Grp, Cambridge, England</t>
  </si>
  <si>
    <t>UK Research &amp; Innovation (UKRI); Natural Environment Research Council (NERC); NERC British Antarctic Survey; Universidade de Coimbra; University of Hamburg; Centre National de la Recherche Scientifique (CNRS); CNRS - Institute of Ecology &amp; Environment (INEE); Helmholtz Association; Alfred Wegener Institute, Helmholtz Centre for Polar &amp; Marine Research; Royal Belgian Institute of Natural Sciences; National Oceanic Atmospheric Admin (NOAA) - USA; Universidade Estadual do Rio Grande do Sul (UERGS); Instituto Antartico Argentino; Consejo Nacional de Investigaciones Cientificas y Tecnicas (CONICET); Texas A&amp;M University System; Texas A&amp;M University College Station; University of Cambridge</t>
  </si>
  <si>
    <t>Xavier, JC (corresponding author), British Antarctic Survey, Nat Environm Res Council, Cambridge, England.;Xavier, JC (corresponding author), Univ Coimbra, Fac Ciencias &amp; Tecnol, Marine &amp; Environm Sci Ctr, Dept Ciencias Vida, Coimbra, Portugal.</t>
  </si>
  <si>
    <t>jccx@cantab.net</t>
  </si>
  <si>
    <t>Sutherland, William/B-1291-2013; Xavier, José/KFB-6739-2024; Brandt, Angelika/C-1630-2018; COSTA, ERLI SCHNEIDER/AAP-2375-2020; Schloss, Irene R./U-5411-2018</t>
  </si>
  <si>
    <t>COSTA, ERLI SCHNEIDER/0000-0002-3739-1178; Schloss, Irene R./0000-0002-5917-8925; Gutt, Julian/0000-0003-3773-9370; /0000-0002-9621-6660; Havermans, Charlotte/0000-0002-1126-4074; Badhe, Renuka/0000-0001-5255-744X</t>
  </si>
  <si>
    <t>SCAR Antarctic and Southern Ocean Science Horizon Scan; Tinker Foundation; Antarctic Climate &amp; Ecosystems Cooperative Research Centre (Australia); Canadian Polar Commission; Climate and Cryosphere Program, Kelly Tarlton's Sea Life Aquarium; Korean Polar Research Institute; Institute Antarctico Chileno; National Institute for Polar Research (Japan), New Zealand Post; Programma Nazionale di Ricerche in Antartide (Italy), Monash University; Polar Research Institute of China; University of Malaya (Malaysia); SCAR Secretariat and Antarctica New Zealand; investigator FCT program [IF/00616/2013]; Foundation for Science and Technology (Portugal); Arcadia</t>
  </si>
  <si>
    <t>SCAR Antarctic and Southern Ocean Science Horizon Scan; Tinker Foundation; Antarctic Climate &amp; Ecosystems Cooperative Research Centre (Australia)(Australian GovernmentDepartment of Industry, Innovation and ScienceCooperative Research Centres (CRC) Programme); Canadian Polar Commission; Climate and Cryosphere Program, Kelly Tarlton's Sea Life Aquarium; Korean Polar Research Institute; Institute Antarctico Chileno; National Institute for Polar Research (Japan), New Zealand Post; Programma Nazionale di Ricerche in Antartide (Italy), Monash University; Polar Research Institute of China; University of Malaya (Malaysia)(Universiti Malaya); SCAR Secretariat and Antarctica New Zealand; investigator FCT program(Fundacao para a Ciencia e a Tecnologia (FCT)); Foundation for Science and Technology (Portugal)(Fundacao para a Ciencia e a Tecnologia (FCT)); Arcadia</t>
  </si>
  <si>
    <t>We thank the organizers and all participants of the first SCAR Antarctic and Southern Ocean Science Horizon Scan and the Tinker Foundation for financial support, as well as Antarctica New Zealand, the New Zealand Antarctic Research Institute, the Scientific Committee on Antarctic Research, the Council of Managers of National Antarctic Programs, the Alfred-Wegner-Institut, Helmholtz Zentrum fur Polar-and Meeresforschung (Germany), and the British Antarctic Survey. Support was provided by the Antarctic Climate &amp; Ecosystems Cooperative Research Centre (Australia), the Canadian Polar Commission, the Climate and Cryosphere Program, Kelly Tarlton's Sea Life Aquarium, the Korean Polar Research Institute, the Institute Antarctico Chileno, the National Institute for Polar Research (Japan), New Zealand Post, the Programma Nazionale di Ricerche in Antartide (Italy), Monash University, Polar Research Institute of China, and the University of Malaya (Malaysia). The support of the SCAR Secretariat and Antarctica New Zealand staff is gratefully recognized. We thank Bruno Cruz, Limy Griffiths, Peter Bucktrout, Graham Hosie, Torben Riehl, and Lloyd Peck for preparing and contributing with figures/photos/comments to the manuscript. Finally, we also thank members of the SCAR expert groups (e.g., SCAR EGBAMM, Trophic interactions WG, ICED AG) and science research programs AnT-ERA and Antlico, for providing their valuable opinion. JX is supported by the investigator FCT program (IF/00616/2013) and by the Foundation for Science and Technology (Portugal). WS is funded by Arcadia.</t>
  </si>
  <si>
    <t>10.3389/fmars.2016.00094</t>
  </si>
  <si>
    <t>WOS:000457358000092</t>
  </si>
  <si>
    <t>Isola, D; Zucconi, L; Onofri, S; Caneva, G; de Hoog, GS; Selbmann, L</t>
  </si>
  <si>
    <t>Isola, D.; Zucconi, L.; Onofri, S.; Caneva, G.; de Hoog, G. S.; Selbmann, L.</t>
  </si>
  <si>
    <t>Extremotolerant rock inhabiting black fungi from Italian monumental sites</t>
  </si>
  <si>
    <t>FUNGAL DIVERSITY</t>
  </si>
  <si>
    <t>Extremotolerance; Monuments; Microcolonial fungi; Multilocus phylogeny</t>
  </si>
  <si>
    <t>MICROCOLONIAL FUNGI; DEMATIACEOUS HYPHOMYCETE; GEN. NOV; MARBLE; CONIOSPORIUM; SARCINOMYCES; KNUFIA; COMMUNITIES; PHYLOGENY; YEAST</t>
  </si>
  <si>
    <t>A wide sampling for isolating highly destructive and extremotolerant black fungi was performed from Italian monuments in selected historical sites which include the Cortile della Pigna, Vatican Museum and the St Peter colonnade (Vatican City State), the monumental cemetery of Bonaria (Cagliari), and other monuments in the city of Cagliari. Thirty out of seventy-four strains isolated were identified basing on ITS Blastn comparison. Based on multilocus phylogeny and morphological data, one new genus and species Lithophila guttulata, five new species Knufia marmoricola, K. vaticanii, K. karalitana, K. mediterranea and Exophiala bonariae, order Chaetothyriales and one new genus and species, Saxophila tyrrhenica, and two new species Vermiconia calcicola and Devriesia sardiniae, order Capnodiales, were proposed. Ecological considerations are put forward.</t>
  </si>
  <si>
    <t>[Isola, D.; Zucconi, L.; Onofri, S.; Selbmann, L.] Univ Tuscia, DEB, Viterbo, Italy; [Caneva, G.] Univ Rome Tre, Dept Sci, I-00146 Rome, Italy; [de Hoog, G. S.] CBS KNAW Fungal Biodivers Ctr, NL-3584 CT Utrecht, Netherlands</t>
  </si>
  <si>
    <t>Tuscia University; Italfarmaco; Roma Tre University; Royal Netherlands Academy of Arts &amp; Sciences; Westerdijk Fungal Biodiversity Institute (KNAW)</t>
  </si>
  <si>
    <t>Selbmann, L (corresponding author), Univ Tuscia, DEB, Largo Univ, Viterbo, Italy.</t>
  </si>
  <si>
    <t>selbmann@unitus.it</t>
  </si>
  <si>
    <t>Isola, Daniela/AAX-5814-2020; Zucconi, L./U-9781-2018</t>
  </si>
  <si>
    <t>Isola, Daniela/0000-0002-5069-6056; Zucconi, L./0000-0001-9793-2303; ONOFRI, Silvano/0000-0001-8872-1440</t>
  </si>
  <si>
    <t>Italian National Program for Antarctic Researches (PNRA); Italian National Antarctic Museum Felice Ippolito; Italian Ordine Nazionale dei Biologi</t>
  </si>
  <si>
    <t>The authors thank the Italian National Program for Antarctic Researches (PNRA) and the Italian National Antarctic Museum Felice Ippolito for funding the Culture Collection of Fungi From Extreme Environments (CCFEE). The Italian Ordine Nazionale dei Biologi is acknowledged for funding the project Fungal deteriogens and stone monuments. Professor Paola Meloni, Georgia Toreno and the laboratory Colle di Bonaria-University of Cagliari are acknowledged for kind collaboration during sampling. Superintendence of Heritage Landscape, Historical, Anthropological Heritage of Cagliari and Oristano, the district of Cagliari - Cemetery direction -, Prof. Antonio Paolucci Director of the Vatican Museum, Prof. Ulderico Santamaria and Mattia Tomassini Barbarossa, owner of Boyl Palace, are acknowledged for giving permission for sampling.</t>
  </si>
  <si>
    <t>1560-2745</t>
  </si>
  <si>
    <t>1878-9129</t>
  </si>
  <si>
    <t>FUNGAL DIVERS</t>
  </si>
  <si>
    <t>Fungal Divers.</t>
  </si>
  <si>
    <t>10.1007/s13225-015-0342-9</t>
  </si>
  <si>
    <t>Mycology</t>
  </si>
  <si>
    <t>DB2VE</t>
  </si>
  <si>
    <t>WOS:000368367400004</t>
  </si>
  <si>
    <t>Koo, H; Strope, BM; Kim, EH; Shabani, AM; Kumar, R; Crowley, MR; Andersen, DT; Bej, AK</t>
  </si>
  <si>
    <t>Koo, Hyunmin; Strope, Bailey M.; Kim, Eddy H.; Shabani, Adel M.; Kumar, Ranjit; Crowley, Michael R.; Andersen, Dale T.; Bej, Asim K.</t>
  </si>
  <si>
    <t>Draft Genome Sequence of Janthinobacterium sp. Ant5-2-1, Isolated from Proglacial Lake Podprudnoye in the Schirmacher Oasis of East Antarctica</t>
  </si>
  <si>
    <t>GENOME ANNOUNCEMENTS</t>
  </si>
  <si>
    <t>TRANSFER-RNA GENES; ANNOTATION; PROGRAM; PVP; UV</t>
  </si>
  <si>
    <t>Janthinobacterium sp. Ant5-2-1, isolated from the Schirmacher Oasis of East Antarctica, produces a purple-violet pigment, manifests diverse energy metabolism abilities, and tolerates cold, ultraviolet radiation, and other environmental stressors. We report here the 6.19-Mb draft genome of strain Ant5-2-1, which will help understand its survival mechanisms in extreme Antarctic ecosystems.</t>
  </si>
  <si>
    <t>[Koo, Hyunmin; Strope, Bailey M.; Kim, Eddy H.; Shabani, Adel M.; Bej, Asim K.] Univ Alabama Birmingham, Dept Biol, Birmingham, AL 35294 USA; [Kumar, Ranjit] Univ Alabama Birmingham, CCTS Biomed Informat, Birmingham, AL USA; [Crowley, Michael R.] Univ Alabama Birmingham, Heflin Ctr Genom Sci, Birmingham, AL USA; [Andersen, Dale T.] SETI Inst, Carl Sagan Ctr, Mountain View, CA USA</t>
  </si>
  <si>
    <t>University of Alabama System; University of Alabama Birmingham; University of Alabama System; University of Alabama Birmingham; University of Alabama System; University of Alabama Birmingham</t>
  </si>
  <si>
    <t>Bej, AK (corresponding author), Univ Alabama Birmingham, Dept Biol, Birmingham, AL 35294 USA.</t>
  </si>
  <si>
    <t>abej@uab.edu</t>
  </si>
  <si>
    <t>Andersen, Dale T/B-4816-2013</t>
  </si>
  <si>
    <t>Andersen, Dale T/0000-0001-8827-1259; Koo, Hyunmin/0000-0001-6630-2165; /0000-0003-3060-1088</t>
  </si>
  <si>
    <t>Tawani Foundation of Chicago; NASA's Exobiology and Astrobiology Programs; National Center for Advancing Translational Sciences of the National Institutes of Health [UL1TR00165]</t>
  </si>
  <si>
    <t>Tawani Foundation of Chicago; NASA's Exobiology and Astrobiology Programs; National Center for Advancing Translational Sciences of the National Institutes of Health(United States Department of Health &amp; Human ServicesNational Institutes of Health (NIH) - USANIH National Center for Advancing Translational Sciences (NCATS))</t>
  </si>
  <si>
    <t>The Antarctic expedition was supported by the Tawani Foundation of Chicago, Lorne Trottier of the Trottier Family Foundation, and NASA's Exobiology and Astrobiology Programs. This research was also supported by the National Center for Advancing Translational Sciences of the National Institutes of Health under award number UL1TR00165.</t>
  </si>
  <si>
    <t>2169-8287</t>
  </si>
  <si>
    <t>Genom. Ann.</t>
  </si>
  <si>
    <t>e01600-15</t>
  </si>
  <si>
    <t>10.1128/genomeA.01600-15</t>
  </si>
  <si>
    <t>VI1DO</t>
  </si>
  <si>
    <t>WOS:000460649500096</t>
  </si>
  <si>
    <t>Smith, HJ; Foreman, CM; Akiyama, T; Franklin, MJ; Devitt, NP; Ramaraj, T</t>
  </si>
  <si>
    <t>Smith, Heidi J.; Foreman, Christine M.; Akiyama, Tatsuya; Franklin, Michael J.; Devitt, Nicolas P.; Ramaraj, Thiruvarangan</t>
  </si>
  <si>
    <t>Genome Sequence of Janthinobacterium sp. CG23_2, a Violacein-Producing Isolate from an Antarctic Supraglacial Stream</t>
  </si>
  <si>
    <t>Here, we present the draft genome sequence for the violacein-producing Janthinobacterium sp. CG23_2 isolated from an Antarctic supraglacial stream. The genome is similar to 7.85 Mb, with a G+C content of 63.5%. The genome includes 7,247 candidate protein coding genes, which may provide insight into UV tolerance mechanisms.</t>
  </si>
  <si>
    <t>[Smith, Heidi J.; Foreman, Christine M.; Akiyama, Tatsuya; Franklin, Michael J.] Montana State Univ, Ctr Biofilm Engn, Bozeman, MT 59717 USA; [Devitt, Nicolas P.; Ramaraj, Thiruvarangan] NCGR, Santa Fe, NM USA</t>
  </si>
  <si>
    <t>Montana State University System; Montana State University Bozeman; National Center for Genome Resources (NCGR)</t>
  </si>
  <si>
    <t>Foreman, CM (corresponding author), Montana State Univ, Ctr Biofilm Engn, Bozeman, MT 59717 USA.</t>
  </si>
  <si>
    <t>cforeman@montana.edu</t>
  </si>
  <si>
    <t>Akiyama, Tatsuya/0000-0001-6329-6257; Foreman, Christine/0000-0003-0230-4692</t>
  </si>
  <si>
    <t>NASA Earth and Space Science Fellowship; National Science Foundation (NSF) [ANT-1141978]; Office of Polar Programs (OPP); Directorate For Geosciences [1141978] Funding Source: National Science Foundation</t>
  </si>
  <si>
    <t>NASA Earth and Space Science Fellowship; National Science Foundation (NSF)(National Science Foundation (NSF)National Research Foundation of Korea); Office of Polar Programs (OPP); Directorate For Geosciences(National Science Foundation (NSF)NSF - Directorate for Geosciences (GEO))</t>
  </si>
  <si>
    <t>NASA Earth and Space Science Fellowship provided funding to Heidi J. Smith. National Science Foundation (NSF) provided funding to Christine M. Foreman under grant number OPP-0838970. National Science Foundation (NSF) provided funding to Christine M. Foreman under grant number ANT-1141978.</t>
  </si>
  <si>
    <t>e01468-15</t>
  </si>
  <si>
    <t>10.1128/genomeA.01468-15</t>
  </si>
  <si>
    <t>WOS:000460649500029</t>
  </si>
  <si>
    <t>Floss, C; Haenecour, P</t>
  </si>
  <si>
    <t>Floss, Christine; Haenecour, Pierre</t>
  </si>
  <si>
    <t>Presolar silicate grains: Abundances, isotopic and elemental compositions, and the effects of secondary processing</t>
  </si>
  <si>
    <t>GEOCHEMICAL JOURNAL</t>
  </si>
  <si>
    <t>presolar grains; silicates; nucleosynthesis; isotopes; AGB stars</t>
  </si>
  <si>
    <t>ASYMPTOTIC GIANT BRANCH; TRANSMISSION ELECTRON-MICROSCOPY; INTERPLANETARY DUST; CRYSTALLINE SILICATE; INTERSTELLAR GRAINS; AGB STARS; ANTARCTIC MICROMETEORITES; MINERAL FORMATION; DEEP CIRCULATION; COMETARY MATTER</t>
  </si>
  <si>
    <t>Close to a thousand presolar silicate grains have been identified since their initial discovery in interplanetary dust particles (IDPs) just over ten years ago. Studies have shown that silicates are the most abundant type of presolar grain other than nanodiamonds, with abundances of similar to 200 ppm in the most primitive meteorites and upwards of similar to 400 ppm in anhydrous IDPs. The oxygen isotopic compositions of presolar silicates are similar to those of presolar oxides, with the majority of the grains originating in low-mass red giant or asymptotic giant branch stars of close-to-solar metallicity. The vast majority of the grains are ferromagnesian silicates with high Fe concentrations. This, together with TEM studies indicating that many presolar silicates have amorphous structures with heterogeneous and non-stoichiometric compositions, suggests that conditions in the stellar environments in which these grains formed were variable and rapidly changing, with grain condensation under non-equilibrium kinetic conditions. Presolar silicates also reflect secondary processes taking place in the solar nebula and the parent bodies of the meteorites in which they are found. Abundance variations within individual meteorites provide constraints on secondary processes, and both thermal metamorphism and aqueous alteration result in changes to the elemental compositions of the grains. Studies of presolar silicates complement those of other presolar grain types, providing additional constraints on stellar environments and nucleosynthetic processes.</t>
  </si>
  <si>
    <t>[Floss, Christine; Haenecour, Pierre] Washington Univ, Space Sci Lab, One Brookings Dr, St Louis, MO 63130 USA; [Floss, Christine] Washington Univ, Dept Phys, One Brookings Dr, St Louis, MO 63130 USA; [Haenecour, Pierre] Washington Univ, Dept Earth &amp; Planetary Sci, One Brookings Dr, St Louis, MO 63130 USA</t>
  </si>
  <si>
    <t>Washington University (WUSTL); Washington University (WUSTL); Washington University (WUSTL)</t>
  </si>
  <si>
    <t>Floss, C (corresponding author), Washington Univ, Space Sci Lab, One Brookings Dr, St Louis, MO 63130 USA.;Floss, C (corresponding author), Washington Univ, Dept Phys, One Brookings Dr, St Louis, MO 63130 USA.</t>
  </si>
  <si>
    <t>floss@wustl.edu</t>
  </si>
  <si>
    <t>Haenecour, Pierre/0000-0001-5671-5388</t>
  </si>
  <si>
    <t>GEOCHEMICAL SOC JAPAN</t>
  </si>
  <si>
    <t>358-5 YAMABUKI-CHO, SHINJUKU-KU, TOKYO, 162-0801, JAPAN</t>
  </si>
  <si>
    <t>0016-7002</t>
  </si>
  <si>
    <t>1880-5973</t>
  </si>
  <si>
    <t>GEOCHEM J</t>
  </si>
  <si>
    <t>Geochem. J.</t>
  </si>
  <si>
    <t>10.2343/geochemj.2.0377</t>
  </si>
  <si>
    <t>DV9JO</t>
  </si>
  <si>
    <t>WOS:000383256900002</t>
  </si>
  <si>
    <t>Bagshaw, EA; Tranter, M; Wadham, JL; Fountain, AG; Dubnick, A; Fitzsimons, S</t>
  </si>
  <si>
    <t>Bagshaw, E. A.; Tranter, M.; Wadham, J. L.; Fountain, A. G.; Dubnick, A.; Fitzsimons, S.</t>
  </si>
  <si>
    <t>Processes controlling carbon cycling in Antarctic glacier surface ecosystems</t>
  </si>
  <si>
    <t>GEOCHEMICAL PERSPECTIVES LETTERS</t>
  </si>
  <si>
    <t>MCMURDO DRY VALLEYS; GREENLAND ICE-SHEET; CRYOCONITE HOLES; ORGANIC-CARBON; LAKES</t>
  </si>
  <si>
    <t>Glacier surface ecosystems, including cryoconite holes and cryolakes, are significant contributors to regional carbon cycles. Incubation experiments to determine the net production (NEP) of organic matter in cryoconite typically have durations of 6-24 hours, and produce a wide range of results, many of which indicate that the system is net heterotrophic. We employ longer term incubations to examine the temporal variation of NEP in cryoconite from the McMurdo Dry Valleys, Antarctica to examine the effect of sediment disturbance on system production, and to understand processes controlling production over the lifetimes of glacier surface ecosystems. The shorter-term incubations have durations of one week and show net heterotrophy. The longer term incubations of approximately one year show net autotrophy, but only after a period of about 40 days (similar to 1000 hours). The control on net organic carbon production is a combination of the rate of diffusion of dissolved inorganic carbon from heterotrophic activity within cryoconite into the water, the rate of carbonate dissolution, and the saturation of carbonate in the water (which is a result of photosynthesis in a closed system). We demonstrate that sediment on glacier surfaces has the potential to accumulate carbon over timescales of months to years.</t>
  </si>
  <si>
    <t>[Bagshaw, E. A.] Cardiff Univ, Sch Earth &amp; Ocean Sci, Cardiff CF10 3AX, S Glam, Wales; [Tranter, M.; Wadham, J. L.] Univ Bristol, Sch Geog Sci, Bristol Glaciol Ctr, Bristol BS8 1TH, Avon, England; [Fountain, A. G.] Portland State Univ, Portland, OR 97207 USA; [Dubnick, A.] Univ Alberta, Edmonton, AB, Canada; [Fitzsimons, S.] Univ Otago, Dunedin, New Zealand</t>
  </si>
  <si>
    <t>Cardiff University; University of Bristol; Portland State University; University of Alberta; University of Otago</t>
  </si>
  <si>
    <t>Bagshaw, EA (corresponding author), Cardiff Univ, Sch Earth &amp; Ocean Sci, Cardiff CF10 3AX, S Glam, Wales.</t>
  </si>
  <si>
    <t>BagshawE@Cardiff.ac.uk</t>
  </si>
  <si>
    <t>Wadham, Jemma L/G-3138-2014; Tranter, Martyn/E-3722-2010</t>
  </si>
  <si>
    <t>Tranter, Martyn/0000-0003-2071-3094</t>
  </si>
  <si>
    <t>EPSRC [EP/D057620/1]; NERC [NE/ I008845/1]; NSF [ANT-0423595]; Directorate For Geosciences; Office of Polar Programs (OPP) [1115245] Funding Source: National Science Foundation; Natural Environment Research Council [NE/I008845/1, NE/H023879/1] Funding Source: researchfish; NERC [NE/I008845/1, NE/H023879/1] Funding Source: UKRI</t>
  </si>
  <si>
    <t>EPSRC(UK Research &amp; Innovation (UKRI)Engineering &amp; Physical Sciences Research Council (EPSRC)); NERC(UK Research &amp; Innovation (UKRI)Natural Environment Research Council (NERC)); NSF(National Science Foundation (NSF));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</si>
  <si>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This work was supported by EPSRC grant EP/D057620/1, NERC grant NE/ I008845/1 and NSF grant ANT-0423595. Fieldwork was conducted with the McMurdo Dry Valleys LTER and Antarctica New Zealand K064 site teams whose support is gratefully acknowledged, with logistics provided by Raytheon Polar Services and PHI Helicopters. Three anonymous reviewers provided helpful suggestions which improved the manuscript.</t>
  </si>
  <si>
    <t>EUROPEAN ASSOC GEOCHEMISTRY</t>
  </si>
  <si>
    <t>PARIS CEDEX 05</t>
  </si>
  <si>
    <t>IPGP-GOPEL-BUREAU 566, 1 RUE JUSSIEU, PARIS CEDEX 05, 75238, FRANCE</t>
  </si>
  <si>
    <t>2410-339X</t>
  </si>
  <si>
    <t>2410-3403</t>
  </si>
  <si>
    <t>GEOCHEM PERSPECT LET</t>
  </si>
  <si>
    <t>Geochem. Perspect. Lett.</t>
  </si>
  <si>
    <t>10.7185/geochemlet.1605</t>
  </si>
  <si>
    <t>EA1JL</t>
  </si>
  <si>
    <t>WOS:000386348300005</t>
  </si>
  <si>
    <t>Calderón, M; Hervé, F; Fuentes, F; Fosdick, JC; Sepúlveda, F; Galaz, G</t>
  </si>
  <si>
    <t>Calderon, Mauricio; Herve, Francisco; Fuentes, Francisco; Fosdick, Julie C.; Sepulveda, Fernando; Galaz, Gonzalo</t>
  </si>
  <si>
    <t>Tectonic Evolution of Paleozoic and Mesozoic Andean Metamorphic Complexes and the Rocas Verdes Ophiolites in Southern Patagonia</t>
  </si>
  <si>
    <t>Metamorphic complexes; Rocas Verdes ophiolites; Patagonian Andes; Fuegian Andes; Antarctic Peninsula; Magallanes-Austral basin</t>
  </si>
  <si>
    <t>TIERRA-DEL-FUEGO; BACK-ARC BASIN; P-T PATHS; MAGALLANES FORELAND BASIN; U-PB; MARGINAL BASIN; CHILEAN OPHIOLITES; CORDILLERA DARWIN; ISOTOPE EVIDENCE; GEOCHEMICAL DATA</t>
  </si>
  <si>
    <t>The petrology and geochronology of Paleozoic and Mesozoic metamorphic and ophiolitic complexes in southern Patagonia constrain the evolution of magmatic belts, marginal basins, and continental fragments that once formed part of the peripheral realm of the southwestern Gondwanan margin. The upper Paleozoic metasedimentary rocks exposed along the eastern slopes of the Andean ranges contain prominent zircon components of Devonian and earliest Carboniferous age. These strata were deposited in marine basins fed by sediment derived from almost coeval felsic magmatic belts and recycled units with Ordovician and Cambrian components; some of which have been identified to the east, in Argentina. Permian to Triassic metasedimentary complexes, mainly exposed along the western slope of the Southern Patagonian Andes and in the Antarctic Peninsula, show conspicuous peaks of Permian detrital zircons with sparse older age components, supporting their deposition near active magmatic belts in a convergent margin setting. It is proposed that rapid northward migration of Gondwana (between 330 and 270 Ma) promoted crustal extension and the establishment of an arc and back-arc marginal basin configuration during the Permian. Subsequent closure of the marginal basins occurred during the Late Triassic-Early Jurassic Chonide orogeny. Middle Jurassic fragmentation of Gondwana involved continental extension, synrift silicic and bimodal magmatism, and seafloor-spreading, leading to the oceanic-type Late Jurassic to Early Cretaceous Rocas Verdes basin. Once the Antarctic Peninsula microplate migrated southward, subduction was re-established in southern Patagonia in Early Cretaceous time, involving processes of subduction erosion and high-P/T metamorphism in the forearc region. The Rocas Verdes basin started to close in the latest Early Cretaceous involving underthrusting and subduction of its oceanic seafloor. These convergent processes culminated with the Late Cretaceous Patagonian and Fuegian orogeny involving the tectonic emplacement of ophiolitic complexes, collision of drifted crustal slivers against the continent, and development of the Magallanes-Austral foreland basin.</t>
  </si>
  <si>
    <t>[Calderon, Mauricio; Herve, Francisco; Fuentes, Francisco] Univ Andres Bello, Carrera Geol, Sazie 2119, Santiago, Chile; [Herve, Francisco] Univ Chile, Dept Geol, Plaza Ercilla 803, Santiago, Chile; [Fosdick, Julie C.] Indiana Univ, Dept Geol Sci, 1001 East 10th St, Bloomington, IN 47405 USA; [Sepulveda, Fernando] Serv Nacl Geol &amp; Mineria, Ave Santa Maria 0104, Santiago, Chile; [Galaz, Gonzalo] Univ Nacl Autonoma Mexico, Inst Geol, Dept Geol Reg, Mexico City 04510, DF, Mexico</t>
  </si>
  <si>
    <t>Universidad Andres Bello; Universidad de Chile; Indiana University System; Indiana University Bloomington; Universidad Nacional Autonoma de Mexico</t>
  </si>
  <si>
    <t>Calderón, M (corresponding author), Univ Andres Bello, Carrera Geol, Sazie 2119, Santiago, Chile.</t>
  </si>
  <si>
    <t>mccaldera@gmail.com</t>
  </si>
  <si>
    <t>Calderon, Mauricio/AAY-6863-2020; Herve, Francisco/HDO-6628-2022</t>
  </si>
  <si>
    <t>10.1007/978-3-319-39727-6_2</t>
  </si>
  <si>
    <t>WOS:000389035800003</t>
  </si>
  <si>
    <t>King, MA; Whitehouse, PL; van der Wal, W</t>
  </si>
  <si>
    <t>King, Matt A.; Whitehouse, Pippa L.; van der Wal, Wouter</t>
  </si>
  <si>
    <t>Incomplete separability of Antarctic plate rotation from glacial isostatic adjustment deformation within geodetic observations</t>
  </si>
  <si>
    <t>GEOPHYSICAL JOURNAL INTERNATIONAL</t>
  </si>
  <si>
    <t>Space geodetic surveys; Plate motions; Tectonics and climatic interactions; Antarctica</t>
  </si>
  <si>
    <t>SEA-LEVEL; VELOCITY-FIELD; ICE-5G VM2; MODEL; MANTLE; UPLIFT; EARTH; GIA; VISCOSITY; RHEOLOGY</t>
  </si>
  <si>
    <t>Geodetic measurements of Antarctic solid Earth deformation include signals from plate rotation and glacial isostatic adjustment (GIA). Through simulation, we investigate the degree to which these signals are separable within horizontal GPS site velocities that commonly define plate rotation estimates and that promise new constraints on models of GIA. Using a suite of GIA model predictions that incorporate both 1-D and 3-D Earth rheologies, we show that, given the present location of GPS sites within East Antarctica, unmodelled or mismodelled GIA signal within GPS velocities produces biased estimates of plate rotation. When biased plate rotation is removed from the GPS velocities, errors as large as 0.8 mm yr(-1) are introduced; a value commonly larger than the predicted GIA signal magnitude. In the absence of reliable forward models of plate rotation or GIA then Antarctic geodetic velocities cannot totally and unambiguously constrain either process, especially GIA.</t>
  </si>
  <si>
    <t>[King, Matt A.] Univ Tasmania, Sch Land &amp; Food, Hobart, Tas 7001, Australia; [Whitehouse, Pippa L.] Univ Durham, Dept Geog, Durham, England; [van der Wal, Wouter] Delft Univ Technol, Aerosp Engn, Delft, Netherlands</t>
  </si>
  <si>
    <t>University of Tasmania; Durham University; Delft University of Technology</t>
  </si>
  <si>
    <t>King, MA (corresponding author), Univ Tasmania, Sch Land &amp; Food, Hobart, Tas 7001, Australia.</t>
  </si>
  <si>
    <t>Matt.King@utas.edu.au</t>
  </si>
  <si>
    <t>King, Matt/B-4622-2008</t>
  </si>
  <si>
    <t>King, Matt/0000-0001-5611-9498; Whitehouse, Pippa/0000-0002-9092-3444; van der Wal, Wouter/0000-0001-8030-9080</t>
  </si>
  <si>
    <t>NERC Independent Research Fellowship [NE/K009958/1]; University of Tasmania Visiting Scholarship; Australian Research Council Future Fellowship [FT110100207]; NERC [NE/K009958/1] Funding Source: UKRI; Natural Environment Research Council [NE/K009958/1] Funding Source: researchfish</t>
  </si>
  <si>
    <t>NERC Independent Research Fellowship(UK Research &amp; Innovation (UKRI)Natural Environment Research Council (NERC)); University of Tasmania Visiting Scholarship; Australian Research Council Future Fellowship(Australian Research Council); NERC(UK Research &amp; Innovation (UKRI)Natural Environment Research Council (NERC)); Natural Environment Research Council(UK Research &amp; Innovation (UKRI)Natural Environment Research Council (NERC))</t>
  </si>
  <si>
    <t>The research was supported by an NERC Independent Research Fellowship to PLW (grant number NE/K009958/1) and a University of Tasmania Visiting Scholarship. MAK is a recipient of an Australian Research Council Future Fellowship (project number FT110100207). We thank Mohammad Ali Goudarzi for making his plate rotation estimation code available. Model output as shown in Supporting Information Figs S1 and S2 is available from PLW on request. Donald Argus and Jerry Mitrovica provided helpful reviews that improved the clarity of the manuscript.</t>
  </si>
  <si>
    <t>0956-540X</t>
  </si>
  <si>
    <t>1365-246X</t>
  </si>
  <si>
    <t>GEOPHYS J INT</t>
  </si>
  <si>
    <t>Geophys. J. Int.</t>
  </si>
  <si>
    <t>10.1093/gji/ggv461</t>
  </si>
  <si>
    <t>DB3QS</t>
  </si>
  <si>
    <t>Green Accepted, Green Published, hybrid, Green Submitted</t>
  </si>
  <si>
    <t>WOS:000368427000020</t>
  </si>
  <si>
    <t>Fraser, BJ</t>
  </si>
  <si>
    <t>Fraser, B. J.</t>
  </si>
  <si>
    <t>A brief history of solar-terrestrial physics in Australia</t>
  </si>
  <si>
    <t>GEOSCIENCE LETTERS</t>
  </si>
  <si>
    <t>POLARIZATION; WAVES</t>
  </si>
  <si>
    <t>Solar-terrestrial physics research in Australia began in 1792 when de Rossel measured the southern hemisphere geomagnetic field at Recherche Bay on the southern tip of Tasmania, proving the field magnitude and direction varied with latitude. This was the time when the French and British were competing to chart and explore the new world. From the early twentieth century Australian solar-terrestrial physics research concentrated on radio wave propagation and communication, which by the 1950s fed into the International Geophysical Year in the areas of atmosphere and ionosphere physics, and geomagnetism, with some concentration on Antarctic research. This was also the era of increased studies of solar activity and the discovery of the magnetosphere and the beginning of the space age. In the 1960s, Australia became a world leader in solar physics which led to radio astronomy discoveries. This paper outlines the historical development of solar-terrestrial physics in Australia and its international connections over the years and concludes with examples of specific research areas where Australia has excelled.</t>
  </si>
  <si>
    <t>[Fraser, B. J.] Univ Newcastle, Ctr Space Phys, Callaghan, NSW 2308, Australia</t>
  </si>
  <si>
    <t>University of Newcastle</t>
  </si>
  <si>
    <t>Fraser, BJ (corresponding author), Univ Newcastle, Ctr Space Phys, Callaghan, NSW 2308, Australia.</t>
  </si>
  <si>
    <t>brian.fraser@newcastle.edu.au</t>
  </si>
  <si>
    <t>University of Newcastle; Centre for Space Physics</t>
  </si>
  <si>
    <t>Support was provided by the University of Newcastle and the Centre for Space Physics. The following provided important information on historical and recent Australian STP research: Peter Dyson, Grahame Fraser, John Kennewell, Iain Reid and Phil Wilkinson.</t>
  </si>
  <si>
    <t>2196-4092</t>
  </si>
  <si>
    <t>GEOSCI LETT</t>
  </si>
  <si>
    <t>Geosci. Lett.</t>
  </si>
  <si>
    <t>10.1186/s40562-016-0050-7</t>
  </si>
  <si>
    <t>VG2RM</t>
  </si>
  <si>
    <t>WOS:000445927600023</t>
  </si>
  <si>
    <t>Ohshima, KI; Nihashi, S; Iwamoto, K</t>
  </si>
  <si>
    <t>Ohshima, Kay I.; Nihashi, Sohey; Iwamoto, Katsushi</t>
  </si>
  <si>
    <t>Global view of sea-ice production in polynyas and its linkage to dense/bottom water formation</t>
  </si>
  <si>
    <t>Sea-ice production; Dense water; Antarctic Bottom Water; Okhotsk Sea Intermediate Water; Coastal polynya; Overturning; Microwave radiometer; AMSR-E</t>
  </si>
  <si>
    <t>ANTARCTIC BOTTOM WATER; DENSE SHELF WATER; MERTZ GLACIER POLYNYA; COASTAL POLYNYAS; SOUTHERN-OCEAN; AMSR-E; EAST ANTARCTICA; CAPE DARNLEY; ARCTIC-OCEAN; WEDDELL SEA</t>
  </si>
  <si>
    <t>Global overturning circulation is driven by density differences. Saline water rejected during sea-ice formation in polynyas is the main source of dense water, and thus sea-ice production is a key factor in the overturning circulation. Due to difficulties associated with in situ observation, sea-ice production and its interannual variability have not been well understood until recently. Methods to estimate sea-ice production on large scales have been developed using heat flux calculations based on satellite microwave radiometer data. Using these methods, we present the mapping of sea ice production with the same definition and scale globally, and review the polynya ice production and its relationship with dense/bottom water. The mapping demonstrates that ice production rate is high in Antarctic coastal polynyas, in contrast to Arctic coastal polynyas. This is consistent with the formation of Antarctic Bottom Water (AABW), the densest water mass which occupies the abyssal layer of the global ocean. The Ross Ice Shelf polynya has by far the highest ice production in the Southern Hemisphere. The Cape Darnley polynya (65 degrees E-69 degrees E) is found to be the second highest production area and recent observations revealed that this is the missing (fourth) source of AABW. In the region off the Mertz Glacier Tongue (MGT), the third source of AABW, sea-ice production decreased by as much as 40 %, due to the MGT calving in early 2010, resulting in a significant decrease in AABW production. The Okhotsk Northwestern polynya exhibits the highest ice production in the Northern Hemisphere, and the resultant dense water formation leads to overturning in the North Pacific, extending to the intermediate layer. Estimates of its ice production show a significant decrease over the past 30-50 years, likely causing the weakening of the North Pacific overturning. These regions demonstrate the strong linkage between variabilities of sea-ice production and bottom/intermediate water formation. The mapping has also provided surface boundary conditions and validation data of heat-and salt-flux associated with sea-ice formation/melting for various ocean and coupled models.</t>
  </si>
  <si>
    <t>[Ohshima, Kay I.] Hokkaido Univ, Inst Low Temp Sci, Sapporo, Hokkaido, Japan; [Nihashi, Sohey] Tomakomai Coll, Natl Inst Technol, Dept Engn Innovat, Tomakomai, Japan; [Iwamoto, Katsushi] Niigata Univ, Fac Sci, Niigata, Japan</t>
  </si>
  <si>
    <t>Hokkaido University; Niigata University</t>
  </si>
  <si>
    <t>Ohshima, KI (corresponding author), Hokkaido Univ, Inst Low Temp Sci, Sapporo, Hokkaido, Japan.</t>
  </si>
  <si>
    <t>ohshima@lowtem.hokudai.ac.jp</t>
  </si>
  <si>
    <t>Ohshima, Kay I/D-6909-2012</t>
  </si>
  <si>
    <t>Ministry of Education, Culture, Sports, Science and Technology in Japan [20221001, 21740337, 24740322, 25241001]; Japan Aerospace Exploration Agency; Grants-in-Aid for Scientific Research [25241001, 21740337, 24740322] Funding Source: KAKEN</t>
  </si>
  <si>
    <t>Ministry of Education, Culture, Sports, Science and Technology in Japan(Ministry of Education, Culture, Sports, Science and Technology, Japan (MEXT)); Japan Aerospace Exploration Agency; Grants-in-Aid for Scientific Research(Ministry of Education, Culture, Sports, Science and Technology, Japan (MEXT)Japan Society for the Promotion of ScienceGrants-in-Aid for Scientific Research (KAKENHI))</t>
  </si>
  <si>
    <t>The AMSR-E data were provided by the National Snow and Ice Data Center, University of Colorado. We thank Alexander D. Fraser for his valuable comments on the manuscript, Takeshi Tamura for helping with the development of the algorithms, and Kyoko Kitagawa for preparation of the manuscript. This work was supported by Grants-in-Aids for Scientific Research (20221001, 21740337, 24740322, and 25241001) of the Ministry of Education, Culture, Sports, Science and Technology in Japan. This work was also supported by a Japan Aerospace Exploration Agency research fund for Global Change Observation Mission-Water 1.</t>
  </si>
  <si>
    <t>10.1186/s40562-016-0045-4</t>
  </si>
  <si>
    <t>WOS:000445927600013</t>
  </si>
  <si>
    <t>Jones, DH; Robinson, C; Gudmundsson, GH</t>
  </si>
  <si>
    <t>Jones, David H.; Robinson, Carl; Gudmundsson, G. Hilmar</t>
  </si>
  <si>
    <t>A new high-precision and low-power GNSS receiver for long-term installations in remote areas</t>
  </si>
  <si>
    <t>GEOSCIENTIFIC INSTRUMENTATION METHODS AND DATA SYSTEMS</t>
  </si>
  <si>
    <t>We have developed a new high-precision GNSS receiver specifically designed for long-term unattended deployments in remote areas. The receiver reports its status, and can be reprogrammed remotely, through an integrated satellite data link. It uses less power than commercially available alternatives while being equally, if not more, accurate. Data are saved locally on dual SD card slots for increased reliability. Deployments of a number of those receivers in several different locations on the Antarctic ice sheet have shown them to be robust and able to operate flawlessly at low temperatures down to -40 degrees C.</t>
  </si>
  <si>
    <t>[Jones, David H.; Robinson, Carl; Gudmundsson, G. Hilmar] British Antarctic Survey, Madingley Rd, Cambridge CB3 0ET, England</t>
  </si>
  <si>
    <t>Gudmundsson, GH (corresponding author), British Antarctic Survey, Madingley Rd, Cambridge CB3 0ET, England.</t>
  </si>
  <si>
    <t>ghg@bas.ac.uk</t>
  </si>
  <si>
    <t>Gudmundsson, Gudmundur Hilmar/AAU-5987-2020; Gudmundsson, Gudmundur Hilmar/F-6499-2012</t>
  </si>
  <si>
    <t>Gudmundsson, Gudmundur Hilmar/0000-0003-4236-5369; Gudmundsson, Gudmundur Hilmar/0000-0003-4236-5369</t>
  </si>
  <si>
    <t>Natural Environment Research Council [NE/1007156/1]; Natural Environment Research Council [bas010011, bas0100034] Funding Source: researchfish; NERC [bas010011, bas0100034]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</si>
  <si>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</si>
  <si>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It was funded by The Natural Environment Research Council (NE/1007156/1).</t>
  </si>
  <si>
    <t>2193-0856</t>
  </si>
  <si>
    <t>2193-0864</t>
  </si>
  <si>
    <t>GEOSCI INSTRUM METH</t>
  </si>
  <si>
    <t>Geosci. Instrum. Methods Data Syst.</t>
  </si>
  <si>
    <t>10.5194/gi-5-65-2016</t>
  </si>
  <si>
    <t>DP0VG</t>
  </si>
  <si>
    <t>WOS:000378207600006</t>
  </si>
  <si>
    <t>Pollard, D; Chang, W; Haran, M; Applegate, P; DeConto, R</t>
  </si>
  <si>
    <t>Pollard, David; Chang, Won; Haran, Murali; Applegate, Patrick; DeConto, Robert</t>
  </si>
  <si>
    <t>Large ensemble modeling of the last deglacial retreat of the West Antarctic Ice Sheet: comparison of simple and advanced statistical techniques</t>
  </si>
  <si>
    <t>GROUNDING-LINE RETREAT; PINE ISLAND; THWAITES GLACIER; AMUNDSEN SEA; SHELF; GREENLAND; EARTH; PROJECTIONS; EVOLUTION; COLLAPSE</t>
  </si>
  <si>
    <t>A 3-D hybrid ice-sheet model is applied to the last deglacial retreat of the West Antarctic Ice Sheet over the last similar to 20 000 yr. A large ensemble of 625 model runs is used to calibrate the model to modern and geologic data, including reconstructed grounding lines, relative sea-level records, elevation-age data and uplift rates, with an aggregate score computed for each run that measures overall model-data misfit. Two types of statistical methods are used to analyze the large-ensemble results: simple averaging weighted by the aggregate score, and more advanced Bayesian techniques involving Gaussian process-based emulation and calibration, and Markov chain Monte Carlo. The analyses provide sea-level-rise envelopes with well-defined parametric uncertainty bounds, but the simple averaging method only provides robust results with full-factorial parameter sampling in the large ensemble. Results for best-fit parameter ranges and envelopes of equivalent sea-level rise with the simple averaging method agree well with the more advanced techniques. Best-fit parameter ranges confirm earlier values expected from prior model tuning, including large basal sliding coefficients on modern ocean beds.</t>
  </si>
  <si>
    <t>[Pollard, David; Applegate, Patrick] Penn State Univ, Earth &amp; Environm Syst Inst, University Pk, PA 16802 USA; [Chang, Won] Univ Chicago, Dept Stat, Chicago, IL 60637 USA; [Haran, Murali] Penn State Univ, Dept Stat, University Pk, PA 16802 USA; [Applegate, Patrick] Penn State Univ, Earth Sci Program, Du Bois, PA USA; [DeConto, Robert] Univ Massachusetts, Dept Geosci, Amherst, MA 01003 USA</t>
  </si>
  <si>
    <t>Pennsylvania Commonwealth System of Higher Education (PCSHE); Pennsylvania State University; Pennsylvania State University - University Park; University of Chicago; Pennsylvania Commonwealth System of Higher Education (PCSHE); Pennsylvania State University; Pennsylvania State University - University Park; Pennsylvania Commonwealth System of Higher Education (PCSHE); Pennsylvania State University; University of Massachusetts System; University of Massachusetts Amherst</t>
  </si>
  <si>
    <t>Pollard, D (corresponding author), Penn State Univ, Earth &amp; Environm Syst Inst, University Pk, PA 16802 USA.</t>
  </si>
  <si>
    <t>pollard@essc.psu.edu</t>
  </si>
  <si>
    <t>Chang, Won/I-5908-2019</t>
  </si>
  <si>
    <t>Chang, Won/0000-0003-3556-1249</t>
  </si>
  <si>
    <t>National Science Foundation [NSF-DMS-1418090]; Network for Sustainable Climate Risk Management (SCRiM) under NSF cooperative agreement [GEO1240507]; PLIOMAX [OCE-1202632, OPP-1341394, ANT-1443190]; NSF Statistical Methods in the Atmospheric Sciences Network [1106862, 1106974, 1107046]; Direct For Mathematical &amp; Physical Scien; Division Of Mathematical Sciences [1418090, 1106974, 1106862] Funding Source: National Science Foundation; Direct For Mathematical &amp; Physical Scien; Division Of Mathematical Sciences [1107046] Funding Source: National Science Foundation; Directorate For Geosciences [1240507] Funding Source: National Science Foundation; Directorate For Geosciences; Office of Polar Programs (OPP) [1341394] Funding Source: National Science Foundation; Office of Polar Programs (OPP); Directorate For Geosciences [1443190] Funding Source: National Science Foundation</t>
  </si>
  <si>
    <t>National Science Foundation(National Science Foundation (NSF)); Network for Sustainable Climate Risk Management (SCRiM) under NSF cooperative agreement; PLIOMAX; NSF Statistical Methods in the Atmospheric Sciences Network; Direct For Mathematical &amp; Physical Scien; Division Of Mathematical Sciences(National Science Foundation (NSF)NSF - Directorate for Mathematical &amp; Physical Sciences (MPS)); Direct For Mathematical &amp; Physical Scien; Division Of Mathematical Sciences(National Science Foundation (NSF)NSF - Directorate for Mathematical &amp; Physical Sciences (MPS)); Directorate For Geosciences(National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</si>
  <si>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We thank Zhengyu Liu and his group at U. Wisconsin for providing output of their coupled GCM simulation (TraCE-21 ka; Liu et al., 2009; He et al., 2013; www.cgd.ucar.edu/ccr/TraCE) used for ocean forcing over the last 20 000 yr. This work was supported in part by the following grants from the National Science Foundation: NSF-DMS-1418090 and the Network for Sustainable Climate Risk Management (SCRiM) under NSF cooperative agreement GEO1240507 (DP, MH); PLIOMAX OCE-1202632, OPP-1341394, and ANT-1443190 (DP); NSF Statistical Methods in the Atmospheric Sciences Network 1106862, 1106974, and 1107046 (WC).</t>
  </si>
  <si>
    <t>10.5194/gmd-9-1697-2016</t>
  </si>
  <si>
    <t>DN3BR</t>
  </si>
  <si>
    <t>WOS:000376937800004</t>
  </si>
  <si>
    <t>Asay-Davis, XS; Cornford, SL; Durand, G; Galton-Fenzi, BK; Gladstone, RM; Gudmundsson, GH; Hattermann, T; Holland, DM; Holland, D; Holland, PR; Martin, DF; Mathiot, P; Pattyn, F; Seroussi, H</t>
  </si>
  <si>
    <t>Asay-Davis, Xylar S.; Cornford, Stephen L.; Durand, Gael; Galton-Fenzi, Benjamin K.; Gladstone, Rupert M.; Gudmundsson, G. Hilmar; Hattermann, Tore; Holland, David M.; Holland, Denise; Holland, Paul R.; Martin, Daniel F.; Mathiot, Pierre; Pattyn, Frank; Seroussi, Helene</t>
  </si>
  <si>
    <t>Experimental design for three interrelated marine ice sheet and ocean model intercomparison projects: MISMIP v. 3 (MISMIP+), ISOMIP v. 2 (ISOMIP+) and MISOMIP v. 1 (MISOMIP1)</t>
  </si>
  <si>
    <t>GROUNDING-LINE; HIGHER-ORDER; SHELF; GLACIER; PARAMETERIZATION; CIRCULATION; DYNAMICS; SENSITIVITY; STABILITY; BASE</t>
  </si>
  <si>
    <t>Coupled ice sheet-ocean models capable of simulating moving grounding lines are just becoming available. Such models have a broad range of potential applications in studying the dynamics of marine ice sheets and tidewater glaciers, from process studies to future projections of ice mass loss and sea level rise. The Marine Ice Sheet-Ocean Model Intercomparison Project ( MISOMIP) is a community effort aimed at designing and coordinating a series of model intercomparison projects ( MIPs) for model evaluation in idealized setups, model verification based on observations, and future projections for key regions of the West Antarctic Ice Sheet ( WAIS). Here we describe computational experiments constituting three interrelated MIPs for marine ice sheet models and regional ocean circulation models incorporating ice shelf cavities. These consist of ice sheet experiments under the Marine Ice Sheet MIP third phase ( MISMIP+), ocean experiments under the Ice Shelf-Ocean MIP second phase ( ISOMIP+) and coupled ice sheet-ocean experiments under the MISOMIP first phase ( MISOMIP1). All three MIPs use a shared domain with idealized bedrock topography and forcing, allowing the coupled simulations ( MISOMIP1) to be compared directly to the individual component simulations ( MISMIP+ and ISOMIP+). The experiments, which have qualitative similarities to Pine Island Glacier Ice Shelf and the adjacent region of the Amundsen Sea, are designed to explore the effects of changes in ocean conditions, specifically the temperature at depth, on basal melting and ice dynamics. In future work, differences between model results will form the basis for the evaluation of the participating models.</t>
  </si>
  <si>
    <t>[Asay-Davis, Xylar S.] Potsdam Inst Climate Impact Res, Earth Syst Anal, Potsdam, Germany; [Cornford, Stephen L.] Univ Bristol, Ctr Polar Observat &amp; Modelling, Bristol, Avon, England; [Durand, Gael] CNRS, LGGE, F-38041 Grenoble, France; [Durand, Gael] Univ Grenoble Alpes, LGGE, F-38041 Grenoble, France; [Galton-Fenzi, Benjamin K.] Australian Antarctic Div, Kingston, Tas, Australia; [Galton-Fenzi, Benjamin K.; Gladstone, Rupert M.] Antarctic Climate &amp; Ecosyst Cooperat Res Ctr, Hobart, Tas, Australia; [Gladstone, Rupert M.] Swiss Fed Inst Technol, Versuchsanstalt Wasserbau Hydrol &amp; Glaziol VAW, Zurich, Switzerland; [Gudmundsson, G. Hilmar; Holland, Paul R.; Mathiot, Pierre] British Antarctic Survey, Cambridge, England; [Hattermann, Tore] Akvaplan Niva, Tromso, Norway; [Hattermann, Tore] Helmholtz Ctr Polar &amp; Marine Res, Alfred Wegener Inst, Bremerhaven, Germany; [Holland, David M.] NYU, Courant Inst Math Sci, New York, NY USA; [Holland, Denise] New York Univ Abu Dhabi, Ctr Global Sea Level Change, Abu Dhabi, U Arab Emirates; [Martin, Daniel F.] Lawrence Berkeley Natl Lab, Berkeley, CA USA; [Mathiot, Pierre] Met Off, Exeter, Devon, England; [Pattyn, Frank] Univ Libre Bruxelles, Lab Glaciol, Brussels, Belgium; [Seroussi, Helene] CALTECH, Jet Prop Lab, Pasadena, CA USA</t>
  </si>
  <si>
    <t>Potsdam Institut fur Klimafolgenforschung; University of Bristol; Centre National de la Recherche Scientifique (CNRS); Communaute Universite Grenoble Alpes; Universite Grenoble Alpes (UGA); Communaute Universite Grenoble Alpes; Universite Grenoble Alpes (UGA); Australian Antarctic Division; Antarctic Climate &amp; Ecosystems Cooperative Research Centre (ACE CRC); Swiss Federal Institutes of Technology Domain; ETH Zurich; UK Research &amp; Innovation (UKRI); Natural Environment Research Council (NERC); NERC British Antarctic Survey; Akvaplan-niva; Helmholtz Association; Alfred Wegener Institute, Helmholtz Centre for Polar &amp; Marine Research; New York University; New York University Abu Dhabi; United States Department of Energy (DOE); Lawrence Berkeley National Laboratory; Met Office - UK; Universite Libre de Bruxelles; California Institute of Technology; National Aeronautics &amp; Space Administration (NASA); NASA Jet Propulsion Laboratory (JPL)</t>
  </si>
  <si>
    <t>Asay-Davis, XS (corresponding author), Potsdam Inst Climate Impact Res, Earth Syst Anal, Potsdam, Germany.</t>
  </si>
  <si>
    <t>xylar.asay-davis@pik-potsdam.de</t>
  </si>
  <si>
    <t>Gudmundsson, Gudmundur Hilmar/F-6499-2012; Gudmundsson, Gudmundur Hilmar/AAU-5987-2020; Pattyn, Frank/AAA-9640-2019; Holland, Paul R/G-2796-2012; Seroussi, Helene/AAX-5342-2021; Gladstone, Rupert/C-1086-2013</t>
  </si>
  <si>
    <t>Gudmundsson, Gudmundur Hilmar/0000-0003-4236-5369; Gudmundsson, Gudmundur Hilmar/0000-0003-4236-5369; Pattyn, Frank/0000-0003-4805-5636; Seroussi, Helene/0000-0001-9201-1644; Holland, Denise/0000-0003-2521-0840; Mathiot, Pierre/0000-0002-2001-0762; Asay-Davis, Xylar/0000-0002-1990-892X; Cornford, Stephen/0000-0003-1844-274X; Gladstone, Rupert/0000-0002-1582-3857; Martin, Daniel/0000-0003-4488-2538; Hattermann, Tore/0000-0002-5538-2267; Galton-Fenzi, Benjamin Keith/0000-0003-1404-4103; Durand, Gael/0000-0001-8979-2355</t>
  </si>
  <si>
    <t>US Department of Energy, Office of Science, Office of Biological and Environmental Research [DE-SC0011982, DE-SC0013038]; NYU Abu Dhabi grant [G1204]; Office of Science of the US Department of Energy [DE-AC02-05CH11231]; European Union [299035]; Office of Science, Office of Advanced Scientific Computing Research, of the US Department of Energy [DE-AC02-05CH11231]; Natural Environment Research Council [bas0100034, cpom30001, bas0100033] Funding Source: researchfish; U.S. Department of Energy (DOE) [DE-SC0011982, DE-SC0013038] Funding Source: U.S. Department of Energy (DOE); NERC [bas0100033, NE/N01801X/1, cpom30001, bas0100034] Funding Source: UKRI</t>
  </si>
  <si>
    <t>US Department of Energy, Office of Science, Office of Biological and Environmental Research(United States Department of Energy (DOE)); NYU Abu Dhabi grant; Office of Science of the US Department of Energy(United States Department of Energy (DOE)); European Union(European Union (EU)); Office of Science, Office of Advanced Scientific Computing Research, of the US Department of Energy(United States Department of Energy (DOE)); Natural Environment Research Council(UK Research &amp; Innovation (UKRI)Natural Environment Research Council (NERC)); U.S. Department of Energy (DOE)(United States Department of Energy (DOE)); NERC(UK Research &amp; Innovation (UKRI)Natural Environment Research Council (NERC))</t>
  </si>
  <si>
    <t>This material is based upon work supported by the US Department of Energy, Office of Science, Office of Biological and Environmental Research under award nos. DE-SC0011982 and DE-SC0013038. Support was provided through NYU Abu Dhabi grant G1204. Simulation results were produced using resources of the National Energy Research Scientific Computing Center, a DOE Office of Science User Facility supported by the Office of Science of the US Department of Energy under contract no. DE-AC02-05CH11231. This work has received funding from the European Union Seventh Framework Programme (FP7/2007-2013) under grant agreement number 299035. Work at the Lawrence Berkeley National Laboratory was supported by the Director, Office of Science, Office of Advanced Scientific Computing Research, of the US Department of Energy under contract no. DE-AC02-05CH11231.</t>
  </si>
  <si>
    <t>10.5194/gmd-9-2471-2016</t>
  </si>
  <si>
    <t>DT4EE</t>
  </si>
  <si>
    <t>WOS:000381432100005</t>
  </si>
  <si>
    <t>Ivanovic, RF; Gregoire, LJ; Kageyama, M; Roche, DM; Valdes, PJ; Burke, A; Drummond, R; Peltier, WR; Tarasov, L</t>
  </si>
  <si>
    <t>Ivanovic, Ruza F.; Gregoire, Lauren J.; Kageyama, Masa; Roche, Didier M.; Valdes, Paul J.; Burke, Andrea; Drummond, Rosemarie; Peltier, W. Richard; Tarasov, Lev</t>
  </si>
  <si>
    <t>Transient climate simulations of the deglaciation 21-9 thousand years before present (version 1)-PMIP4 Core experiment design and boundary conditions</t>
  </si>
  <si>
    <t>LAST GLACIAL MAXIMUM; ANTARCTIC ICE-SHEET; SEA-LEVEL RECORD; MERIDIONAL OVERTURNING CIRCULATION; ATLANTIC THERMOHALINE CIRCULATION; LARGE ENSEMBLE ANALYSIS; MELTWATER PULSE 1A; YOUNGER DRYAS; NORTH-ATLANTIC; SURFACE TEMPERATURES</t>
  </si>
  <si>
    <t>The last deglaciation, which marked the transition between the last glacial and present interglacial periods, was punctuated by a series of rapid ( centennial and decadal) climate changes. Numerical climate models are useful for investigating mechanisms that underpin the climate change events, especially now that some of the complex models can be run for multiple millennia. We have set up a Paleoclimate Modelling Intercomparison Project ( PMIP) working group to coordinate efforts to run transient simulations of the last deglaciation, and to facilitate the dissemination of expertise between modellers and those engaged with reconstructing the climate of the last 21 000 years. Here, we present the design of a coordinated Core experiment over the period 21-9 thousand years before present ( ka) with time-varying orbital forcing, greenhouse gases, ice sheets and other geographical changes. A choice of two ice sheet reconstructions is given, and we make recommendations for prescribing ice meltwater ( or not) in the Core experiment. Additional focussed simulations will also be coordinated on an ad hoc basis by the working group, for example to investigate more thoroughly the effect of ice meltwater on climate system evolution, and to examine the uncertainty in other forcings. Some of these focussed simulations will target shorter durations around specific events in order to understand them in more detail and allow for the more computationally expensive models to take part.</t>
  </si>
  <si>
    <t>[Ivanovic, Ruza F.; Gregoire, Lauren J.] Univ Leeds, Sch Earth &amp; Environm, Woodhouse Lane, Leeds LS2 9JT, W Yorkshire, England; [Kageyama, Masa; Roche, Didier M.] Univ Paris Saclay, CEA CNRS UVSQ, LSCE IPSL, Lab Sci Climat &amp; Environm, F-91191 Gif Sur Yvette, France; [Roche, Didier M.] Vrije Univ Amsterdam, Fac Earth &amp; Life Sci, Earth &amp; Climate Cluster, Amsterdam, Netherlands; [Valdes, Paul J.] Univ Bristol, Sch Geog Sci, Univ Rd, Bristol BS8 1SS, Avon, England; [Burke, Andrea] Univ St Andrews, Dept Earth &amp; Environm Sci, Irvine Bldg, St Andrews KY16 9AL, Fife, Scotland; [Drummond, Rosemarie; Peltier, W. Richard] Univ Toronto, Dept Phys, 60 St George St, Toronto, ON M5S 1A7, Canada; [Tarasov, Lev] Mem Univ Newfoundland, Dept Phys &amp; Phys Oceanog, St John, NF A1B 3X7, Canada</t>
  </si>
  <si>
    <t>University of Leeds; Universite Paris Cite; CEA; Centre National de la Recherche Scientifique (CNRS); Universite Paris Saclay; Vrije Universiteit Amsterdam; University of Bristol; University of St Andrews; University of Toronto; Memorial University Newfoundland</t>
  </si>
  <si>
    <t>Ivanovic, RF (corresponding author), Univ Leeds, Sch Earth &amp; Environm, Woodhouse Lane, Leeds LS2 9JT, W Yorkshire, England.</t>
  </si>
  <si>
    <t>r.ivanovic@leeds.ac.uk</t>
  </si>
  <si>
    <t>KAGEYAMA, Masa/F-2389-2010; Valdes, Paul/T-2004-2019; Valdes, Paul J/C-4129-2013; Peltier, William R./A-1102-2008; Gregoire, Lauren J/A-7005-2011; Ivanovic, Ruza/C-5941-2012; Roche, Didier M./C-9875-2010</t>
  </si>
  <si>
    <t>Valdes, Paul/0000-0002-1902-3283; Gregoire, Lauren J/0000-0003-0258-7282; Ivanovic, Ruza/0000-0002-7805-6018; Roche, Didier M./0000-0001-6272-9428; Burke, Andrea/0000-0002-3754-1498</t>
  </si>
  <si>
    <t>NERC Independent Research Fellowship [NE/K008536/1]; Natural Environment Research Council [smru10001, NE/M004619/1, NE/N011716/1, NE/K008536/1] Funding Source: researchfish; NERC [NE/K008536/1, NE/M004619/1, NE/N011716/1] Funding Source: UKRI</t>
  </si>
  <si>
    <t>NERC Independent Research Fellowship(UK Research &amp; Innovation (UKRI)Natural Environment Research Council (NERC)); Natural Environment Research Council(UK Research &amp; Innovation (UKRI)Natural Environment Research Council (NERC)); NERC(UK Research &amp; Innovation (UKRI)Natural Environment Research Council (NERC))</t>
  </si>
  <si>
    <t>Ruza F. Ivanovic is funded by a NERC Independent Research Fellowship (no. NE/K008536/1). Data processing for boundary condition preparation was carried out using the computational facilities of the Palaeo@Leeds modelling group, University of Leeds, UK. All authors would like to thank everyone who has taken the time to discuss the Working Group's aims and experiments with us. We are especially grateful to Jean-Yves Peterschmitt (Laboratoire des Sciences du Climat et de l'Environnement, France) for managing and archiving the boundary conditions, as well as setting up and maintaining the PMIP wiki pages; to Emilie Capron (British Antarctic Survey, UK) for help with the ice-core data and to Bette Otto-Bliesner (National Center for Atmospheric Research, USA) for useful comments on an earlier version of this manuscript. Specific thanks also go to Anders Carlson, Eric Wolff, Andreas Schmittner, Shawn Marshall and an anonymous reviewer for valuable comments on the manuscript, as well as to Jeremy Fyke for editing.</t>
  </si>
  <si>
    <t>10.5194/gmd-9-2563-2016</t>
  </si>
  <si>
    <t>WOS:000381432100009</t>
  </si>
  <si>
    <t>Aitken, ARA; Betts, PG; Young, DA; Blankenship, DD; Roberts, JL; Siegert, MJ</t>
  </si>
  <si>
    <t>Aitken, A. R. A.; Betts, P. G.; Young, D. A.; Blankenship, D. D.; Roberts, J. L.; Siegert, M. J.</t>
  </si>
  <si>
    <t>The Australo-Antarctic Columbia to Gondwana transition</t>
  </si>
  <si>
    <t>GONDWANA RESEARCH</t>
  </si>
  <si>
    <t>Australia; Antarctica; Columbia; Rodinia; Gondwana</t>
  </si>
  <si>
    <t>ALBANY-FRASER OROGEN; HIGH-TEMPERATURE METAMORPHISM; PROTEROZOIC CRUSTAL GROWTH; TRANSPRESSIVE SHEAR ZONE; SOUTHERN GAWLER CRATON; U-PB GEOCHRONOLOGY; BROKEN-HILL BLOCK; WESTERN-AUSTRALIA; MUSGRAVE PROVINCE; TECTONIC FRAMEWORK</t>
  </si>
  <si>
    <t>From the Mesoproterozoic to Cambrian, Australo-Antarctica was characterised by tectonic reconfiguration as part of the supercontinents Columbia, Rodinia and Gondwana. New tectonic knowledge of the Wilkes Land region of Antarctica allows Australo-Antarctic tectonic linkages to be resolved through reconstruction into ca. 160 Ma Gondwana. We also resolve 330 +/- 30 km of sinistral strike-slip offset on the &gt;3000 km long Mundrabilla-Frost Shear Zone and 260 +/- 20 km of dextral offset on the &gt;1000 km long Aurora Fault to reconstruct the ca. 1150 Ma geometry of Australo-Antarctica. Using this revised geometry, we derive the first model of the Columbia to Gondwana reconfiguration process that is geometrically constrained to similar to 100 km scale. In this model, early Mesoproterozoic tectonics is driven by two opposing subduction systems. A dominantly west-dipping subduction zone existed at the eastern margin of Australo-Antarctica until ca. 1.55-1.50 Ga. A predominantly east-dipping subduction zone operated at the western margin of the Mawson Craton from ca. 1.70 Ga to ca. 1.42 Ga. The latter caused gradual westwards motion and clockwise rotation of the Mawson Craton relative to the West and North Australian Craton and the accretion of a series of continental ribbons now preserved in the Musgrave Province and its southern extensions. A mid-Mesoproterozoic switch to predominantly west-dipping subduction beneath the West Australian Craton brought about the final closure of the Mawson Craton with the North and West Australian Craton along the Rodona-Totten Shear Zone. Convergence was achieved prior to 1.31 Ga, but final collision may not have occurred until ca. 1.29 Ga. Post-1.29 Ga intraplate activity involved prolonged high-temperature orogenesis from 1.22 to 1.12 Ga, and significant movement on the Mundrabilla-Frost Shear Zone between 1.13 and 1.09 Ga, perhaps in response to the assembly of Rodinia at ca. 1.1 Ga. The Australo-Antarctic Craton was amalgamated with Indo-Antarctica along the Indo-Australo-Antarctic Suture (IAAS) and Kuunga Orogeny, probably in the latest Neoproterozoic to early Cambrian. (C) 2014 International Association for Gondwana Research. Published by Elsevier B.V. All rights reserved.</t>
  </si>
  <si>
    <t>[Aitken, A. R. A.] Univ Western Australia, Sch Earth &amp; Environm, Perth, WA 6009, Australia; [Betts, P. G.] Monash Univ, Sch Geosci, Melbourne, Vic 3004, Australia; [Young, D. A.; Blankenship, D. D.] Univ Texas Austin, Inst Geophys, Austin, TX 78712 USA; [Roberts, J. L.] Australian Antarctic Div, Hobart, Tas, Australia; [Roberts, J. L.] Univ Tasmania, Antarctic Climate &amp; Ecosyst Cooperat Res Ctr, Hobart, Tas, Australia; [Siegert, M. J.] Univ London Imperial Coll Sci Technol &amp; Med, Dept Earth Sci &amp; Engn, Grantham Inst, London, England</t>
  </si>
  <si>
    <t>University of Western Australia; Monash University; University of Texas System; University of Texas Austin; Australian Antarctic Division; Antarctic Climate &amp; Ecosystems Cooperative Research Centre (ACE CRC); University of Tasmania; Imperial College London</t>
  </si>
  <si>
    <t>Aitken, ARA (corresponding author), Univ Western Australia, Sch Earth &amp; Environm, Perth, WA 6009, Australia.</t>
  </si>
  <si>
    <t>Young, Duncan A./G-6256-2010; Siegert, Martin/M-9939-2019; Betts, Peter G/A-3656-2008; Roberts, Jason L/B-2235-2012; Siegert, Martin J/A-3826-2008; Blankenship, Donald D./G-5935-2010</t>
  </si>
  <si>
    <t>Siegert, Martin/0000-0002-0090-4806; Roberts, Jason L/0000-0002-3477-4069; Siegert, Martin J/0000-0002-0090-4806; Betts, Peter/0000-0002-2088-7433; Aitken, Alan/0000-0002-6375-2504</t>
  </si>
  <si>
    <t>Geoscience Australia; Centre for Exploration Targeting at UWA; UWA Geoscience Foundation; Monash University Research Accelerator Program; Australian Antarctic Division project [3103]; NSF [ANT-0733025]; NASA [NNX09AR52G]; NERC [NE/F016646/1, NE/D003733/1, NE/G012733/2]; Jackson School of Geoscience, the University of Edinburgh; Jet Propulsion Laboratory; G. Unger Vetlesen Foundation; Australian Government's Cooperative Research Centres Programme through the Antarctic Climate and Ecosystems Cooperative Research Centre; NERC [NE/F016646/1, NE/G012733/2] Funding Source: UKRI; NASA [NNX09AR52G, 106520] Funding Source: Federal RePORTER; Natural Environment Research Council [NE/G012733/2, NE/F016646/1] Funding Source: researchfish</t>
  </si>
  <si>
    <t>Geoscience Australia; Centre for Exploration Targeting at UWA; UWA Geoscience Foundation; Monash University Research Accelerator Program; Australian Antarctic Division project; NSF(National Science Foundation (NSF)); NASA(National Aeronautics &amp; Space Administration (NASA)); NERC(UK Research &amp; Innovation (UKRI)Natural Environment Research Council (NERC)); Jackson School of Geoscience, the University of Edinburgh; Jet Propulsion Laboratory; G. Unger Vetlesen Foundation; Australian Government's Cooperative Research Centres Programme through the Antarctic Climate and Ecosystems Cooperative Research Centre(Australian GovernmentDepartment of Industry, Innovation and ScienceCooperative Research Centres (CRC) Programme); NERC(UK Research &amp; Innovation (UKRI)Natural Environment Research Council (NERC)); NASA(National Aeronautics &amp; Space Administration (NASA)); Natural Environment Research Council(UK Research &amp; Innovation (UKRI)Natural Environment Research Council (NERC))</t>
  </si>
  <si>
    <t>This paper is a result of the ICECAP collaboration between the USA, UK and Australia, to understand the ice and crustal evolution of the central Antarctic Plate through airborne geophysical surveys. The NSIDC provided ICEBRIDGE data under licence; Geoscience Australia provided funding to AA and PB, Australian magnetic and gravity grids and Casey magnetic observatory observations. AA would also like to thank the Centre for Exploration Targeting at UWA and the UWA Geoscience Foundation for financial support to pursue this work. PB was supported by the Monash University Research Accelerator Program. This work was supported by Australian Antarctic Division project 3103, NSF grant ANT-0733025, NASA grant NNX09AR52G (Operation Ice Bridge), NERC grant NE/F016646/1, NERC grant NE/D003733/1, NERC fellowship NE/G012733/2, the Jackson School of Geoscience, the University of Edinburgh, the Jet Propulsion Laboratory and the G. Unger Vetlesen Foundation. This research was also supported by the Australian Government's Cooperative Research Centres Programme through the Antarctic Climate and Ecosystems Cooperative Research Centre. We thank Hugh Smithies and Catherine Spaggiari for their comments on early versions of the manuscript, as well as the reviewer Bill Collins and Santosh.</t>
  </si>
  <si>
    <t>1342-937X</t>
  </si>
  <si>
    <t>1878-0571</t>
  </si>
  <si>
    <t>GONDWANA RES</t>
  </si>
  <si>
    <t>Gondwana Res.</t>
  </si>
  <si>
    <t>10.1016/j.gr.2014.10.019</t>
  </si>
  <si>
    <t>DA0KD</t>
  </si>
  <si>
    <t>WOS:000367485100006</t>
  </si>
  <si>
    <t>Lawrence, J; Ashley, M; Burton, M; Cui, XQ; Churilov, V; Content, R; Gillingham, P; Glazebrook, K; Gu, BZ; Ireland, M; Jiang, X; Lu, HP; Moore, A; Mould, J; Staszak, NF; Tims, J; Tuthill, P; Wang, LF; Yuan, XJ; Zhang, KY; Zhelem, R; Zheng, J</t>
  </si>
  <si>
    <t>Lawrence, Jon; Ashley, Michael; Burton, Michael; Cui, Xiangqun; Churilov, Vladimir; Content, Robert; Gillingham, Peter; Glazebrook, Karl; Gu, Bozhong; Ireland, Michael; Jiang, Xiang; Lu, Haiping; Moore, Anna; Mould, Jeremy; Staszak, Nicholas F.; Tims, Julia; Tuthill, Peter; Wang, Lifan; Yuan, Xiangjan; Zhang, Kaiyuan; Zhelem, Ross; Zheng, Jessica</t>
  </si>
  <si>
    <t>The AST3-NIR Camera for the Kunlun Infrared Sky Survey</t>
  </si>
  <si>
    <t>Antarctic astronomy; infrared imaging; Dome A; AST3; PLATO; KISS</t>
  </si>
  <si>
    <t>SOUTH-POLE; DOME-C</t>
  </si>
  <si>
    <t>AST3-NIR is a new infrared camera for deployment with the AST3-3 wide-field survey telescope to Dome A on the Antarctic plateau. This project is designed to take advantage of the low Antarctic infrared sky thermal background (particularly within the K-dark near infrared atmospheric window at 2.4 mu m) and the long Antarctic nights to provide high sensitivity temporal data from astronomical sources. The data collected from the Kunlun Infrared Sky Survey (KISS) will be used to conduct a range of astronomical science cases including the study of supernovae, exo-planets, variable stars, and the cosmic infrared background.</t>
  </si>
  <si>
    <t>[Lawrence, Jon; Churilov, Vladimir; Content, Robert; Gillingham, Peter; Staszak, Nicholas F.; Tims, Julia; Zhelem, Ross; Zheng, Jessica] Australian Astron Observ, N Ryde, NSW 2113, Australia; [Ashley, Michael; Burton, Michael] Univ New South Wales, Sch Phys, Sydney, NSW 2052, Australia; [Cui, Xiangqun; Gu, Bozhong; Jiang, Xiang; Lu, Haiping; Yuan, Xiangjan; Zhang, Kaiyuan] Chinese Acad Sci, Natl Observ, Nanjing Inst Astron Opt &amp; Technol, Nanjing 210042, Jiangsu, Peoples R China; [Glazebrook, Karl; Mould, Jeremy] Swinburne Univ Technol, Ctr Astrophys &amp; Supercomp, Hawthorn, Vic 3122, Australia; [Ireland, Michael] Australian Natl Univ, Res Sch Astron &amp; Astrophys, Canberra, ACT 2611, Australia; [Moore, Anna] CALTECH, Caltech Opt Observ, Pasadena, CA 91125 USA; [Tuthill, Peter] Univ Sydney, Sch Phys, Sydney, NSW 2006, Australia; [Wang, Lifan] Chinese Acad Sci, Purple Mt Observ, Nanjing 210008, Jiangsu, Peoples R China; [Wang, Lifan] Texas A&amp;M Univ, Dept Phys, College Stn, TX 77843 USA</t>
  </si>
  <si>
    <t>University of New South Wales Sydney; Chinese Academy of Sciences; Nanjing Institute of Astronomical Optics &amp; Technology, NAOC, CAS; Swinburne University of Technology; Australian National University; California Institute of Technology; University of Sydney; Chinese Academy of Sciences; Nanjing Institute of Astronomical Optics &amp; Technology, NAOC, CAS; Purple Mountain Observatory, CAS; Texas A&amp;M University System; Texas A&amp;M University College Station</t>
  </si>
  <si>
    <t>Lawrence, J (corresponding author), Australian Astron Observ, N Ryde, NSW 2113, Australia.</t>
  </si>
  <si>
    <t>jl@aao.gov.au</t>
  </si>
  <si>
    <t>Lu, Haiping/T-8153-2019; Glazebrook, Karl/N-3488-2015</t>
  </si>
  <si>
    <t>Lu, Haiping/0000-0002-0349-2181; Burton, Michael/0000-0001-7289-1998; Tuthill, Peter/0000-0001-7026-6291; Ashley, Michael/0000-0003-1412-2028; Glazebrook, Karl/0000-0002-3254-9044; Moore, Anna/0000-0002-2894-6936; Zheng, Rong/0000-0002-3498-4437; Mould, Jeremy/0000-0003-3820-1740; Lawrence, Jon/0000-0002-6998-6993; Ireland, Michael/0000-0002-6194-043X</t>
  </si>
  <si>
    <t>10.1117/12.2233317</t>
  </si>
  <si>
    <t>WOS:000391509100143</t>
  </si>
  <si>
    <t>Guglielmin, M; Convey, P; Malfasi, F; Cannone, N</t>
  </si>
  <si>
    <t>Guglielmin, Mauro; Convey, Peter; Malfasi, Francesco; Cannone, Nicoletta</t>
  </si>
  <si>
    <t>Glacial fluctuations since the Medieval Warm Period' at Rothera Point (western Antarctic Peninsula)</t>
  </si>
  <si>
    <t>HOLOCENE</t>
  </si>
  <si>
    <t>Antarctica; climate change; glaciers; Holocene; mosses; radiocarbon dating</t>
  </si>
  <si>
    <t>LATE-HOLOCENE ADVANCE; CLIMATE-CHANGE; TEMPERATURE VARIABILITY; BRANSFIELD BASIN; MARGUERITE BAY; NEW-ZEALAND; ICE-SHELF; ISLAND; GREENLAND; SCALE</t>
  </si>
  <si>
    <t>At a global scale, there is no evidence for synchronous multi-decadal warm (Medieval Warm Period', MWP) or cold (Little Ice Age', LIA) periods in the late Holocene. On the other hand, there is good correspondence globally in the timing of MWP or LIA and phases of glacier retreat and advance, respectively, with local exceptions mainly explained by the precipitation regime. Antarctica exhibits contrasting patterns, both regarding the existence of these two historical climatic periods and the glacial responses to climatic forcing. Here, we present evidence for glacial retreat corresponding to the MWP and a subsequent LIA advance at Rothera Point (67 degrees 34S; 68 degrees 07W) in Marguerite Bay, western Antarctic Peninsula. Deglaciation started at ca. 961-800cal. yr BP or before, reaching a position similar to or even more withdrawn than the current state, with the subsequent period of glacial advance commencing between 671 and 558cal. yr BP and continuing at least until 490-317cal. yr BP. Based on new radiocarbon dates, during the MWP, the rate of glacier retreat was 1.6myr(-1), which is comparable with recently observed rates (similar to 0.6myr(-1) between 1993 and 2011 and 1.4myr(-1) between 2005 and 2011). Moreover, despite the recent air warming rate being higher, the glacial retreat rate during the MWP was similar to the present, suggesting that increased snow accumulation in recent decades may have counterbalanced the higher warming rate.</t>
  </si>
  <si>
    <t>[Guglielmin, Mauro; Malfasi, Francesco; Cannone, Nicoletta] Insubria Univ, Dept Theoret &amp; Appl Sci, I-21100 Varese, Italy; [Convey, Peter] British Antarctic Survey, Nat Environm Res Council, Cambridge, England</t>
  </si>
  <si>
    <t>University of Insubria; UK Research &amp; Innovation (UKRI); Natural Environment Research Council (NERC); NERC British Antarctic Survey</t>
  </si>
  <si>
    <t>Guglielmin, M (corresponding author), Insubria Univ, Dept Theoret &amp; Appl Sci, Via JH Dunant 3, I-21100 Varese, Italy.</t>
  </si>
  <si>
    <t>mauro.guglielmin@uninsubria.it</t>
  </si>
  <si>
    <t>Cannone, Nicoletta/W-8651-2019; Malfasi, Francesco/JTS-5575-2023; Convey, Peter/AAV-5728-2020</t>
  </si>
  <si>
    <t>Cannone, Nicoletta/0000-0002-3390-3965; Malfasi, Francesco/0000-0002-2660-8327; Convey, Peter/0000-0001-8497-9903</t>
  </si>
  <si>
    <t>Italian National Antarctic Program (PNRA); British Antarctic Survey (BAS); NERC; NERC [bas0100025, bas0100036] Funding Source: UKRI; Natural Environment Research Council [bas0100036, bas0100025] Funding Source: researchfish</t>
  </si>
  <si>
    <t>Italian National Antarctic Program (PNRA); British Antarctic Survey (BAS); NERC(UK Research &amp; Innovation (UKRI)Natural Environment Research Council (NERC)); NERC(UK Research &amp; Innovation (UKRI)Natural Environment Research Council (NERC)); Natural Environment Research Council(UK Research &amp; Innovation (UKRI)Natural Environment Research Council (NERC))</t>
  </si>
  <si>
    <t>This study was funded by the Italian National Antarctic Program (PNRA) and supported by the British Antarctic Survey (BAS) in the frame of cooperation between Insubria University and BAS. PC is supported by NERC core funding to the BAS Biodiversity, Evolution and Adaptation research programme.</t>
  </si>
  <si>
    <t>SAGE PUBLICATIONS LTD</t>
  </si>
  <si>
    <t>1 OLIVERS YARD, 55 CITY ROAD, LONDON EC1Y 1SP, ENGLAND</t>
  </si>
  <si>
    <t>0959-6836</t>
  </si>
  <si>
    <t>1477-0911</t>
  </si>
  <si>
    <t>Holocene</t>
  </si>
  <si>
    <t>10.1177/0959683615596827</t>
  </si>
  <si>
    <t>DA2MG</t>
  </si>
  <si>
    <t>WOS:000367628300014</t>
  </si>
  <si>
    <t>Izaguirre, I; Saad, JF; Schiaffino, MR; Vinocur, A; Tell, G; Sánchez, ML; Allende, L; Sinistro, R</t>
  </si>
  <si>
    <t>Izaguirre, Irina; Saad, Juan F.; Romina Schiaffino, M.; Vinocur, Alicia; Tell, Guillermo; Laura Sanchez, Maria; Allende, Luz; Sinistro, Rodrigo</t>
  </si>
  <si>
    <t>Drivers of phytoplankton diversity in Patagonian and Antarctic lakes across a latitudinal gradient (2150 km): the importance of spatial and environmental factors</t>
  </si>
  <si>
    <t>HYDROBIOLOGIA</t>
  </si>
  <si>
    <t>17th workshop of the International Association for Phytoplankton Taxonomy and Ecology (IAP)</t>
  </si>
  <si>
    <t>SEP 14-21, 2014</t>
  </si>
  <si>
    <t>Kastoria, GREECE</t>
  </si>
  <si>
    <t>Phytoplankton; Lakes; Latitudinal gradient; Trophic gradient; Diversity; Biogeography</t>
  </si>
  <si>
    <t>PLANKTONIC COMMUNITIES; FUNCTIONAL DIVERSITY; TROPHIC STATUS; PATTERNS; PROTISTS; BIOGEOGRAPHY; DISPERSAL; CLASSIFICATION; MICROORGANISMS; PHAGOTROPHY</t>
  </si>
  <si>
    <t>We investigated the phytoplankton structure in 60 lakes across a latitudinal gradient (2150 km), from Austral Patagonia to Antarctica, including environments ranging from oligotrophic to eutrophic. We analysed the latitudinal variation of species richness (local and regional) and evenness, as well as the similarity decay in phytoplankton composition in Patagonia and Antarctica. The following hypotheses were tested: (1) there is a decline of phytoplankton species richness with increasing latitude; (2) phytoplankton structure is influenced by both geographical and environmental factors. (3) The predominant algal trophic strategy (autotrophic vs mixotrophic) is influenced by lake trophic status. Phytoplankton was analysed using a polyphasic approach (morphologically based species diversity, functional diversity, dominant molecular diversity). We found a significant decline in phytoplankton richness with increasing latitude. Multivariate analyses showed that phytoplankton is structured by the lake geographic position (mainly latitude) and variables related with trophic state (nutrients, conductivity and pH). The autotrophs/mixotrophs ratio increased towards higher trophic states. The initial similarity was higher in Antarctica than in Patagonia, whereas the halving distance was lower for Antarctic lakes. The three biodiversity approaches of this meta-analysis evidenced that both geographic and environmental factors influence phytoplankton diversity at large spatial scale, although the local effect was stronger.</t>
  </si>
  <si>
    <t>[Izaguirre, Irina; Saad, Juan F.; Romina Schiaffino, M.; Vinocur, Alicia; Tell, Guillermo; Laura Sanchez, Maria; Allende, Luz; Sinistro, Rodrigo] Univ Buenos Aires, Fac Ciencias Exactas &amp; Nat, Dept Ecol Genet &amp; Evoluc, IEGEBA UBA CONICET, Buenos Aires, DF, Argentina; [Vinocur, Alicia] Univ Buenos Aires, Dept Biodiversidad &amp; Biol Expt, Fac Ciencias Exactas &amp; Nat, Buenos Aires, DF, Argentina</t>
  </si>
  <si>
    <t>University of Buenos Aires; University of Buenos Aires</t>
  </si>
  <si>
    <t>Izaguirre, I (corresponding author), Univ Buenos Aires, Fac Ciencias Exactas &amp; Nat, Dept Ecol Genet &amp; Evoluc, IEGEBA UBA CONICET, Buenos Aires, DF, Argentina.</t>
  </si>
  <si>
    <t>iri@ege.fcen.uba.ar</t>
  </si>
  <si>
    <t>Saad, Juan Francisco/KHY-4593-2024; Sánchez, María Laura/AAZ-1382-2021</t>
  </si>
  <si>
    <t>Saad, Juan Francisco/0000-0002-4482-8892; Sánchez, María Laura/0000-0001-5831-1811; Sinistro, Rodrigo/0000-0002-8007-7213; Schiaffino, Maria Romina/0000-0002-9383-2003</t>
  </si>
  <si>
    <t>Argentinean Funds for Scientific and Technical Investigations of Argentina [FONCYT PICT 32732]; CONICET of the National Council of Scientific and Technical Research of Argentina [PIP 418]; University of Buenos Aires [UBACYT 01/Y018]</t>
  </si>
  <si>
    <t>Argentinean Funds for Scientific and Technical Investigations of Argentina; CONICET of the National Council of Scientific and Technical Research of Argentina; University of Buenos Aires(University of Buenos Aires)</t>
  </si>
  <si>
    <t>This study was financed by the following Grants: FONCYT PICT 32732 of the Argentinean Funds for Scientific and Technical Investigations of Argentina; PIP 418, CONICET of the National Council of Scientific and Technical Research of Argentina; UBACYT 01/Y018 of the University of Buenos Aires. We thank Dr. Patricia Rodriguez, Lic. Maria Cristina Marinone and Mr. Adrian Rua for their collaboration during the field campaigns. We also thank the logistic support of the Argentinean Antarctic stations (Antarctic National Direction of Argentina DNA) during the field work in Antarctic lakes. We thank the three anonymous reviewers for their valuable comments that improved the manuscript.</t>
  </si>
  <si>
    <t>0018-8158</t>
  </si>
  <si>
    <t>1573-5117</t>
  </si>
  <si>
    <t>Hydrobiologia</t>
  </si>
  <si>
    <t>10.1007/s10750-015-2269-2</t>
  </si>
  <si>
    <t>CX5FM</t>
  </si>
  <si>
    <t>WOS:000365727500013</t>
  </si>
  <si>
    <t>Yde, JC; Knudsen, NT; Steffensen, JP; Carrivick, JL; Hasholt, B; Ingeman-Nielsen, T; Kronborg, C; Larsen, NK; Mernild, SH; Oerter, H; Roberts, DH; Russell, AJ</t>
  </si>
  <si>
    <t>Yde, Jacob C.; Knudsen, Niels T.; Steffensen, Jorgen P.; Carrivick, Jonathan L.; Hasholt, Bent; Ingeman-Nielsen, Thomas; Kronborg, Christian; Larsen, Nicolaj K.; Mernild, Sebastian H.; Oerter, Hans; Roberts, David H.; Russell, Andrew J.</t>
  </si>
  <si>
    <t>Stable oxygen isotope variability in two contrasting glacier river catchments in Greenland</t>
  </si>
  <si>
    <t>HYDROLOGY AND EARTH SYSTEM SCIENCES</t>
  </si>
  <si>
    <t>INITIAL QUIESCENT PHASE; MAJOR SURGE EVENT; SOUTHEAST GREENLAND; WEST GREENLAND; ICE-SHEET; KUANNERSUIT GLACIER; DISKO ISLAND; MITTIVAKKAT GLETSCHER; AUSTRE-OKSTINDBREEN; AMMASSALIK ISLAND</t>
  </si>
  <si>
    <t>Analysis of stable oxygen isotope (delta O-18) characteristics is a useful tool to investigate water provenance in glacier river systems. In order to attain knowledge on the diversity of delta O-18 variations in Greenlandic rivers, we examined two contrasting glacierised catchments disconnected from the Greenland Ice Sheet (GrIS). At the Mittivakkat Gletscher river, a small river draining a local temperate glacier in southeast Greenland, diurnal oscillations in delta O-18 occurred with a 3h time lag to the diurnal oscillations in run-off. The mean annual delta O-18 was -14.68 +/- 0.18 parts per thousand during the peak flow period. A hydrograph separation analysis revealed that the ice melt component constituted 82 +/- 5% of the total run-off and dominated the observed variations during peak flow in August 2004. The snowmelt component peaked between 10:00 and 13:00 local time, reflecting the long travel time and an inefficient distributed subglacial drainage network in the upper part of the glacier. At the Kuannersuit Glacier river on the island Qeqertarsuaq in west Greenland, the delta O-18 characteristics were examined after the major 1995-1998 glacier surge event. The mean annual delta O-18 was -19.47 +/- 0.55 parts per thousand. Despite large spatial variations in the delta O-18 values of glacier ice on the newly formed glacier tongue, there were no diurnal os-cillations in the bulk meltwater emanating from the glacier in the post-surge years. This is likely a consequence of a tortuous subglacial drainage system consisting of linked cavities, which formed during the surge event. Overall, a comparison of the delta O-18 compositions from glacial river water in Greenland shows distinct differences between water draining local glaciers and ice caps (between -23.0 and -13.7 parts per thousand) and the GrIS (between -29.9 and -23.2 parts per thousand). This study demonstrates that water isotope analyses can be used to obtain important information on water sources and the subglacial drainage system structure that is highly desired for understanding glacier hydrology.</t>
  </si>
  <si>
    <t>[Yde, Jacob C.; Mernild, Sebastian H.] Sogn &amp; Fjordane Univ Coll, Fac Engn &amp; Sci, Sogndal, Norway; [Knudsen, Niels T.; Kronborg, Christian; Larsen, Nicolaj K.] Univ Aarhus, Dept Geosci, Aarhus, Denmark; [Steffensen, Jorgen P.] Univ Copenhagen, Ctr Ice &amp; Climate, Copenhagen, Denmark; [Carrivick, Jonathan L.] Univ Leeds, Sch Geog &amp; Water Leeds, Leeds, W Yorkshire, England; [Hasholt, Bent] Univ Copenhagen, Dept Geosci &amp; Nat Resource Management, Copenhagen, Denmark; [Ingeman-Nielsen, Thomas] Tech Univ Denmark, Arctic Technol Ctr, DK-2800 Lyngby, Denmark; [Mernild, Sebastian H.] Univ Magallanes, Antarctic &amp; Sub Antarctic Program, Punta Arenas, Chile; [Oerter, Hans] Helmholtz Ctr Polar &amp; Marine Res, Alfred Wegener Inst, Bremerhaven, Germany; [Roberts, David H.] Univ Durham, Dept Geog, Durham, England; [Russell, Andrew J.] Newcastle Univ, Sch Geog Polit &amp; Sociol, Newcastle Upon Tyne NE1 7RU, Tyne &amp; Wear, England</t>
  </si>
  <si>
    <t>Western Norway University of Applied Sciences; Aarhus University; University of Copenhagen; University of Leeds; University of Copenhagen; Technical University of Denmark; Universidad de Magallanes; Helmholtz Association; Alfred Wegener Institute, Helmholtz Centre for Polar &amp; Marine Research; Durham University; Newcastle University - UK</t>
  </si>
  <si>
    <t>Yde, JC (corresponding author), Sogn &amp; Fjordane Univ Coll, Fac Engn &amp; Sci, Sogndal, Norway.</t>
  </si>
  <si>
    <t>jacob.yde@hisf.no</t>
  </si>
  <si>
    <t>Larsen, Nicolaj Krog/ABE-4327-2021; Steffensen, Jorgen Peder/JFS-7831-2023; Ingeman-Nielsen, Thomas/AAS-7397-2020; Larsen, Nicolaj/A-3509-2012; Yde, Jacob/M-8839-2017; Knudsen, Niels Tvis/A-2461-2014; Mernild, Sebastian H./M-5516-2013</t>
  </si>
  <si>
    <t>Larsen, Nicolaj Krog/0000-0002-0117-1106; Steffensen, Jorgen Peder/0000-0002-5516-1093; Ingeman-Nielsen, Thomas/0000-0002-0776-4869; Larsen, Nicolaj/0000-0002-0117-1106; Carrivick, Jonathan/0000-0002-9286-5348; Yde, Jacob Clement/0000-0002-6211-2601; Mernild, Sebastian H./0000-0003-0797-3975</t>
  </si>
  <si>
    <t>Villum Fonden [00007364] Funding Source: researchfish</t>
  </si>
  <si>
    <t>Villum Fonden(Villum Fonden)</t>
  </si>
  <si>
    <t>1027-5606</t>
  </si>
  <si>
    <t>1607-7938</t>
  </si>
  <si>
    <t>HYDROL EARTH SYST SC</t>
  </si>
  <si>
    <t>Hydrol. Earth Syst. Sci.</t>
  </si>
  <si>
    <t>10.5194/hess-20-1197-2016</t>
  </si>
  <si>
    <t>Geosciences, Multidisciplinary; Water Resources</t>
  </si>
  <si>
    <t>Geology; Water Resources</t>
  </si>
  <si>
    <t>DO5XJ</t>
  </si>
  <si>
    <t>WOS:000377856000013</t>
  </si>
  <si>
    <t>Tozer, CR; Vance, TR; Roberts, JL; Kiem, AS; Curran, MAJ; Moy, AD</t>
  </si>
  <si>
    <t>Tozer, Carly R.; Vance, Tessa R.; Roberts, Jason L.; Kiem, Anthony S.; Curran, Mark A. J.; Moy, Andrew D.</t>
  </si>
  <si>
    <t>An ice core derived 1013-year catchment-scale annual rainfall reconstruction in subtropical eastern Australia</t>
  </si>
  <si>
    <t>MURRAY-DARLING BASIN; MULTI-DECADAL VARIABILITY; SOUTHERN ANNULAR MODE; LAW DOME; CLIMATE VARIABILITY; SOUTHEASTERN AUSTRALIA; DROUGHT RISK; COAST LOWS; ANTARCTICA; RECORD</t>
  </si>
  <si>
    <t>Paleoclimate research indicates that the Australian instrumental climate record (similar to 100 years) does not cover the full range of hydroclimatic variability that is possible. To better understand the implications of this on catchment-scale water resources management, a 1013-year (1000-2012 common era (CE)) annual rainfall reconstruction was produced for the Williams River catchment in coastal eastern Australia. No high-resolution paleoclimate proxies are located in the region and so a teleconnection between summer sea salt deposition recorded in ice cores from East Antarctica and rainfall variability in eastern Australia was exploited to reconstruct the catchment-scale rainfall record. The reconstruction shows that significantly longer and more frequent wet and dry periods were experienced in the preinstrumental compared to the instrumental period. This suggests that existing drought and flood risk assessments underestimate the true risks due to the reliance on data and statistics obtained from only the instrumental record. This raises questions about the robustness of existing water security and flood protection measures and has serious implications for water resources management, infrastructure design and catchment planning. The method used in this proof of concept study is transferable and enables similar insights into the true risk of flood/drought to be gained for other paleoclimate proxy poor regions for which suitable remote teleconnected proxies exist. This will lead to improved understanding and ability to deal with the impacts of multi-decadal to centennial hydroclimatic variability.</t>
  </si>
  <si>
    <t>[Tozer, Carly R.; Vance, Tessa R.; Roberts, Jason L.; Curran, Mark A. J.; Moy, Andrew D.] Univ Tasmania, Antarctic Climate &amp; Ecosyst Cooperat Res Ctr, Hobart, Tas 7001, Australia; [Tozer, Carly R.; Kiem, Anthony S.] Univ Newcastle, Ctr Water Climate &amp; Land Use, Callaghan, NSW 2308, Australia; [Roberts, Jason L.; Curran, Mark A. J.; Moy, Andrew D.] Australian Antarctic Div, Channel Highway, Kingston, Tas 7050, Australia</t>
  </si>
  <si>
    <t>Antarctic Climate &amp; Ecosystems Cooperative Research Centre (ACE CRC); University of Tasmania; University of Newcastle; Australian Antarctic Division</t>
  </si>
  <si>
    <t>Tozer, CR (corresponding author), Univ Tasmania, Antarctic Climate &amp; Ecosyst Cooperat Res Ctr, Hobart, Tas 7001, Australia.;Tozer, CR (corresponding author), Univ Newcastle, Ctr Water Climate &amp; Land Use, Callaghan, NSW 2308, Australia.</t>
  </si>
  <si>
    <t>carly.tozer@utas.edu.au</t>
  </si>
  <si>
    <t>Roberts, Jason L/B-2235-2012; Kiem, Anthony/D-9307-2013; Tozer, Carly R/E-9936-2013</t>
  </si>
  <si>
    <t>Roberts, Jason L/0000-0002-3477-4069; Kiem, Anthony/0000-0002-3994-6958; Tozer, Carly R/0000-0001-8605-5907; Moy, Andrew/0000-0002-7664-9960; Vance, Tessa/0000-0001-6970-8646</t>
  </si>
  <si>
    <t>Australian Government's Cooperative Research Centres Programme through Antarctic Climate and Ecosystems Cooperative Research Centre (ACE CRC); Australian Antarctic Division [4061, 4062]; Centre for Water, Climate and Land Use at University of Newcastle</t>
  </si>
  <si>
    <t>Australian Government's Cooperative Research Centres Programme through Antarctic Climate and Ecosystems Cooperative Research Centre (ACE CRC)(Australian GovernmentDepartment of Industry, Innovation and ScienceCooperative Research Centres (CRC) Programme); Australian Antarctic Division; Centre for Water, Climate and Land Use at University of Newcastle</t>
  </si>
  <si>
    <t>This work was supported by the Australian Government's Cooperative Research Centres Programme through the Antarctic Climate and Ecosystems Cooperative Research Centre (ACE CRC). The Australian Antarctic Division provided funding and logistical support for the DSS ice cores (AAS projects 4061 and 4062). The Centre for Water, Climate and Land Use at the University of Newcastle provided partial funding for Tozer's salary.</t>
  </si>
  <si>
    <t>10.5194/hess-20-1703-2016</t>
  </si>
  <si>
    <t>DO5ZX</t>
  </si>
  <si>
    <t>WOS:000377862900004</t>
  </si>
  <si>
    <t>Rülke, A; Dietrich, R; Capra, A; Cisak, J; Dongchen, E; Eiken, T; Fox, A; Hothem, LD; Johnston, G; Malaimani, EC; Matveev, AJ; Milinevsky, G; Schenke, HW; Shibuya, K; Sjöberg, LE; Zakrajsek, A; Fritsche, M; Groh, A; Knöfel, C; Scheinert, M</t>
  </si>
  <si>
    <t>Rizos, C; Willis, P</t>
  </si>
  <si>
    <t>Ruelke, Axel; Dietrich, Reinhard; Capra, Alessandro; Cisak, Jan; Dongchen, E.; Eiken, Trond; Fox, Adrian; Hothem, Larry D.; Johnston, Gary; Malaimani, E. C.; Matveev, Alexey J.; Milinevsky, Gennadi; Schenke, Hans-Werner; Shibuya, Kazuo; Sjoberg, Lars E.; Zakrajsek, Andres; Fritsche, Mathias; Groh, Andreas; Knoefel, Christoph; Scheinert, Mirko</t>
  </si>
  <si>
    <t>The Antarctic Regional GPS Network Densification: Status and Results</t>
  </si>
  <si>
    <t>IAG 150 YEARS</t>
  </si>
  <si>
    <t>International Association of Geodesy Symposia</t>
  </si>
  <si>
    <t>Scientific Assembly of the International-Association-of-Geodesy (IAG)</t>
  </si>
  <si>
    <t>SEP 01-06, 2013</t>
  </si>
  <si>
    <t>Potsdam, GERMANY</t>
  </si>
  <si>
    <t>Antarctica; Crustal deformation; Euler pole; GIA; Reference frame</t>
  </si>
  <si>
    <t>GLACIAL ISOSTATIC-ADJUSTMENT; ART.; SATELLITE; NOISE; MODEL</t>
  </si>
  <si>
    <t>We report on the activities related to the IAG Subcommission 1.3f Regional Reference Frame for Antarctica. Campaign-style GPS observations have been carried out since 1995. Based on the Bernese GNSS Software the latest analysis yields results for about 30 stations aligned to the terrestrial reference frame solution IGS08. The obtained station motions are discussed in the context of plate kinematics and glacial-isostatic adjustment. It is demonstrated that the activities are a valuable contribution both to the ITRF densification in Antarctica and to geodynamic research.</t>
  </si>
  <si>
    <t>[Ruelke, Axel] Fed Agcy Cartog &amp; Geodesy, Frankfurt, Germany; [Dietrich, Reinhard; Groh, Andreas; Knoefel, Christoph; Scheinert, Mirko] Tech Univ Dresden, Inst Planetare Geodasie, Dresden, Germany; [Capra, Alessandro] Univ Modena &amp; Reggio Emilia, Dept Engn Enzo Ferrari, Modena, Italy; [Cisak, Jan] Inst Geodezji &amp; Kartog, Warsaw, Poland; [Dongchen, E.] Wuhan Univ, Chinese Antarctic Ctr Surveying &amp; Mapping, Wuhan, Hubei, Peoples R China; [Eiken, Trond] Univ Oslo, Dept Geosci, Oslo, Norway; [Fox, Adrian] British Antarctic Survey, Cambridge, England; [Hothem, Larry D.] US Geol Survey, Reston, VA 20192 USA; [Johnston, Gary] Geosci Australia, Canberra, ACT 2601, Australia; [Malaimani, E. C.] Natl Geophys Res Inst NGRI, Hyderabad, Andhra Pradesh, India; [Matveev, Alexey J.] OAO Aerogeodezia, St Petersburg, Russia; [Milinevsky, Gennadi] Taras Shevchenko Natl Univ Kyiv, Kiev, Ukraine; [Schenke, Hans-Werner] Alfred Wegener Inst, Helmholtz Zentrum Polar &amp; Meeresforsch, Bremerhaven, Germany; [Shibuya, Kazuo] Natl Inst Polar Res, Tokyo, Japan; [Sjoberg, Lars E.] Royal Inst Technol, Stockholm, Sweden; [Zakrajsek, Andres] Inst Antartico Argentino, Buenos Aires, DF, Argentina; [Fritsche, Mathias] Deutsch GeoForschungsZentrum GFZ, Helmholtz Zentrum Potsdam, Potsdam, Germany</t>
  </si>
  <si>
    <t>Technische Universitat Dresden; Universita di Modena e Reggio Emilia; Institute of Geodesy &amp; Cartography; Wuhan University; University of Oslo; UK Research &amp; Innovation (UKRI); Natural Environment Research Council (NERC); NERC British Antarctic Survey; United States Department of the Interior; United States Geological Survey; Geoscience Australia; Council of Scientific &amp; Industrial Research (CSIR) - India; CSIR - National Geophysical Research Institute (NGRI); Ministry of Education &amp; Science of Ukraine; Taras Shevchenko National University of Kyiv; Helmholtz Association; Alfred Wegener Institute, Helmholtz Centre for Polar &amp; Marine Research; Research Organization of Information &amp; Systems (ROIS); National Institute of Polar Research (NIPR) - Japan; Royal Institute of Technology; Instituto Antartico Argentino; Helmholtz Association; Helmholtz-Center Potsdam GFZ German Research Center for Geosciences</t>
  </si>
  <si>
    <t>Rülke, A (corresponding author), Fed Agcy Cartog &amp; Geodesy, Frankfurt, Germany.</t>
  </si>
  <si>
    <t>axel.ruelke@bkg.bund.de; reinhard.dietrich@tu-dresden.de</t>
  </si>
  <si>
    <t>Milinevsky, Gennadi/AAD-8801-2019; Capra, Alessandro/L-9743-2015</t>
  </si>
  <si>
    <t>Milinevsky, Gennadi/0000-0002-2342-2615; Scheinert, Mirko/0000-0002-0892-8941; Knofel, Christoph/0000-0001-6031-9820; Groh, Andreas/0000-0003-0106-5802</t>
  </si>
  <si>
    <t>NERC [bas010011] Funding Source: UKRI</t>
  </si>
  <si>
    <t>0939-9585</t>
  </si>
  <si>
    <t>978-3-319-30895-1; 978-3-319-24603-1</t>
  </si>
  <si>
    <t>IAG SYMP</t>
  </si>
  <si>
    <t>10.1007/1345_2015_79</t>
  </si>
  <si>
    <t>Geochemistry &amp; Geophysics; Remote Sensing</t>
  </si>
  <si>
    <t>BJ8TT</t>
  </si>
  <si>
    <t>WOS:000428775500017</t>
  </si>
  <si>
    <t>Teferle, FN; Hunegnaw, A; Ahmed, F; Sidorov, D; Woodworth, PL; Foden, PR; Williams, SDP</t>
  </si>
  <si>
    <t>Teferle, F. N.; Hunegnaw, A.; Ahmed, F.; Sidorov, D.; Woodworth, P. L.; Foden, P. R.; Williams, S. D. P.</t>
  </si>
  <si>
    <t>The King Edward Point Geodetic Observatory, South Georgia, South Atlantic Ocean A First Evaluation and Potential Contributions to Geosciences</t>
  </si>
  <si>
    <t>Global Navigation Satellite Systems; King Edward Point Geodetic Observatory; South Atlantic Ocean; South Georgia Island</t>
  </si>
  <si>
    <t>CLIMATE</t>
  </si>
  <si>
    <t>During February 2013 the King Edward Point (KEP) Geodetic Observatory was established in South Georgia, South Atlantic Ocean, through a University of Luxembourg funded research project and in collaboration with the United Kingdom National Oceanography Centre, British Antarctic Survey, and Unavco, Inc. Due to its remote location in the South Atlantic Ocean, as well as being one of few subaerial exposures of the Scotia tectonic plate, South Georgia Island has been a key location for a number of global monitoring networks, e.g. seismic, geomagnetic and oceanic. However, no permanent geodetic monitoring station has been established previously, despite the lack of observations from this region. In this study we will present an evaluation of the GNSS and meteorological observations from the KEP Geodetic Observatory for the period from 14 February to 31 December 2013. We calculate multipath and positioning statistics and compare these to those from IGS stations using equipment of the same type. The on-site meteorological data are compared to those from the nearby KEP meteorological station and the NCEP/NCAR reanalysis model, and the impact of these data sets on integrated water vapour estimates is evaluated. We discuss the installation in terms of its potential contributions to sea level observations using tide gauges and satellite altimetry, studies of tectonics, glacio-isostatic adjustment and atmospheric processes.</t>
  </si>
  <si>
    <t>[Teferle, F. N.; Hunegnaw, A.; Ahmed, F.; Sidorov, D.] Univ Luxembourg, Geophys Lab, L-1359 Luxembourg, Luxembourg; [Woodworth, P. L.; Foden, P. R.; Williams, S. D. P.] Natl Oceanog Ctr, Joseph Proudman Bldg,6 Brownlow St, Liverpool L3 5DA, Merseyside, England</t>
  </si>
  <si>
    <t>University of Luxembourg; NERC National Oceanography Centre</t>
  </si>
  <si>
    <t>Teferle, FN (corresponding author), Univ Luxembourg, Geophys Lab, L-1359 Luxembourg, Luxembourg.</t>
  </si>
  <si>
    <t>norman.teferle@uni.lu</t>
  </si>
  <si>
    <t>Williams, Simon/C-7214-2011; Teferle, Felicia Norma/AFL-9981-2022</t>
  </si>
  <si>
    <t>Williams, Simon/0000-0003-4123-4973; Teferle, Felicia Norma/0000-0002-9132-3571; Woodworth, Philip/0000-0002-6681-239X; Hunegnaw, Addisu/0000-0002-5988-2103</t>
  </si>
  <si>
    <t>10.1007/1345_2015_175</t>
  </si>
  <si>
    <t>WOS:000428775500079</t>
  </si>
  <si>
    <t>van der Hammen, T; de Graaf, M; Lyle, JM</t>
  </si>
  <si>
    <t>van der Hammen, Tessa; de Graaf, Martin; Lyle, Jeremy M.</t>
  </si>
  <si>
    <t>Estimating catches of marine and freshwater recreational fisheries in the Netherlands using an online panel survey</t>
  </si>
  <si>
    <t>ICES JOURNAL OF MARINE SCIENCE</t>
  </si>
  <si>
    <t>angling; Anguilla anguilla; bias; Dicentrarchus labrax; drop-out; Gadus morhua; logbook survey; non-response; online questionnaires; recreational fishing; stock assessment; survey design</t>
  </si>
  <si>
    <t>NONRESPONSE BIAS; STOCK ASSESSMENT; RECALL; IMPACT; HARVEST</t>
  </si>
  <si>
    <t>In this study we describe a two-phase survey design and implications of approaches to non-response adjustments on estimates of the total catch taken by Dutch recreational fishers, including marine catches for Atlantic cod and European seabass and European eel in freshwater. The survey comprised three main elements which were executed online: a screening survey to estimate the characteristics of the population of recreational fishers (number of fishers, their demographic profile and stated fishing avidity); a 12 month logbook survey to estimate effort and catch rates; and non-response follow up surveys to adjust for non-response. A response rate of 80% was achieved for the screening survey and, following non-response adjustment and limited data imputation, 89% for the logbook survey. Some logbook participants reported no fishing activity (drop-outs) and were removed from the analysis. In addition, logbook data were weighted in accordance with the stated avidity distribution in the population to address potential response bias based on avidity. Imputation and weighting for avidity influenced the catch estimates a little, whereas the removal of the fisher drop-outs was influential, linked to the rates of fisher drop-outs (18% for freshwater and 55% for marine fishers). Freshwater recreational fishing was more popular than marine fishing; 9.7% of the Dutch population participating in the former and 4.1% fishing in marine waters. In total an estimated 53.6 million freshwater fish were caught (2.6 million retained) and 13.6 million marine fish were caught (9.6 million retained). Respective catch estimates for Atlantic cod, European seabass and European eel were 0.70, 0.35 and 1.23 million fish (0.53, 0.23 and 0.34 million retained). We conclude that the survey design using an online panel may serve as an example for future surveys because of its efficacy to collect a rich set of data at relatively low cost compared to traditional survey methods.</t>
  </si>
  <si>
    <t>[van der Hammen, Tessa; de Graaf, Martin] Inst Marine Resources &amp; Ecosyst Studies, IMARES Wageningen UR, POB 68, NL-1970 AB Ijmuiden, Netherlands; [Lyle, Jeremy M.] Univ Tasmania, Inst Marine &amp; Antarctic Studies, Private Bag 49, Hobart, Tas 7001, Australia</t>
  </si>
  <si>
    <t>Wageningen University &amp; Research; University of Tasmania</t>
  </si>
  <si>
    <t>van der Hammen, T (corresponding author), Inst Marine Resources &amp; Ecosyst Studies, IMARES Wageningen UR, POB 68, NL-1970 AB Ijmuiden, Netherlands.</t>
  </si>
  <si>
    <t>tessa.vanderhammen@wur.nl</t>
  </si>
  <si>
    <t>Lyle, Jeremy/J-7170-2014</t>
  </si>
  <si>
    <t>Lyle, Jeremy/0000-0001-9670-5854</t>
  </si>
  <si>
    <t>Ministry of Economic Affairs as part of the WOT (Wettelijke Onderzoekstaken) programme; Sportvisserij Nederland</t>
  </si>
  <si>
    <t>The research was financed by the Ministry of Economic Affairs as part of the WOT (Wettelijke Onderzoekstaken) programme. We thank Sportvisserij Nederland for their additional financial contribution and constructive discussions, Anneloes Klaassen and Lisanne van Thiel (TNS NIPO) for the logistics of the online surveys, the participants of the logbook survey for filling in the monthly online logbooks, Daniel Benden for building the IMARES database, and members of the ICES Working Group on Recreation Fisheries Surveys (WGRFS) for productive discussions.</t>
  </si>
  <si>
    <t>1054-3139</t>
  </si>
  <si>
    <t>1095-9289</t>
  </si>
  <si>
    <t>ICES J MAR SCI</t>
  </si>
  <si>
    <t>ICES J. Mar. Sci.</t>
  </si>
  <si>
    <t>10.1093/icesjms/fsv190</t>
  </si>
  <si>
    <t>DF2AN</t>
  </si>
  <si>
    <t>WOS:000371141600025</t>
  </si>
  <si>
    <t>Pransky, J</t>
  </si>
  <si>
    <t>Pransky, Joanne</t>
  </si>
  <si>
    <t>The Pransky interview: Dr William Red Whittaker, Robotics Pioneer, Professor, Entrepreneur</t>
  </si>
  <si>
    <t>INDUSTRIAL ROBOT-AN INTERNATIONAL JOURNAL</t>
  </si>
  <si>
    <t>Aerospace; Inspection; Mobile robots; Teleoperation; Autonomous robots; Field robotics</t>
  </si>
  <si>
    <t>Purpose - The following paper details a Q&amp;A interview conducted by Joanne Pransky, Associate Editor of Industrial Robot Journal, to impart the combined technological, business and personal experience of a prominent, robotic industry engineer-turned successful business leader, regarding the commercialization and challenges of bringing technological inventions to the market while overseeing a company. The paper aims to discuss these issues. Design/methodology/approach - The interviewee is Dr William Red Whittaker, Fredkin Research Professor of Robotics, Robotics Institute, Carnegie Mellon University (CMU); CEO of Astrobotic Technology; and President of Workhorse Technologies. Dr Whittaker provides answers to questions regarding the pioneering experiences of some of his technological wonders in land, sea, air, underwater, underground and space. Findings - As a child, Dr Whittaker built things and made them work and dreamed about space and robots. He has since then turned his dreams, and those of the world, into realities. Dr Whittaker's formal education includes a BS degree in civil engineering from Princeton and MS and PhD degrees in civil engineering from CMU. In response to designing a robot to cleanup radioactive material at the Three Mile Island nuclear plant, Dr Whittaker established the Field Robotics Center (FRC) in 1983. He is also the founder of the National Robotics Engineering Center, an operating unit within CMU's Robotics Institute (RI), the world's largest robotics research and development organization. Dr Whittaker has developed more than 60 robots, breaking new ground in autonomous vehicles, field robotics, space exploration, mining and agriculture. Dr Whittaker's research addresses computer architectures for robots, modeling and planning for non-repetitive tasks, complex problems of objective sensing in random and dynamic environments and integration of complete robot systems. His current focus is Astrobotic Technology, a CMU spin-off firm that is developing space robotics technology to support planetary missions. Dr Whittaker is competing for the US$20m Google Lunar XPRIZE for privately landing a robot on the Moon. Originality/value - Dr Whittaker coined the term field robotics to describe his research that centers on robots in unconstrained, uncontrived settings, typically outdoors and in the full range of operational and environmental conditions: robotics in the natural world. The Field Robotics Center has been one of the most successful initiatives within the entire robotics industry. As the Father of Field Robotics, Dr Whittaker has pioneered locomotion technologies, navigation and route-planning methods and advanced sensing systems. He has directed over US$100m worth of research programs and spearheaded several world-class robotic explorations and operations with significant outreach, education and technology commercializations. His ground vehicles have driven thousands of autonomous miles. Dr Whittaker won DARPA's US$2m Urban Challenge. His Humvees finished second and third in the 2005 DARPA's Grand race Challenge desert race. Other robot projects have included: Dante II, a walking robot that explored an active volcano; Nomad, which searched for meteorites in Antarctica; and Tugbot, which surveyed a 1,800-acre area of Nevada for buried hazards. Dr Whittaker is a member of the National Academy of Engineering. He is a fellow of the American Association for Artificial Intelligence and served on the National Academy of Sciences Space Studies Board. Dr Whittaker received the Alan Newell Medal for Research Excellence. He received Carnegie Mellon's Teare Award for Teaching Excellence. He received the Joseph Engelberger Award for Outstanding Achievement in Robotics, the Advancement of Artificial Intelligence's inaugural Feigenbaum Prize for his contributions to machine intelligence, the Institute of Electrical and Electronics Engineers Simon Ramo Medal, the American Society of Civil Engineers Columbia Medal, the Antarctic Service Medal and the American Spirit Honor Medal. Science Digest named Dr Whittaker one of the top 100 US innovators for his work in robotics. He has been recognized by Aviation Week &amp; Space Technology and Design News magazines for outstanding achievement. Fortune named him a Hero of US Manufacturing. Dr Whittaker has advised 26 PhD students, has 16 patents and has authored over 200 publications. Dr Whittaker's vision is to drive nanobiologics technology to fulfillment and create nanorobotic agents for enterprise on Earth and beyond (Figure 1).</t>
  </si>
  <si>
    <t>drjoanne@robot.md</t>
  </si>
  <si>
    <t>Ind. Robot</t>
  </si>
  <si>
    <t>10.1108/IR-04-2016-0124</t>
  </si>
  <si>
    <t>DT3DG</t>
  </si>
  <si>
    <t>WOS:000381360100001</t>
  </si>
  <si>
    <t>Vecchi, M; Cesari, M; Bertolani, R; Jönsson, KI; Rebecchi, L; Guidetti, R</t>
  </si>
  <si>
    <t>Vecchi, Matteo; Cesari, Michele; Bertolani, Roberto; Jonsson, K. Ingemar; Rebecchi, Lorena; Guidetti, Roberto</t>
  </si>
  <si>
    <t>Integrative systematic studies on tardigrades from Antarctica identify new genera and new species within Macrobiotoidea and Echiniscoidea</t>
  </si>
  <si>
    <t>molecular phylogenetics; nuclear DNA; systematics; Tardigrada; taxonomy</t>
  </si>
  <si>
    <t>DRONNING-MAUD-LAND; MAXIMUM-LIKELIHOOD; HUFELANDI GROUP; MOLECULAR-DATA; S-STR; GENUS; EUTARDIGRADA; PHYLOGENY; VARIABILITY; MOUNTAINS</t>
  </si>
  <si>
    <t>Tardigrades represent one of the most abundant groups of Antarctic metazoans in terms of abundance and diversity, thanks to their ability to withstand desiccation and freezing; however, their biodiversity is underestimated. Antarctic tardigrades from Dronning Maud Land and Victoria Land were analysed from a morphological point of view with light microscopy and scanning electron microscopy, and from a molecular point of view using two genes (18S, 28S) analysed in Bayesian inference and maximum-likelihood frameworks. In addition, indel-coding datasets were used for the first time to infer tardigrade phylogenies. We also compared Antarctic specimens with those from Italy and Greenland. A combined morphological and molecular analysis led to the identification of two new evolutionary lineages, for which we here erect the new genera Acanthechiniscus, gen. nov. (Echiniscidae, Echiniscoidea) and Mesobiotus, gen. nov. (Macrobiotidae, Macrobiotoidea). Moreover, two species new to science were discovered: Pseudechiniscus titianae, sp. nov. (Echiniscidae:Echiniscoidea) and Mesobiotus hilariae, sp. nov. (Macrobiotidae:Macrobiotoidea). This study highlights the high tardigrade diversity in Antarctica and the importance of an integrated approach in faunal and taxonomic studies. http://zoobank.org/urn:lsid:zoobank.org:pub:8AAB42BF-B781-4418-A385-DC80C18EC31D</t>
  </si>
  <si>
    <t>[Vecchi, Matteo; Cesari, Michele; Bertolani, Roberto; Rebecchi, Lorena; Guidetti, Roberto] Univ Modena &amp; Reggio Emilia, Dept Life Sci, Via Campi 213-D, I-41125 Modena, Italy; [Jonsson, K. Ingemar] Kristianstad Univ, Sch Educ &amp; Environm, SE-29188 Kristianstad, Sweden</t>
  </si>
  <si>
    <t>Universita di Modena e Reggio Emilia; Kristianstad University</t>
  </si>
  <si>
    <t>Cesari, M (corresponding author), Univ Modena &amp; Reggio Emilia, Dept Life Sci, Via Campi 213-D, I-41125 Modena, Italy.</t>
  </si>
  <si>
    <t>michele.cesari@unimore.it</t>
  </si>
  <si>
    <t>Vecchi, Matteo/GLT-3828-2022; Cesari, Michele/AAS-4964-2020; Guidetti, Roberto/H-2855-2012; Rebecchi, Lorena/E-1653-2015</t>
  </si>
  <si>
    <t>Vecchi, Matteo/0000-0002-7995-6827; Cesari, Michele/0000-0001-8857-3791; Guidetti, Roberto/0000-0001-6079-2538; Rebecchi, Lorena/0000-0001-5610-806X</t>
  </si>
  <si>
    <t>'Programma Nazionale Ricerche in Antartide (PNRA)' of Italian Ministry for Instruction, University and Research (MIUR, Italy) [PdR 2013/B1.01]</t>
  </si>
  <si>
    <t>'Programma Nazionale Ricerche in Antartide (PNRA)' of Italian Ministry for Instruction, University and Research (MIUR, Italy)</t>
  </si>
  <si>
    <t>The authors thank the Verona Civic Museum of Natural History (Italy) for the loan of the type specimens, the Laboratory of Sequencing (Labgen), Department of Life Sciences, UNIMORE (Italy), for the sequencing service and the anonymous reviewers for their suggestions. This work was supported by the project [PdR 2013/B1.01] of the 'Programma Nazionale Ricerche in Antartide (PNRA)' of Italian Ministry for Instruction, University and Research (MIUR, Italy).</t>
  </si>
  <si>
    <t>10.1071/IS15033</t>
  </si>
  <si>
    <t>DW3KP</t>
  </si>
  <si>
    <t>WOS:000383540800001</t>
  </si>
  <si>
    <t>Cesari, M; Mcinnes, SJ; Bertolani, R; Rebecchi, L; Guidetti, R</t>
  </si>
  <si>
    <t>Cesari, Michele; Mcinnes, Sandra J.; Bertolani, Roberto; Rebecchi, Lorena; Guidetti, Roberto</t>
  </si>
  <si>
    <t>Genetic diversity and biogeography of the south polar water bear Acutuncus antarcticus (Eutardigrada : Hypsibiidae) - evidence that it is a truly pan-Antarctic species</t>
  </si>
  <si>
    <t>PHYLUM TARDIGRADA; MOLECULAR-DATA; DNA; ISLANDS; INVERTEBRATES; HEMISPHERE; DISPERSAL; PHYLOGENY; VARIABILITY; INSIGHTS</t>
  </si>
  <si>
    <t>Antarctica is an ice-dominated continent and all its terrestrial and freshwater habitats are fragmented, which leads to genetic divergence and, eventually, speciation. Acutuncus antarcticus is the most common Antarctic tardigrade and its cryptobiotic capabilities, small size and parthenogenetic reproduction present a high potential for dispersal and colonisation. Morphological (light and electron microscopy, karyology) and molecular (18S rRNA and cytochrome c oxidase subunit I (COI) genes) analyses on seven populations of A. antarcticus elucidated the genetic diversity and distribution of this species. All analysed populations were morphologically indistinguishable and made up of diploid females. All specimens presented the same 18S rRNA sequence. In contrast, COI analysis showed higher variability, with most Victoria Land populations presenting up to five different haplotypes. Genetic distances between Victoria Land specimens and those found elsewhere in Antarctica were low, while distances between Dronning Maud Land and specimens from elsewhere were high. Our analyses show that A. antarcticus can still be considered a pan-Antarctic species, although the moderately high genetic diversity within Victoria Land indicates the potential for speciation events. Regions of Victoria Land are considered to have been possible refugia during the last glacial maximum and a current biodiversity hotspot, which the populations of A. antarcticus mirror with a higher diversity than in other regions of Antarctica.</t>
  </si>
  <si>
    <t>[Cesari, Michele; Bertolani, Roberto; Rebecchi, Lorena; Guidetti, Roberto] Univ Modena &amp; Reggio Emilia, Dept Life Sci, Via G Campi 213-D, I-41125 Modena, Italy; [Mcinnes, Sandra J.] British Antarctic Survey, Nat Environm Res Council, Madingley Rd, Cambridge CB3 0ET, England</t>
  </si>
  <si>
    <t>Universita di Modena e Reggio Emilia; UK Research &amp; Innovation (UKRI); Natural Environment Research Council (NERC); NERC British Antarctic Survey</t>
  </si>
  <si>
    <t>Rebecchi, L (corresponding author), Univ Modena &amp; Reggio Emilia, Dept Life Sci, Via G Campi 213-D, I-41125 Modena, Italy.</t>
  </si>
  <si>
    <t>lorena.rebecchi@unimore.it</t>
  </si>
  <si>
    <t>Cesari, Michele/AAS-4964-2020; McInnes, Sandra/AAN-4773-2020; Guidetti, Roberto/H-2855-2012; Rebecchi, Lorena/E-1653-2015</t>
  </si>
  <si>
    <t>Cesari, Michele/0000-0001-8857-3791; McInnes, Sandra/0000-0003-3403-9379; Guidetti, Roberto/0000-0001-6079-2538; Rebecchi, Lorena/0000-0001-5610-806X</t>
  </si>
  <si>
    <t>Programma Nazionale Ricerche in Antartide - Ministero dell'Istruzione dell'Universita e della Ricerca [PrR 2013 B1/01]; Natural Environment Research Council [bas010011] Funding Source: researchfish; NERC [bas010011] Funding Source: UKRI</t>
  </si>
  <si>
    <t>Programma Nazionale Ricerche in Antartide - Ministero dell'Istruzione dell'Universita e della Ricerca; Natural Environment Research Council(UK Research &amp; Innovation (UKRI)Natural Environment Research Council (NERC)); NERC(UK Research &amp; Innovation (UKRI)Natural Environment Research Council (NERC))</t>
  </si>
  <si>
    <t>We wish to thank three anonymous reviewers and the Editor in Chief for their comments and suggestions, which considerably helped to improve the text. We also thank the Laboratory of Sequencing (Labgen), Department of Life Sciences, University of Modena and Reggio Emilia (Italy), for the sequencing service. This research is part of the projects 'Adaptive strategies to maintain biodiversity: cryptobiosis and thermotolerance in Antarctic tardigrades', and 'Evolutive and phylogeographic history of Antarctic organisms and responses by ecosystems to climatic and environmental changings' (PrR 2013 B1/01), supported by Programma Nazionale Ricerche in Antartide - Ministero dell'Istruzione dell'Universita e della Ricerca.</t>
  </si>
  <si>
    <t>10.1071/IS15045</t>
  </si>
  <si>
    <t>EF4RF</t>
  </si>
  <si>
    <t>WOS:000390319000007</t>
  </si>
  <si>
    <t>Moreno, R; Stowasser, G; McGill, RAR; Bearhop, S; Phillips, RA</t>
  </si>
  <si>
    <t>Moreno, Rocio; Stowasser, Gabriele; McGill, Rona A. R.; Bearhop, Stuart; Phillips, Richard A.</t>
  </si>
  <si>
    <t>Assessing the structure and temporal dynamics of seabird communities: the challenge of capturing marine ecosystem complexity</t>
  </si>
  <si>
    <t>JOURNAL OF ANIMAL ECOLOGY</t>
  </si>
  <si>
    <t>community; diet; pellets; procellariiform; regurgitations; resource partitioning; seabirds; stable isotopes; stomach contents; trophic guilds</t>
  </si>
  <si>
    <t>PETRELS PELECANOIDES-GEORGICUS; PRION PACHYPTILA-DESOLATA; STABLE-ISOTOPE SIGNATURES; CLIMATE-CHANGE; INTERANNUAL VARIATION; FEEDING ECOLOGY; SOUTH-GEORGIA; FOOD-WEB; TROPHIC RELATIONSHIPS; BREEDING BIOLOGY</t>
  </si>
  <si>
    <t>1. Understanding interspecific interactions, and the influences of anthropogenic disturbance and environmental change on communities, are key challenges in ecology. Despite the pressing need to understand these fundamental drivers of community structure and dynamics, only 17% of ecological studies conducted over the past three decades have been at the community level. 2. Here, we assess the trophic structure of the procellariiform community breeding at South Georgia, to identify the factors that determine foraging niches and possible temporal changes. We collected conventional diet data from 13 sympatric species between 1974 and 2002, and quantified intra-and inter-guild, and annual variation in diet between and within foraging habits. In addition, we tested the reliability of stable isotope analysis (SIA) of seabird feathers collected over a 13-year period, in relation to those of their potential prey, as a tool to assess community structure when diets are diverse and there is high spatial heterogeneity in environmental baselines. 3. Our results using conventional diet data identified a four-guild community structure, distinguishing species that mainly feed on crustaceans; large fish and squid; a mixture of crustaceans, small fish and squid; or carrion. In total, Antarctic krill Euphausia superba represented 32%, and 14 other species a further 46% of the combined diet of all 13 predators, underlining the reliance of this community on relatively few types of prey. Annual variation in trophic segregation depended on relative prey availability; however, our data did not provide evidence of changes in guild structure associated with a suggested decline in Antarctic krill abundance over the past 40 years. 4. Reflecting the differences in delta N-15 of potential prey (crustaceans vs. squid vs. fish and carrion), analysis of delta N-15 in chick feathers identified a three-guild community structure that was constant over a 13-year period, but lacked the trophic cluster representing giant petrels which was identified using conventional diet data. 5. Our study is the first in recent decades to examine dietary changes in seabird communities over time. Conventional dietary analysis provided better resolution of community structure than SIA. However, delta N-15 in chick feathers, which reflected trophic (level) specialization, was nevertheless an effective and less time-consuming means of monitoring temporal changes.</t>
  </si>
  <si>
    <t>[Moreno, Rocio; Stowasser, Gabriele; Phillips, Richard A.] British Antarctic Survey, Nat Environm Res Council, Cambridge CB3 0ET, England; [McGill, Rona A. R.] Scottish Univ Environm Res Ctr, E Kilbride G75 0QF, Lanark, Scotland; [Bearhop, Stuart] Univ Exeter, Ctr Ecol &amp; Conservat, Penryn TR10 9EZ, Cornwall, England</t>
  </si>
  <si>
    <t>UK Research &amp; Innovation (UKRI); Natural Environment Research Council (NERC); NERC British Antarctic Survey; Scottish Universities Research &amp; Reactor Center; University of Exeter</t>
  </si>
  <si>
    <t>Moreno, R (corresponding author), British Antarctic Survey, Nat Environm Res Council, High Cross,Madingley Rd, Cambridge CB3 0ET, England.</t>
  </si>
  <si>
    <t>rocio@rociomoreno.com</t>
  </si>
  <si>
    <t>McGill, Rona/JAC-6969-2023; McGill, Rona/F-1793-2010; Bearhop, Stuart/G-3105-2012</t>
  </si>
  <si>
    <t>McGill, Rona/0000-0003-0400-7288; Stowasser, Gabriele/0000-0002-0595-0772; Bearhop, Stuart/0000-0002-5864-0129</t>
  </si>
  <si>
    <t>NERC [EK50-5/02]; British Ornithologists Union career development bursary; Spanish Ministerio de Economia y Competividad [EX20100937]; Natural Environment Research Council; NERC [bas0100035, lsmsf010002] Funding Source: UKRI; Natural Environment Research Council [lsmsf010002, bas0100035] Funding Source: researchfish</t>
  </si>
  <si>
    <t>NERC(UK Research &amp; Innovation (UKRI)Natural Environment Research Council (NERC)); British Ornithologists Union career development bursary; Spanish Ministerio de Economia y Competividad(Spanish Government);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</si>
  <si>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are very grateful to the Bird Island field assistants, particularly Daffydd Roberts, Ben Phalan, Nicholas Warren and Jane Tanton for help with sampling, to Catarina Henriques for sample preparation and to Norman Ratcliffe for statistical assistance. The isotope analysis at the Life Sciences Mass Spectrometry Facility was funded by NERC award EK50-5/02. Capture and feather sampling complied with the laws of the Government of South Georgia and the South Sandwich Islands. R. Moreno was supported by a British Ornithologists Union career development bursary and a postdoctoral fellowship by the Spanish Ministerio de Economia y Competividad (EX20100937). This study is part of the Ecosystems component of the British Antarctic Survey Polar Science for Planet Earth Programme, funded by The Natural Environment Research Council.</t>
  </si>
  <si>
    <t>0021-8790</t>
  </si>
  <si>
    <t>1365-2656</t>
  </si>
  <si>
    <t>J ANIM ECOL</t>
  </si>
  <si>
    <t>J. Anim. Ecol.</t>
  </si>
  <si>
    <t>10.1111/1365-2656.12434</t>
  </si>
  <si>
    <t>DA9PI</t>
  </si>
  <si>
    <t>Green Accepted, Green Published, hybrid</t>
  </si>
  <si>
    <t>WOS:000368141400020</t>
  </si>
  <si>
    <t>Qi, XM; Liao, E; Wang, L; Lin, H; Xue, CH</t>
  </si>
  <si>
    <t>Qi, Xiang-Ming; Liao, E.; Wang, Lu; Lin, Hong; Xue, Chang-Hu</t>
  </si>
  <si>
    <t>Extracting Protein from Antarctic Krill (Euphausia superba)</t>
  </si>
  <si>
    <t>Euphausia superba; krill protein; isoelectric solubilization; isoelectric precipitation; fluoride; water-use minimization</t>
  </si>
  <si>
    <t>PROCESSING BY-PRODUCTS; ISOELECTRIC SOLUBILIZATION/PRECIPITATION; NUTRITIONAL-VALUE; AMINO-ACID; RECOVERY; GELATION</t>
  </si>
  <si>
    <t>The isoelectric solubilization/precipitation (ISP) process was applied to Antarctic krill protein extraction. The solubility of Antarctic krill proteins and their fluoride content were studied between pH 1.00-13.75. The previous krill protein extraction conditions using ISP were improved. Excess fluoride in Antarctic krill was removed using a water-washing method according to its solubility. To save water, a multistage countercurrent system was used to optimize the ISP method. The results showed that the solubility of Antarctic krill proteins reached a minimum at pH 4.5 and a maximum at pH 13.5, while the concentration of dissolved fluoride was relatively unchanged (16.78-20.50 mg/L), with pH 2.00-13.50. Water-washing 4 times could reduce fluoride 98.14 +/- 0.01% from krill with about a 5.14 +/- 0.21% protein loss. The reduction allows krill protein to meet the Chinese National Standard (GB 2762-2005) for fluoride. Meanwhile, the four-stage countercurrent system achieved almost the same high fluoride removal rate (98.58 +/- 0.01%) using only 25% of the water.</t>
  </si>
  <si>
    <t>[Qi, Xiang-Ming; Liao, E.; Wang, Lu; Lin, Hong; Xue, Chang-Hu] Ocean Univ China, Coll Food Sci &amp; Engn, Qingdao, Shandong, Peoples R China</t>
  </si>
  <si>
    <t>Qi, XM (corresponding author), Coll Food Sci &amp; Engn, 5 Yushan Rd, Qingdao 266003, Shandong, Peoples R China.</t>
  </si>
  <si>
    <t>qixm@ouc.edu.cn</t>
  </si>
  <si>
    <t>Natural Science Foundation of China [31101380]; Shangdong Province Young and Middle-Aged Scientists Research Awards Fund [BS2010SW038]; Program for Changjiang Scholars and Innovative Research Team in University</t>
  </si>
  <si>
    <t>Natural Science Foundation of China(National Natural Science Foundation of China (NSFC)); Shangdong Province Young and Middle-Aged Scientists Research Awards Fund; Program for Changjiang Scholars and Innovative Research Team in University(Program for Changjiang Scholars &amp; Innovative Research Team in University (PCSIRT))</t>
  </si>
  <si>
    <t>Financial support was provided by the Natural Science Foundation of China Project (No. 31101380, Topic: Study on Solubilisation Mechanism of Fish Muscle Protein on Alkalized Conditions by Ammonia), Shangdong Province Young and Middle-Aged Scientists Research Awards Fund (No. BS2010SW038, Topic: Study on Protein Recovery from Marine Processing Wastewater Using Pressurized Acid Precipitation Technology), and the Program for Changjiang Scholars and Innovative Research Team in University.</t>
  </si>
  <si>
    <t>10.1080/10498850.2014.904461</t>
  </si>
  <si>
    <t>DT1ZG</t>
  </si>
  <si>
    <t>WOS:000381280000013</t>
  </si>
  <si>
    <t>Ellis, LT; Alatas, M; Asthana, AK; Rawat, KK; Sahu, V; Srivastava, A; Bakalin, VA; Batan, N; Bednarek-Ochyra, H; Bester, SP; Borovichev, EA; De Beer, D; Enroth, J; Erzberger, P; Fedosov, VE; Feuillet-Hurtado, C; Gradstein, SR; Gremmen, NJM; Hedenäs, L; Katagiri, T; Yamaguchi, T; Lebouvier, M; Maity, D; Mesterházy, A; Müller, F; Natcheva, R; Németh, C; Opisso, J; Özdemir, T; Erata, H; Parnikoza, I; Plásek, V; Sabovljevic, S; Sabovljevic, AD; Saha, P; Aziz, MN; Schröder, W; Vána, J; van Rooy, J; Wang, J; Yoon, YJ; Kim, JH</t>
  </si>
  <si>
    <t>Ellis, L. T.; Alatas, M.; Asthana, A. K.; Rawat, K. K.; Sahu, V.; Srivastava, A.; Bakalin, V. A.; Batan, N.; Bednarek-Ochyra, H.; Bester, S. P.; Borovichev, E. A.; De Beer, D.; Enroth, J.; Erzberger, P.; Fedosov, V. E.; Feuillet-Hurtado, C.; Gradstein, S. R.; Gremmen, N. J. M.; Hedenas, L.; Katagiri, T.; Yamaguchi, T.; Lebouvier, M.; Maity, D.; Mesterhazy, A.; Mueller, F.; Natcheva, R.; Nemeth, Cs.; Opisso, J.; Ozdemir, T.; Erata, H.; Parnikoza, I.; Plasek, V.; Sabovljevic, S.; Sabovljevic, A. D.; Saha, P.; Aziz, Md Nehal; Schroeder, W.; Vana, J.; van Rooy, J.; Wang, J.; Yoon, Y. -J.; Kim, J. H.</t>
  </si>
  <si>
    <t>New national and regional bryophyte records, 47</t>
  </si>
  <si>
    <t>JOURNAL OF BRYOLOGY</t>
  </si>
  <si>
    <t>MOSS GENUS; RED LIST; 1ST RECORD; FLORA; CHECKLIST; BUCKLANDIELLA; GRIMMIACEAE; HEPATICAE; ISLANDS; ANTHOCEROTAE</t>
  </si>
  <si>
    <t>[Ellis, L. T.] Nat Hist Museum, Cromwell Rd, London SW7 5BD, England; [Alatas, M.] Elazig Sci &amp; Art Ctr, Dept Biol, Elazig, Turkey; [Asthana, A. K.; Rawat, K. K.; Sahu, V.; Srivastava, A.] CSIR, Natl Bot Res Inst, Lucknow, Uttar Pradesh, India; [Bakalin, V. A.] Bot Garden Inst FEB RAS, Vladivostok, Russia; [Bakalin, V. A.] FEB RAS, Inst Biol &amp; Soil Sci, Vladivostok, Russia; [Batan, N.] Karadeniz Tech Univ, Macka Vocat Sch, Trabzon, Turkey; [Bednarek-Ochyra, H.] Polish Acad Sci, Krakow, Poland; [Bester, S. P.] South African Natl Biodivers Inst, Natl Herbarium, Pretoria, South Africa; [Borovichev, E. A.] RAS, North Kola Sci Ctr, Inst Ind Ecol Problems, Apatity, Murmansk Provin, Russia; [Borovichev, E. A.] RAS, Kola Sci Ctr, Polar Alpine Bot Garden Inst, Kirovsk, Murmansk Provin, Russia; [Enroth, J.] Univ Helsinki, Dept Biosci, FIN-00014 Helsinki, Finland; [Enroth, J.] Univ Helsinki, Bot Museum, FIN-00014 Helsinki, Finland; [Fedosov, V. E.] Moscow MV Lomonosov State Univ, Moscow, Russia; [Feuillet-Hurtado, C.] Univ Caldas, Dept Ciencias Biol, Caldas, Colombia; [Gradstein, S. R.] Museum Hist Nat, Dept Syst &amp; Evolut, Paris, France; [Gremmen, N. J. M.] Data Anal Ecol, Diever, Netherlands; [Hedenas, L.] Nat Hist Riksmuseet, Stockholm, Sweden; [Katagiri, T.; Yamaguchi, T.] Hiroshima Univ, Dept Biol Sci, Higashihiroshima 724, Japan; [Lebouvier, M.] Univ Rennes 1, CNRS, UMR 6553, Rennes, France; [Maity, D.] Univ Calcutta, Dept Bot, Kolkata, India; [Mueller, F.] Tech Univ Dresden, Inst Bot, D-01062 Dresden, Germany; [Natcheva, R.] Bulgarian Acad Sci, Inst Biodivers &amp; Ecosyst Res, Sofia, Bulgaria; [Nemeth, Cs.] Corvinus Univ Budapest, Dept Hort Sci, Budapest, Hungary; [Opisso, J.] Univ Nacl Mayor San Marcos, Museo Hist Nat, Dept Briol &amp; Pteridol, Lima 14, Peru; [Ozdemir, T.; Erata, H.] Karadeniz Tech Univ, Dept Biol, Trabzon, Turkey; [Parnikoza, I.] Natl Acad Sci, Inst Mol Biol &amp; Genet, Kiev, Ukraine; [Plasek, V.] Univ Ostrava, CZ-70103 Ostrava, Czech Republic; [Sabovljevic, S.; Sabovljevic, A. D.] Univ Belgrade, Inst Bot &amp; Bot Garden, Belgrade, Serbia; [Saha, P.; Aziz, Md Nehal] Cent Natl Herbarium, Bot Survey India, Howrah, India; [Vana, J.] Charles Univ Prague, Dept Bot, Prague, Czech Republic; [van Rooy, J.] South African Natl Biodivers Inst, Natl Herbarium, Pretoria, South Africa; [Wang, J.] E China Normal Univ, Sch Life Sci, Bryol Lab, Shanghai 200062, Peoples R China; [Yoon, Y. -J.; Kim, J. H.] KIOST, Korea Polar Res Inst, Inchon, South Korea</t>
  </si>
  <si>
    <t>Natural History Museum London; Council of Scientific &amp; Industrial Research (CSIR) - India; CSIR - National Botanical Research Institute (NBRI); Russian Academy of Sciences; Botanical Garden Institute of the Far Eastern Branch of the Russian Academy of Sciences; Russian Academy of Sciences; Federal Scientific Center of the East Asia Terrestrial Biodiversity, Far Eastern Branch of the Russian Academy of Sciences; Karadeniz Technical University; Ministry of National Education - Turkey; Polish Academy of Sciences; South African National Biodiversity Institute; Russian Academy of Sciences; Kola Science Centre of the Russian Academy of Sciences; Institute of North Industrial Ecology Problems, Kola Science Centre of the Russian Academy of Sciences; Russian Academy of Sciences; Kola Science Centre of the Russian Academy of Sciences; University of Helsinki; University of Helsinki; Lomonosov Moscow State University; Universidad de Caldas; Museum National d'Histoire Naturelle (MNHN); Hiroshima University; Centre National de la Recherche Scientifique (CNRS); CNRS - Institute of Ecology &amp; Environment (INEE); Universite de Rennes; University of Calcutta; Technische Universitat Dresden; Bulgarian Academy of Sciences; Corvinus University Budapest; Universidad Nacional Mayor de San Marcos; Karadeniz Technical University; National Academy of Sciences Ukraine; Institute of Molecular Biology &amp; Genetics of NASU; University of Ostrava; University of Belgrade; Botanical Survey of India (BSI); Charles University Prague; South African National Biodiversity Institute; East China Normal University; Korea Polar Research Institute (KOPRI); Korea Institute of Ocean Science &amp; Technology (KIOST)</t>
  </si>
  <si>
    <t>Ellis, LT (corresponding author), Nat Hist Museum, Dept Life Sci, Cromwell Rd, London SW7 5BD, England.</t>
  </si>
  <si>
    <t>l.ellis@nhm.ac.uk</t>
  </si>
  <si>
    <t>Enroth, Johannes/GLR-8836-2022; Özdemir, Turan/AAK-2959-2021; Parnikoza, Ivan/I-2398-2016; Alataş, Mevlüt/ABI-4152-2020; Bakalin, Vadim A./S-8876-2017; Fedosov, Vladimir E./P-7066-2014; Plasek, Vitezslav/D-8242-2014; Bednarek-Ochyra, Halina/K-7507-2012; , Muller/AAG-3283-2022; Borovichev, Eugene/U-9117-2017; Váňa, Jiří/I-5979-2016; Batan, Nevzat/AAK-2000-2021; , Muller/AFK-4587-2022; van Rooy, Jacques/P-2806-2014</t>
  </si>
  <si>
    <t>Alataş, Mevlüt/0000-0003-0862-0258; Bakalin, Vadim A./0000-0001-7897-4305; Plasek, Vitezslav/0000-0002-4664-2135; Fedosov, Vladimir/0000-0002-5331-6346; Sabovljevic, Aneta/0000-0003-3092-9972; Bednarek-Ochyra, Halina/0000-0002-6994-8313; van Rooy, Jacques/0000-0002-7822-5547; Bester, Stoffel Petrus/0000-0001-6961-5052</t>
  </si>
  <si>
    <t>Russian Foundation of Basic Researches [15-04-03479, 15-34-20101]; President's Programme for support of PhD researches [MK-2926.2015.4]; Korea Polar Research Institute [PE15020]; Russian Science Foundation [15-14-10023]; Polish National Centre of Science [N 303 796 940]; French Polar Institute (IPEV) [136 ECOBIO]; Institute of Environmental Technologies [CZ.1.05/2.1.00/03.0100]; National Feasibility Programme I of the Czech Republic [LO1208]; SYNTHESYS project [DE-TAF-4436]; National Antarctic Research Centre of the Ministry of Education and Science of the Ukraine; US National Science Agency; National Academy of Sciences of the Ukraine under the project Adaptive strategy of mutual survival of organisms in extreme environmental conditions; Okavango Wilderness Project (National Geographic Society) [EC0715-15]; South African National Antarctic Programme; TUBITAK [111T857, 113Z228, 113Z653]; Russian Science Foundation (RNF) [14-50-00029]</t>
  </si>
  <si>
    <t>Russian Foundation of Basic Researches(Russian Foundation for Basic Research (RFBR)); President's Programme for support of PhD researches; Korea Polar Research Institute(Korea Polar Research Institute of Marine Research Placement (KOPRI)); Russian Science Foundation(Russian Science Foundation (RSF)); Polish National Centre of Science; French Polar Institute (IPEV); Institute of Environmental Technologies; National Feasibility Programme I of the Czech Republic; SYNTHESYS project; National Antarctic Research Centre of the Ministry of Education and Science of the Ukraine; US National Science Agency; National Academy of Sciences of the Ukraine under the project Adaptive strategy of mutual survival of organisms in extreme environmental conditions; Okavango Wilderness Project (National Geographic Society)(National Geographic Society); South African National Antarctic Programme; TUBITAK(Turkiye Bilimsel ve Teknolojik Arastirma Kurumu (TUBITAK)); Russian Science Foundation (RNF)(Russian Science Foundation (RSF))</t>
  </si>
  <si>
    <t>F. Muller thanks J. Vana (Prague) for confirming the identity of Cylindrocolea ugandica and M. J. Wigginton (Warmington) for helpful suggestions. The work of E. A. Borovichev, V. A. Bakalin, T. Katagiri, and T. Yamaguchi was partially supported by the Russian Foundation of Basic Researches (grants no. 15-04-03479, 15-34-20101) and President's Programme for support of PhD researches (MK-2926.2015.4). The work of Y.-J. Yoon and Ji Hee Kim was supported by Korea Polar Research Institute (PE15020). The work of E. A. Borovichev was supported by the Russian Science Foundation (project no. 15-14-10023). The contributions by H. Bednarek-Ochyra have been financially supported by the Polish National Centre of Science through grant No. N 303 796 940. The field work of M. Leboubier on Iles Crozet and Iles Kerguelen was organised within the programme 136 ECOBIO of the French Polar Institute (IPEV). The contributions by V. Plasek are part of research projects of the Institute of Environmental Technologies, reg. no. CZ.1.05/2.1.00/03.0100, the National Feasibility Programme I of the Czech Republic Project LO1208 and SYNTHESYS project DE-TAF-4436. The contribution by I. Parnikoza gained the financial support of the National Antarctic Research Centre of the Ministry of Education and Science of the Ukraine and US National Science Agency, especially V. Papitashvili. He is also thankful to D. Pilipenko for assistance in field work. His research was performed as part of the national targeted scientific and technological programme of research in the Antarctic for 2011-2020 and in accordance with an agreement on the scientific cooperation between the Polish Academy of Sciences and the National Academy of Sciences of the Ukraine under the project Adaptive strategy of mutual survival of organisms in extreme environmental conditions (2015-2017). S.P. Bester wishes to thank the Okavango Wilderness Project (National Geographic Society, Grant Number EC0715-15) for financial assistance to accompany the land-based team in the June 2015 section of the Into the Okavango expedition to south-eastern Angola. A.K. Asthana and Ankita Srivastava are grateful to the Director, CSIR-National Botanical Research Institute, Lucknow for encouragement and providing facilities (under OLP-0083). P. Erzberger and W. Schroder thank B. Papp, curator of BP, for the loan of material. The fieldwork of N. J. M. Gremmen was financed by the South African National Antarctic Programme, and logistical support was provided by the South African Department for Environmental Affairs and Tourism. The studies by T. Ozdemir and N. Batan, M. Alatas, and H. Erata were supported by TUBITAK (project no's: 111T857, 113Z228, and 113Z653). The work of V. Fedosov was partly supported by Grant #14-50-00029 Scientific basis of the national biobank depository of the living systems (branch Plants) from Russian Science Foundation (RNF). P. Saha, Md Nehal Aziz, D. Maity are grateful to the Director, Botanical Survey of India for encouragement and facilities.</t>
  </si>
  <si>
    <t>0373-6687</t>
  </si>
  <si>
    <t>1743-2820</t>
  </si>
  <si>
    <t>J BRYOL</t>
  </si>
  <si>
    <t>J. Bryol.</t>
  </si>
  <si>
    <t>10.1080/03736687.2016.1171453</t>
  </si>
  <si>
    <t>DO8UZ</t>
  </si>
  <si>
    <t>WOS:000378061300008</t>
  </si>
  <si>
    <t>Ellis, LT; Aleffi, M; Alegro, A; Segota, V; Asthana, AK; Gupta, R; Singh, VJ; Bakalin, VA; Bednarek-Ochyra, H; Cykowska-Marzencka, B; Benitez, A; Borovichev, EA; Vilnet, AA; Konstantinova, NA; Buck, WR; Cacciatoro, C; Sérgio, C; Csiky, J; Deme, J; Kovács, D; Damsholt, K; Enroth, J; Erzberger, P; Fedosov, VE; Fuertes, E; Gradstein, SR; Gremmen, NJM; Hallingbäck, T; Jukoniene, I; Kiebacher, T; Larraín, J; Lebouvier, M; Lüuth, M; Mamontov, YS; Potemkin, AD; Nemeth, C; Nieuwkoop, JAW; Nobis, M; Osorio, F; Parnikoza, I; Peralta, DF; Carmo, DM; Plásek, V; Skoupá, Z; Poponessi, S; Venanzoni, R; Puche, F; Purger, D; Reeb, C; Rios, R; Rodriguez-Quiel, E; Arrocha, C; Sabovljevic, MS; Nikolic, N; Sabovljevic, AD; dos Santos, EL; Segarra-Moragues, JG; Stefanut, S; Stoncius, D; Virchenko, VM; Wegrzyn, M; Wietrzyk, P</t>
  </si>
  <si>
    <t>Ellis, L. T.; Aleffi, M.; Alegro, A.; Segota, V.; Asthana, A. K.; Gupta, R.; Singh, V. J.; Bakalin, V. A.; Bednarek-Ochyra, H.; Cykowska-Marzencka, B.; Benitez, A.; Borovichev, E. A.; Vilnet, A. A.; Konstantinova, N. A.; Buck, W. R.; Cacciatoro, C.; Sergio, C.; Csiky, J.; Deme, J.; Kovacs, D.; Damsholt, K.; Enroth, J.; Erzberger, P.; Fedosov, V. E.; Fuertes, E.; Gradstein, S. R.; Gremmen, N. J. M.; Hallingbaeck, T.; Jukoniene, I.; Kiebacher, T.; Larrain, J.; Lebouvier, M.; Lueth, M.; Mamontov, Yu. S.; Potemkin, A. D.; Nemeth, Cs.; Nieuwkoop, J. A. W.; Nobis, M.; Osorio, F.; Parnikoza, I.; Peralta, D. F.; Carmo, D. M.; Plasek, V.; Skoupa, Z.; Poponessi, S.; Venanzoni, R.; Puche, F.; Purger, D.; Reeb, C.; Rios, R.; Rodriguez-Quiel, E.; Arrocha, C.; Sabovljevic, M. S.; Nikolic, N.; Sabovljevic, A. D.; dos Santos, E. L.; Segarra-Moragues, J. G.; Stefanut, S.; Stoncius, D.; Virchenko, V. M.; Wegrzyn, M.; Wietrzyk, P.</t>
  </si>
  <si>
    <t>New national and regional bryophyte records, 48</t>
  </si>
  <si>
    <t>SOUTH-SHETLAND-ISLANDS; TAXONOMIC REVISION; MOSS GENUS; RED-LIST; GRIMMIACEAE; BUCKLANDIELLA; POTTIACEAE; FLORA; CHECKLIST; MUSCI</t>
  </si>
  <si>
    <t>[Ellis, L. T.] Nat Hist Museum, London, England; [Aleffi, M.] Univ Camerino, I-62032 Camerino, Italy; [Alegro, A.; Segota, V.] Univ Zagreb, Zagreb 41000, Croatia; [Asthana, A. K.; Gupta, R.; Singh, V. J.] CSIR Natl Bot Res Inst, Lucknow, Uttar Pradesh, India; [Bakalin, V. A.] Bot Garden Inst, Vladivostok, Russia; [Bednarek-Ochyra, H.; Cykowska-Marzencka, B.] Polish Acad Sci, W Szafer Inst Bot, Krakow, Poland; [Benitez, A.] Univ Tecn Particular Loja, Loja, Ecuador; [Borovichev, E. A.] RAS, North Kola Sci Ctr, Inst Ind Ecol Problems, Apatity, Russia; [Borovichev, E. A.; Vilnet, A. A.; Konstantinova, N. A.] RAS, Kola Sci Ctr, Polar Alpine Bot Garden Inst, Kirovsk, Russia; [Buck, W. R.] New York Bot Garden, New York, NY USA; [Cacciatoro, C.; Sergio, C.] Univ Lisbon, P-1699 Lisbon, Portugal; [Csiky, J.; Deme, J.; Kovacs, D.] Univ Pecs, Pecs, Hungary; [Damsholt, K.] Nat Hist Museum Denmark, Bot Museum, Copenhagen, Denmark; [Enroth, J.] Univ Helsinki, FIN-00014 Helsinki, Finland; [Fedosov, V. E.] Moscow MV Lomonosov State Univ, Moscow, Russia; [Fuertes, E.] Univ Acores, Ponta Delgada, Portugal; [Gradstein, S. R.; Reeb, C.] Museum Natl Hist Nat, Paris, France; [Gremmen, N. J. M.] Data Anal Ecol, Diever, Netherlands; [Hallingbaeck, T.] Swedish Univ Agr Sci, S-90183 Umea, Sweden; [Jukoniene, I.; Stoncius, D.] Inst Bot, Vilnius, Lithuania; [Kiebacher, T.] Swiss Fed Res Inst WSL, Birmensdorf, Switzerland; [Larrain, J.] Pontificia Univ Catolica Valparaiso, Valparaiso, Chile; [Lebouvier, M.] Univ Rennes 1, UMR 6553, CNRS, Rennes, France; [Mamontov, Yu. S.; Potemkin, A. D.] Komarov Bot Inst, St Petersburg, Russia; [Nemeth, Cs.] Szent Istvan Univ, Godollo, Hungary; [Nemeth, Cs.] Bot Garden Soroksor, Budapest, Hungary; [Nobis, M.; Wegrzyn, M.; Wietrzyk, P.] Jagiellonian Univ, PL-31007 Krakow, Poland; [Parnikoza, I.; Virchenko, V. M.] Natl Acad Sci, Kiev, Ukraine; [Peralta, D. F.; Carmo, D. M.] Inst Bot, Sao Paulo, Brazil; [Plasek, V.; Skoupa, Z.] Univ Ostrava, Ostrava, Czech Republic; [Poponessi, S.; Venanzoni, R.] Univ Perugia, Biol &amp; Biotechnol, Perugia, Italy; [Puche, F.; Segarra-Moragues, J. G.] Univ Valencia, E-46003 Valencia, Spain; [Purger, D.] BioRes, Budapest, Hungary; [Rios, R.; Rodriguez-Quiel, E.; Arrocha, C.] Univ Autonoma Chiriqui, David, Panama; [Sabovljevic, M. S.; Nikolic, N.; Sabovljevic, A. D.] Univ Belgrade, Belgrade, Serbia; [dos Santos, E. L.] Univ Fed Parana, BR-80060000 Curitiba, Parana, Brazil; [Stefanut, S.] Romanian Acad, Inst Biol Bucharest, Bucharest, Romania</t>
  </si>
  <si>
    <t>Natural History Museum London; University of Camerino; University of Zagreb; Council of Scientific &amp; Industrial Research (CSIR) - India; CSIR - National Botanical Research Institute (NBRI); Russian Academy of Sciences; Botanical Garden Institute of the Far Eastern Branch of the Russian Academy of Sciences; Polish Academy of Sciences; W. Szafer Institute of Botany of the Polish Academy of Sciences; Universidad Tecnica Particular de Loja; Russian Academy of Sciences; Kola Science Centre of the Russian Academy of Sciences; Institute of North Industrial Ecology Problems, Kola Science Centre of the Russian Academy of Sciences; Russian Academy of Sciences; Kola Science Centre of the Russian Academy of Sciences; New York Botanical Garden; Universidade de Lisboa; University of Pecs; University of Helsinki; Lomonosov Moscow State University; Universidade dos Acores; Museum National d'Histoire Naturelle (MNHN); Swedish University of Agricultural Sciences; Swiss Federal Institutes of Technology Domain; Swiss Federal Institute for Forest, Snow &amp; Landscape Research; Pontificia Universidad Catolica de Valparaiso; Centre National de la Recherche Scientifique (CNRS); CNRS - Institute of Ecology &amp; Environment (INEE); Universite de Rennes; Russian Academy of Sciences; Komarov Botanical Institute, Russian Academy of Sciences; Hungarian University of Agriculture &amp; Life Sciences; Jagiellonian University; National Academy of Sciences Ukraine; Instituto de Botanica - Sao Paulo; University of Ostrava; University of Perugia; University of Valencia; Universidad Autonoma de Chiriqui; University of Belgrade; Universidade Federal do Parana; Institute of Biology Bucharest; Romanian Academy of Sciences</t>
  </si>
  <si>
    <t>Fedosov, Vladimir E./P-7066-2014; Nobis, Marcin/AAA-9560-2020; Benitez, Angel/AAP-6478-2020; Bakalin, Vadim A./S-8876-2017; Wietrzyk-Pełka, Paulina/M-9724-2015; Borovichev, Eugene/U-9117-2017; Vilnet, Anna A/S-9055-2017; Sabovljevic, Marko S/ABC-8637-2020; Aleffi, Michele/R-4499-2019; Mamontov, Yuriy/T-2654-2017; Stefanut, Sorin/N-3318-2019; Stefanut, Sorin/GRO-5620-2022; Vitalii, Virchenko/AAD-5332-2020; Venanzoni, Roberto/AAD-2401-2020; Parnikoza, Ivan/I-2398-2016; Plasek, Vitezslav/D-8242-2014; Poponessi, Silvia/O-4526-2018; Enroth, Johannes/GLR-8836-2022; Konstantinova, Nadezhda/N-1845-2017; Jukoniene, Ilona/ACK-3261-2022; Stefanut, Sorin/B-9350-2011; Bednarek-Ochyra, Halina/K-7507-2012; Cykowska-Marzencka, Beata/K-2661-2017; Peralta, Denilson/D-3777-2015; Potemkin, Alexey/I-5467-2015</t>
  </si>
  <si>
    <t>Nobis, Marcin/0000-0002-1594-2418; Benitez, Angel/0000-0003-4579-1291; Bakalin, Vadim A./0000-0001-7897-4305; Wietrzyk-Pełka, Paulina/0000-0002-1324-2012; Sabovljevic, Marko S/0000-0001-5809-0406; Mamontov, Yuriy/0000-0003-3851-0738; Stefanut, Sorin/0000-0002-1061-8942; Venanzoni, Roberto/0000-0002-7768-0468; Plasek, Vitezslav/0000-0002-4664-2135; Stefanut, Sorin/0000-0002-1061-8942; Konstantinova, Nadezhda/0000-0002-7600-0512; Purger, Dragica/0000-0003-2480-0777; Vilnet, Anna/0000-0001-7779-2593; Cykowska-Marzencka, Beata/0000-0002-5468-4909; Larrain, Juan B./0000-0002-9423-6561; Peralta, Denilson/0000-0003-4304-7258; Rodriguez Quiel, Eyvar Elias/0000-0002-2954-8462; Wegrzyn, Michal/0000-0001-7638-4803; Sabovljevic, Aneta/0000-0003-3092-9972; Borovichev, Eugene/0000-0002-7310-6872; Potemkin, Alexey/0000-0003-4420-1704; Santos, Emanuelle/0000-0002-5383-6616; Fedosov, Vladimir/0000-0002-5331-6346; Bednarek-Ochyra, Halina/0000-0002-6994-8313</t>
  </si>
  <si>
    <t>Project of Spanish Ministry of Foreign Affairs [AECI A/8930/2007]; Komarov Botanical Institute research [01201255616]; Russian Foundation for Basic Research [15-04-03479, 16-04-01156]; Scientific basis of the national biobank - depository of the living systems (branch Plants) from Russian Science Foundation (RNF) [14-50-00029]; statutory fund of the W. Szafer Institute of Botany of the Polish Academy of Sciences; Institute of Biology Bucharest of Romanian Academy [RO1567-IBB03/2016]; Panama Atlantic Mesoamerican Biological Corridor, Phase II (CBMAP II) of the National Authority of the Environment (ANAM) [BIRF 7439-PAN]; Global Environment Facility (GEF), under the framework of component 3 of the National Information and Monitoring System for the Biological Diversity of Panama [GEF TF 056628]; Polish National Centre of Science [N N 303 796 940]; W. Szafer Institute of Botany of the Polish Academy of Sciences; programme of the French Polar Institute (IPEV) [136 ECOBIO]; Institute of Environmental Technologies [CZ. 1.05/2.1.00/03.0100]; National Feasibility Programme I of the Czech Republic [LO1208]; SYNTHESYS [DE-TAF-4436]; Moravian-Silesian Region [00955/RRC/2015]; National Antarctic Research Centre of the Ministry of Education and Science of the Ukraine; US National Science Agency; Russian Foundation for Basic Researches [15-34-20101]; Flora Briofitica Iberica VI, MINECO, Spain [GL-2013-40624P]; Russian Foundation of Basic Researches [15-04-03479, 15-34-20101]; [MK-2926.2015.4]</t>
  </si>
  <si>
    <t>Project of Spanish Ministry of Foreign Affairs; Komarov Botanical Institute research(Russian Academy of Sciences); Russian Foundation for Basic Research(Russian Foundation for Basic Research (RFBR)Spanish Government); Scientific basis of the national biobank - depository of the living systems (branch Plants) from Russian Science Foundation (RNF)(Russian Science Foundation (RSF)); statutory fund of the W. Szafer Institute of Botany of the Polish Academy of Sciences; Institute of Biology Bucharest of Romanian Academy; Panama Atlantic Mesoamerican Biological Corridor, Phase II (CBMAP II) of the National Authority of the Environment (ANAM); Global Environment Facility (GEF), under the framework of component 3 of the National Information and Monitoring System for the Biological Diversity of Panama; Polish National Centre of Science; W. Szafer Institute of Botany of the Polish Academy of Sciences; programme of the French Polar Institute (IPEV); Institute of Environmental Technologies; National Feasibility Programme I of the Czech Republic; SYNTHESYS; Moravian-Silesian Region; National Antarctic Research Centre of the Ministry of Education and Science of the Ukraine; US National Science Agency; Russian Foundation for Basic Researches(Russian Foundation for Basic Research (RFBR)); Flora Briofitica Iberica VI, MINECO, Spain; Russian Foundation of Basic Researches(Russian Foundation for Basic Research (RFBR));</t>
  </si>
  <si>
    <t>E. Fuertes' material-gathering campaign and stay in Uruguay was funded by Project AECI A/8930/2007 of the Spanish Ministry of Foreign Affairs. The study by Yu. S. Mamontov and A.D. Potemkin was carried out within the framework of the Komarov Botanical Institute research project 01201255616 and partially supported by the Russian Foundation for Basic Research, research projects No. 15-04-03479, 16-04-01156. The work of V. Fedosov was partly supported by Grant # 14-50-00029 Scientific basis of the national biobank - depository of the living systems (branch Plants) from Russian Science Foundation (RNF), and the contribution by Beata Cykowska-Marzencka was financially supported by the statutory fund of the W. Szafer Institute of Botany of the Polish Academy of Sciences. S.Stefanut, acknowledges the support by project no. RO1567-IBB03/2016 through the Institute of Biology Bucharest of Romanian Academy.r Logistic and financial support for the project by R. Rios, C. Arrocha and A. Benitez was provided partially by the Panama Atlantic Mesoamerican Biological Corridor, Phase II (CBMAP II) of the National Authority of the Environment (ANAM), through Loan Agreement No. BIRF 7439-PAN and Global Environment Facility (GEF) Grant No. GEF TF 056628, under the framework of component 3 of the National Information and Monitoring System for the Biological Diversity of Panama. Research permits by ANAM and field assistance by its park rangers is gratefully acknowledged. The curators at the herbaria USJ and PMA are thanked for the loan of specimens and the PMA staff are thanked for help and hospitality.r The contributions by H. Bednarek-Ochyra have been financially supported by the Polish National Centre of Science through grant No. N N 303 796 940 for H. Bednarek-Ochyra and was also financed in part through the statutory fund of the W. Szafer Institute of Botany of the Polish Academy of Sciences. She also thanks the curators at COLO and MO for the loan of the herbarium material. The field work of Marc Lebouvier on Iles Crozet was organized within the programme 136 ECOBIO of the French Polar Institute (IPEV). The contributions by V. Plasek are part of research projects of the Institute of Environmental Technologies, reg. No. CZ. 1.05/2.1.00/03.0100, the National Feasibility Programme I of the Czech Republic Project LO1208 and SYNTHESYS project DE-TAF-4436. His stay in the Chinese National Herbarium in Beijing (PE) was financially supported by Moravian-Silesian Region grant No. 00955/RRC/2015 promoting bilateral cooperation between the Czech and Chinese universities and research organizations. The contribution by I. Parnikoza gained the financial support of the National Antarctic Research Centre of the Ministry of Education and Science of the Ukraine and US National Science Agency, especially V. Papitashvili. He also thanks D. Pilipenko for assistance in field work. His research was performed as part of the national targeted scientific and technological programme of research in the Antarctic for 2011-2020 and in accordance with an agreement on the scientific cooperation between the Polish Academy of Sciences and the National Academy of Sciences of the Ukraine under the project Adaptive strategy of mutual survival of organisms in extreme environmental conditions (2015-2017). The work of V. Bakalin was partly supported by a grant from the Russian Foundation for Basic Researches (15-34-20101). V. M. Virchenko thanks Prof. Dr R. Ochyra, Krakow, Poland, for the determination of the specimen of Schistidium helveticum and for his comments on the manuscript.; r r J. G. Segarra-Moragues, and F. Puche thank R. H. Zander for confirming the identity of their specimens. Thier study was partially funded by the project Flora Briofitica Iberica VI (GL-2013-40624P), MINECO, Spain. P. Erzberger would like to thank Beata Papp, curator of bryophytes at BP, for the loan of specimens, and Jozsef Nagy for submitting his collections from the Borzsony Mountains to him.r The work of E. A. Borovichev, A. A. Vilnet and N. A. Konstantinova was partially supported by the President's Program for support of PhD researches (MK-2926.2015.4) and Russian Foundation of Basic Researches (grants no. 15-04-03479, 15-34-20101). The contribution of I. Jukoniene. was in connection with the long-term programme of the Nature Research Centre Biological diversity investigations and projections under conditions of global change and anthropogenic activity.</t>
  </si>
  <si>
    <t>10.1080/03736687.2016.1206685</t>
  </si>
  <si>
    <t>DU4VI</t>
  </si>
  <si>
    <t>WOS:000382210300007</t>
  </si>
  <si>
    <t>Snow, K; Hogg, AM; Sloyan, BM; Downes, SM</t>
  </si>
  <si>
    <t>Snow, Kate; Hogg, Andrew McC.; Sloyan, Bernadette M.; Downes, Stephanie M.</t>
  </si>
  <si>
    <t>Sensitivity of Antarctic Bottom Water to Changes in Surface Buoyancy Fluxes</t>
  </si>
  <si>
    <t>Geographic location; entity; Southern Ocean; Circulation; Dynamics; Abyssal circulation; Bottom currents; Buoyancy; Deep convection; Physical Meteorology and Climatology; Surface fluxes</t>
  </si>
  <si>
    <t>WESTERN SOUTH-ATLANTIC; SEA-LEVEL RISE; CIRCUMPOLAR DEEP-WATER; FRESH-WATER; OCEAN CIRCULATION; TIME SCALES; GLOBAL HEAT; ICE; CLIMATE; TRENDS</t>
  </si>
  <si>
    <t>The influence of freshwater and heat flux changes on Antarctic Bottom Water (AABW) properties are investigated within a realistic bathymetry coupled ocean-ice sector model of the Atlantic Ocean. The model simulations are conducted at eddy-permitting resolution where dense shelf water production dominates over open ocean convection in forming AABW. Freshwater and heat flux perturbations are applied independently and have contradictory surface responses, with increased upper-ocean temperature and reduced ice formation under heating and the opposite under increased freshwater fluxes. AABW transport into the abyssal ocean reduces under both flux changes, with the reduction in transport being proportional to the net buoyancy flux anomaly south of 60 degrees S.Through inclusion of shelf-sourced AABW, a process absent from most current generation climate models, cooling and freshening of dense source water is facilitated via reduced on-shelf/off-shelf exchange flow. Such cooling is propagated to the abyssal ocean, while compensating warming in the deep ocean under heating introduces a decadal-scale variability of the abyssal water masses. This study emphasizes the fundamental role buoyancy plays in controlling AABW, as well as the importance of the inclusion of shelf-sourced AABW within climate models in order to attain the complete spectrum of possible climate change responses.</t>
  </si>
  <si>
    <t>[Snow, Kate; Hogg, Andrew McC.; Downes, Stephanie M.] Australian Natl Univ, Res Sch Earth Sci, Canberra, ACT, Australia; [Snow, Kate; Hogg, Andrew McC.; Downes, Stephanie M.] Australian Natl Univ, ARC Ctr Excellence Climate Syst Sci, Canberra, ACT, Australia; [Sloyan, Bernadette M.] CSIRO, Ocean &amp; Atmosphere Flagship, Hobart, Tas, Australia; [Downes, Stephanie M.] Univ Tasmania, Antarctic Climate &amp; Ecosyst Cooperat Res Ctr, Hobart, Tas, Australia</t>
  </si>
  <si>
    <t>Australian National University; ARC Centre of Excellence for Climate System Science; Australian National University; Commonwealth Scientific &amp; Industrial Research Organisation (CSIRO); Antarctic Climate &amp; Ecosystems Cooperative Research Centre (ACE CRC); University of Tasmania</t>
  </si>
  <si>
    <t>Snow, K (corresponding author), Australian Natl Univ, Res Sch Earth Sci, Mills Rd, Acton, ACT 2601, Australia.</t>
  </si>
  <si>
    <t>kate.snow@anu.edu.au</t>
  </si>
  <si>
    <t>Sloyan, Bernadette/N-8989-2014; Hogg, Andy McC./A-7553-2011; Downes, Stephanie/A-1424-2012; Hogg, Andy/AAZ-8733-2021</t>
  </si>
  <si>
    <t>Sloyan, Bernadette/0000-0003-0250-0167; Hogg, Andy McC./0000-0001-5898-7635; Hogg, Andy/0000-0001-5898-7635</t>
  </si>
  <si>
    <t>Australian Government Department of the Environment; CSIRO through the Australian Climate Change Science Programme; Australian Research Council [FT120100842]; Australian Government Business Cooperative Research Centres Programme through the Antarctic Climate and Ecosystems Cooperative Research Centre (ACE CRC); Australian Research Council [FT120100842] Funding Source: Australian Research Council</t>
  </si>
  <si>
    <t>Australian Government Department of the Environment(Australian Government); CSIRO through the Australian Climate Change Science Programme; Australian Research Council(Australian Research Council); Australian Government Business Cooperative Research Centres Programme through the Antarctic Climate and Ecosystems Cooperative Research Centre (ACE CRC)(Australian GovernmentDepartment of Industry, Innovation and ScienceCooperative Research Centres (CRC) Programme); Australian Research Council(Australian Research Council)</t>
  </si>
  <si>
    <t>We thank the three anonymous reviewers for their efforts and thoughtful comments. This work was undertaken using the National Facility of the National Computational Infrastructure at the ANU. BMS was supported by the Australian Government Department of the Environment and CSIRO through the Australian Climate Change Science Programme. AMH was supported by an Australian Research Council Future Fellowship FT120100842. SMD was supported by the Australian Government Business Cooperative Research Centres Programme through the Antarctic Climate and Ecosystems Cooperative Research Centre (ACE CRC).</t>
  </si>
  <si>
    <t>10.1175/JCLI-D-15-0467.1</t>
  </si>
  <si>
    <t>CZ9QP</t>
  </si>
  <si>
    <t>WOS:000367432400001</t>
  </si>
  <si>
    <t>Tolomeo, AM; Carraro, A; Bakiu, R; Toppo, S; Place, SP; Ferro, D; Santovito, G</t>
  </si>
  <si>
    <t>Tolomeo, A. M.; Carraro, A.; Bakiu, R.; Toppo, S.; Place, S. P.; Ferro, D.; Santovito, G.</t>
  </si>
  <si>
    <t>Peroxiredoxin 6 from the Antarctic emerald rockcod: molecular characterization of its response to warming</t>
  </si>
  <si>
    <t>JOURNAL OF COMPARATIVE PHYSIOLOGY B-BIOCHEMICAL SYSTEMS AND ENVIRONMENTAL PHYSIOLOGY</t>
  </si>
  <si>
    <t>Antarctica; Fish; Gene expression; Molecular evolution; Peroxiredoxins</t>
  </si>
  <si>
    <t>LIPID-CONTENT; FISH; EVOLUTION; EXPRESSION; GENE; SEQUENCE; REQUIRES; CLONING; MODELS; RED</t>
  </si>
  <si>
    <t>In the present study, we describe the purification and molecular characterization of two peroxiredoxins (Prdxs), referred to as Prdx6A and Prdx6B, from Trematomus bernacchii, a teleost widely distributed in many areas of Antarctica, that plays a pivotal role in the Antarctic food chain. The two putative amino acid sequences were compared with Prdx6 orthologs from other fish, highlighting a high percentage of identity and similarity with the respective variant, in particular for the residues that are essential for the characteristic peroxidase and phospholipase activities of these enzymes. Phylogenetic analyses suggest the appearance of the two prdx6 genes through a duplication event before the speciation that led to the differentiation of fish families and that the evolution of the two gene variants seems to proceed together with the evolution of fish orders and families. The temporal expression of Prdx6 mRNA in response to short-term thermal stress showed a general upregulation of prdx6b and inhibition of prdx6a, suggesting that the latter is the variant most affected by temperature increase. The variations of mRNA accumulation are more conspicuous in heart than the liver, probably related to behavioral changes of the specimens in response to elevated temperature. These data, together with the peculiar differences between the molecular structures of the two Prdx6s in T. bernacchii as well as in the tropical species Stegastes partitus, suggest an adaptation that allowed these poikilothermic aquatic vertebrates to colonize very different environments, characterized by different temperature ranges.</t>
  </si>
  <si>
    <t>[Tolomeo, A. M.; Carraro, A.; Santovito, G.] Univ Padua, Dept Biol, I-35100 Padua, Italy; [Bakiu, R.] Agr Univ Tirana, Dept Fisheries &amp; Aquaculture, Tirana, Albania; [Toppo, S.] Univ Padua, Dept Mol Med, I-35100 Padua, Italy; [Place, S. P.] Sonoma State Univ, Dept Biol, Rohnert Pk, CA 94928 USA; [Ferro, D.] Univ Munster, Inst Evolut &amp; Biodivers, D-48149 Munster, Germany</t>
  </si>
  <si>
    <t>University of Padua; University of Padua; California State University System; Sonoma State University; University of Munster</t>
  </si>
  <si>
    <t>Santovito, G (corresponding author), Univ Padua, Dept Biol, Via U Bassi 58-B, I-35100 Padua, Italy.</t>
  </si>
  <si>
    <t>gianfranco.santovito@unipd.it</t>
  </si>
  <si>
    <t>Toppo, Stefano/Z-5479-2019; Tolomeo, Anna Maria/AAA-2275-2022; Carraro, Andrea/AAG-4437-2019; Ferro, Diana/HKM-9570-2023; Santovito, Gianfranco/ABB-9484-2021; Bakiu, Rigers/AFC-7827-2022</t>
  </si>
  <si>
    <t>Toppo, Stefano/0000-0002-0246-3119; Tolomeo, Anna Maria/0000-0001-5077-0845; Carraro, Andrea/0000-0001-9564-9491; Ferro, Diana/0000-0003-1774-7509; Santovito, Gianfranco/0000-0001-8260-7006; Bakiu, Rigers/0000-0002-9613-4606</t>
  </si>
  <si>
    <t>Italian National Program for Antarctic Research (PNRA); Directorate For Geosciences; Office of Polar Programs (OPP) [1447291] Funding Source: National Science Foundation</t>
  </si>
  <si>
    <t>Italian National Program for Antarctic Research (PNRA); Directorate For Geosciences; Office of Polar Programs (OPP)(National Science Foundation (NSF)NSF - Directorate for Geosciences (GEO))</t>
  </si>
  <si>
    <t>This research was supported by the Italian National Program for Antarctic Research (PNRA).</t>
  </si>
  <si>
    <t>0174-1578</t>
  </si>
  <si>
    <t>1432-136X</t>
  </si>
  <si>
    <t>J COMP PHYSIOL B</t>
  </si>
  <si>
    <t>J. Comp. Physiol. B-Biochem. Syst. Environ. Physiol.</t>
  </si>
  <si>
    <t>10.1007/s00360-015-0935-3</t>
  </si>
  <si>
    <t>Physiology; Zoology</t>
  </si>
  <si>
    <t>DA9EV</t>
  </si>
  <si>
    <t>WOS:000368112200004</t>
  </si>
  <si>
    <t>Yokokawa, M</t>
  </si>
  <si>
    <t>Yokokawa, Miwa</t>
  </si>
  <si>
    <t>Cyclic Steps on Ice: Spiral Troughs on Mars' North Polar Ice Cap and Analogue Experiments</t>
  </si>
  <si>
    <t>JOURNAL OF GEOGRAPHY-CHIGAKU ZASSHI</t>
  </si>
  <si>
    <t>Mars' North polar ice cap; spiral troughs; ice; cyclic steps; analogue experiments</t>
  </si>
  <si>
    <t>Spiral troughs are known to exist on the polar ice caps of Mars. The formative conditions of the troughs, which should be affected by Martian climate processes, have been sources of much debate. Recently, they have been interpreted to be cyclic steps formed by katabatic winds blowing over the ice. Cyclic steps are spatially periodic bedforms observed on relatively steep slopes, characterized by regular upstream-migrating steps delineated by hydraulic jumps. They are relatives of upstream-migrating antidunes. Boundary waves often form at the interface between ice and fluid flowing adjacent to it. Examples include ripples on the underside of a river ice cover and steps on the bed of a supraglacial meltwater channel. Waves on ice may also be formed by wind, such as megadunes observed on the Antarctic ice sheet. There have been, however, few experimental studies on the formation of either cyclic steps or upstream-migrating antidunes on ice. The first part of this paper introduces features of spiral troughs on Mars' North Polar ice cap and recent hypotheses interpreting spiral troughs as cyclic steps created by katabatic winds. The cyclic step framework can explain trough initiation, migration, and all of the major physical characteristics of spiral troughs. The latter part of this paper introduces an analogue experiment on the formation of cyclic steps on ice by flowing water, with the aim of understanding the process whereby spiral troughs are formed on Mars' ice caps. Trains of steps form when the Froude number is larger than a value around unity. The features of those steps allow them to be identified as ice-bed analogs of cyclic steps in alluvial and bedrock rivers. Moreover, the results of experiments fall into a region where a linear stability analysis predicts interfacial instability.</t>
  </si>
  <si>
    <t>[Yokokawa, Miwa] Osaka Inst Technol, Fac Informat Sci &amp; Technol, Osaka 5730196, Japan</t>
  </si>
  <si>
    <t>Osaka Institute of Technology</t>
  </si>
  <si>
    <t>Yokokawa, M (corresponding author), Osaka Inst Technol, Fac Informat Sci &amp; Technol, Osaka 5730196, Japan.</t>
  </si>
  <si>
    <t>Grants-in-Aid for Scientific Research [24654165] Funding Source: KAKEN</t>
  </si>
  <si>
    <t>Grants-in-Aid for Scientific Research(Ministry of Education, Culture, Sports, Science and Technology, Japan (MEXT)Japan Society for the Promotion of ScienceGrants-in-Aid for Scientific Research (KAKENHI))</t>
  </si>
  <si>
    <t>TOKYO GEOGRAPHICAL SOC</t>
  </si>
  <si>
    <t>12-2 NIBANCHO, CHIYODAKU-KU, TOKYO, 102-0084, JAPAN</t>
  </si>
  <si>
    <t>0022-135X</t>
  </si>
  <si>
    <t>1884-0884</t>
  </si>
  <si>
    <t>J GEOGR-TOKYO</t>
  </si>
  <si>
    <t>J. Geogr.</t>
  </si>
  <si>
    <t>10.5026/jgeography.125.91</t>
  </si>
  <si>
    <t>VG3DW</t>
  </si>
  <si>
    <t>WOS:000446312500007</t>
  </si>
  <si>
    <t>Hirano, D; Fukamachi, Y; Watanabe, E; Ohshima, KI; Iwamoto, K; Mahoney, AR; Eicken, H; Simizu, D; Tamura, T</t>
  </si>
  <si>
    <t>Hirano, Daisuke; Fukamachi, Yasushi; Watanabe, Eiji; Ohshima, Kay I.; Iwamoto, Katsushi; Mahoney, Andrew R.; Eicken, Hajo; Simizu, Daisuke; Tamura, Takeshi</t>
  </si>
  <si>
    <t>A wind-driven, hybrid latent and sensible heat coastal polynya off Barrow, Alaska</t>
  </si>
  <si>
    <t>hybrid coastal polynya; sea ice production; upwelling; ocean heat flux; Arctic Ocean</t>
  </si>
  <si>
    <t>NORTH WATER POLYNYA; THIN ICE THICKNESS; SEA-ICE; ARCTIC-OCEAN; CHUKCHI SEA; INTERANNUAL VARIABILITY; BERING STRAIT; BAFFIN-BAY; HALOCLINE; CIRCULATION</t>
  </si>
  <si>
    <t>The nature of the Barrow Coastal Polynya (BCP), which forms episodically off the Alaska coast in winter, is examined using mooring data, atmospheric reanalysis data, and satellite-derived sea-ice concentration and production data. We focus on oceanographic conditions such as water mass distribution and ocean current structure beneath the BCP. Two moorings were deployed off Barrow, Alaska in the northeastern Chukchi Sea from August 2009 to July 2010. For sea-ice season from December to May, a characteristic sequence of five events associated with the BCP has been identified; (1) dominant northeasterly wind parallel to the Barrow Canyon, with an offshore component off Barrow, (2) high sea-ice production, (3) upwelling of warm and saline Atlantic Water beneath the BCP, (4) strong up-canyon shear flow associated with displaced density surfaces due to the upwelling, and (5) sudden suppression of ice growth. A baroclinic current structure, established after the upwelling, caused enhanced vertical shear and corresponding vertical mixing. The mixing event and open water formation occurred simultaneously, once sea-ice production had stopped. Thus, mixing events accompanied by ocean heat flux from the upwelled warm water into the surface layer played an important role in formation/maintenance of the open water area (i.e., sensible heat polynya). The transition from a latent to a sensible heat polynya is well reproduced by a high-resolution pan-Arctic ice-ocean model. We propose that the BCP, previously considered to be a latent heat polynya, is a wind-driven hybrid latent and sensible heat polynya, with both features caused by the same northeasterly wind.</t>
  </si>
  <si>
    <t>[Hirano, Daisuke; Iwamoto, Katsushi; Simizu, Daisuke; Tamura, Takeshi] Natl Inst Polar Res, Tachikawa, Tokyo, Japan; [Fukamachi, Yasushi; Ohshima, Kay I.] Hokkaido Univ, Inst Low Temp Sci, Sapporo, Hokkaido 060, Japan; [Watanabe, Eiji] Japan Agcy Marine Earth Sci &amp; Technol, 2-15 Natsushimacho, Yokosuka, Kanagawa 2370061, Japan; [Iwamoto, Katsushi] Niigata Univ, Fac Sci, Niigata 95021, Japan; [Mahoney, Andrew R.] Univ Alaska Fairbanks, Inst Geophys, Fairbanks, AK 99775 USA; [Eicken, Hajo] Univ Alaska Fairbanks, Int Arctic Res Ctr, Fairbanks, AK USA; [Tamura, Takeshi] Grad Univ Adv Studies, Tachikawa, Tokyo, Japan; [Tamura, Takeshi] Univ Tasmania, Antarctic Climate &amp; Ecosyst Cooperat Res Ctr, Hobart, Tas, Australia</t>
  </si>
  <si>
    <t>Research Organization of Information &amp; Systems (ROIS); National Institute of Polar Research (NIPR) - Japan; Hokkaido University; Japan Agency for Marine-Earth Science &amp; Technology (JAMSTEC); Niigata University; University of Alaska System; University of Alaska Fairbanks; University of Alaska System; University of Alaska Fairbanks; Graduate University for Advanced Studies - Japan; University of Tasmania; Antarctic Climate &amp; Ecosystems Cooperative Research Centre (ACE CRC)</t>
  </si>
  <si>
    <t>Hirano, D (corresponding author), Natl Inst Polar Res, Tachikawa, Tokyo, Japan.</t>
  </si>
  <si>
    <t>hirano.daisuke@nipr.ac.jp</t>
  </si>
  <si>
    <t>Eicken, Hajo/M-6901-2016; Fukamachi, Yasushi/D-1895-2012; Ohshima, Kay I/D-6909-2012; WATANABE, EIJI/C-2797-2009; Hirano, Daisuke/P-3963-2019</t>
  </si>
  <si>
    <t>Fukamachi, Yasushi/0000-0001-5798-9380; SIMIZU, Daisuke/0000-0003-4214-6756</t>
  </si>
  <si>
    <t>Scientific Research [20221001, 23654163, 24810030, 26740007, 26800248]; Green Network of Excellence (GRENE) Arctic Climate Change Research Project of Ministry of Education, Culture, Sports, Science and Technology; Joint Research Program of Institute of Low Temperature Science, Hokkaido University in Japan; National Science Foundation Seasonal Ice Zone Observing Network [OPP-0856867]; Grants-in-Aid for Scientific Research [26740007, 26800248, 15H03721] Funding Source: KAKEN; Office of Polar Programs (OPP); Directorate For Geosciences [0856867] Funding Source: National Science Foundation</t>
  </si>
  <si>
    <t>Scientific Research(Spanish Government); Green Network of Excellence (GRENE) Arctic Climate Change Research Project of Ministry of Education, Culture, Sports, Science and Technology; Joint Research Program of Institute of Low Temperature Science, Hokkaido University in Japan; National Science Foundation Seasonal Ice Zone Observing Network; Grants-in-Aid for Scientific Research(Ministry of Education, Culture, Sports, Science and Technology, Japan (MEXT)Japan Society for the Promotion of ScienceGrants-in-Aid for Scientific Research (KAKENHI)); Office of Polar Programs (OPP); Directorate For Geosciences(National Science Foundation (NSF)NSF - Directorate for Geosciences (GEO))</t>
  </si>
  <si>
    <t>We thank UIC Science and CH2MHill Polar Services for planning and field support in Barrow and the North Slope Borough Department of Wildlife Management for use of their boat and assistance from their staff. The AMSR-E data were provided by the National Snow and Ice Data Center (NSIDC), University of Colorado. The ERA-Interim data were obtained from the ECMWF Research Data Server (http://data.ecmf.int/data/). Modeling experiments were executed using Earth Simulator of Japan Agency for Marine-Earth Science and Technology (JAMSTEC). We are also grateful to Hiroyasu Hasumi, Kohei Mizobata, Motoyo Itoh, Yusuke Kawaguchi, Shigeto Nishino, and Takashi Kikuchi for their useful comments. This work was supported by Grants-in-Aids for Scientific Research (20221001, 23654163, 24810030, 26740007, and 26800248), the Green Network of Excellence (GRENE) Arctic Climate Change Research Project of the Ministry of Education, Culture, Sports, Science and Technology, and the Joint Research Program of the Institute of Low Temperature Science, Hokkaido University in Japan, and by the National Science Foundation Seasonal Ice Zone Observing Network award OPP-0856867. Valuable comments from two anonymous reviewers are greatly appreciated.</t>
  </si>
  <si>
    <t>10.1002/2015JC011318</t>
  </si>
  <si>
    <t>Bronze, Green Accepted</t>
  </si>
  <si>
    <t>WOS:000371432200055</t>
  </si>
  <si>
    <t>Rodger, CJ; Cresswell-Moorcock, K; Clilverd, MA</t>
  </si>
  <si>
    <t>Rodger, Craig J.; Cresswell-Moorcock, Kathy; Clilverd, Mark A.</t>
  </si>
  <si>
    <t>Nature's Grand Experiment: Linkage between magnetospheric convection and the radiation belts</t>
  </si>
  <si>
    <t>JOURNAL OF GEOPHYSICAL RESEARCH-SPACE PHYSICS</t>
  </si>
  <si>
    <t>radiation belt electrons; magnetospheric substorms; solar wind speed; magnetospheric convection; whistler mode chorus</t>
  </si>
  <si>
    <t>SOLAR-WIND; ACCELERATION; PRECIPITATION; MINIMUM; LONG; ELECTRONS; SAMPEX; CHORUS; WAVES</t>
  </si>
  <si>
    <t>The solar minimum of 2007-2010 was unusually deep and long lived. In the later stages of this period the electron fluxes in the radiation belts dropped to extremely low levels. The flux of relativistic electrons (&gt;1MeV) was significantly diminished and at times was below instrument thresholds both for spacecraft located in geostationary orbits and also those in low-Earth orbit. This period has been described as a natural Grand Experiment allowing us to test our understanding of basic radiation belt physics and in particular the acceleration mechanisms which lead to enhancements in outer belt relativistic electron fluxes. Here we test the hypothesis that processes which initiate repetitive substorm onsets drive magnetospheric convection, which in turn triggers enhancement in whistler mode chorus that accelerates radiation belt electrons to relativistic energies. Conversely, individual substorms would not be associated with radiation belt acceleration. Contrasting observations from multiple satellites of energetic and relativistic electrons with substorm event lists, as well as chorus measurements, show that the data are consistent with the hypothesis. We show that repetitive substorms are associated with enhancements in the flux of energetic and relativistic electrons and enhanced whistler mode wave intensities. The enhancement in chorus wave power starts slightly before the repetitive substorm epoch onset. During the 2009/2010 period the only relativistic electron flux enhancements that occurred were preceded by repeated substorm onsets, consistent with enhanced magnetospheric convection as a trigger.</t>
  </si>
  <si>
    <t>[Rodger, Craig J.; Cresswell-Moorcock, Kathy] Univ Otago, Dept Phys, Dunedin, New Zealand; [Clilverd, Mark A.] British Antarctic Survey, NERC, Cambridge, England</t>
  </si>
  <si>
    <t>University of Otago; UK Research &amp; Innovation (UKRI); Natural Environment Research Council (NERC); NERC British Antarctic Survey</t>
  </si>
  <si>
    <t>Rodger, CJ (corresponding author), Univ Otago, Dept Phys, Dunedin, New Zealand.</t>
  </si>
  <si>
    <t>crodger@physics.otago.ac.nz</t>
  </si>
  <si>
    <t>Rodger, Craig/A-1501-2011</t>
  </si>
  <si>
    <t>Rodger, Craig J./0000-0002-6770-2707</t>
  </si>
  <si>
    <t>University of Otago; NERC [bas0100031] Funding Source: UKRI; Natural Environment Research Council [bas0100031] Funding Source: researchfish</t>
  </si>
  <si>
    <t>University of Otago; NERC(UK Research &amp; Innovation (UKRI)Natural Environment Research Council (NERC)); Natural Environment Research Council(UK Research &amp; Innovation (UKRI)Natural Environment Research Council (NERC))</t>
  </si>
  <si>
    <t>The authors would like to thank the researchers and engineers of NOAA's Space Environment Center for the provision of the data and the operation of the SEM-2 instrument carried on board these spacecraft and the many individuals involved in the operation of SAMPEX over 20 years. K.C.-M. was supported by the University of Otago via Summer Studentship and a PhD scholarship. For the SuperMAG substorm lists we gratefully acknowledge the following: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Conners; DTU Space, PI Jurgen Matzka; South Pole and McMurdo Magnetometer, PIs Louis J. Lanzarotti and Alan T. Weatherwax; ICESTAR; RAPIDMAG; PENGUIn; British Antarctic Survey; McMac, PI Peter Chi; BGS, PI Susan Macmillan; Pushkov Institute of Terrestrial Magnetism, Ionosphere and Radio Wave Propagation (IZMIRAN); GFZ, PI Jurgen Matzka; MFGI, PI B. Heilig; IGFPAS, PI J. Reda; University of L'Aquila, PI M. Vellante; and SuperMAG, PI Jesper W. Gjerloev. For the GOES and POES data we acknowledge the Space Weather Prediction Center, Boulder, CO, National Oceanic and Atmospheric Administration (NOAA), U.S. Department of Commerce. Data availability is described at the following websites: http://www.srl.caltech.edu/sampex/DataCenter/index.html (SAMPEX), http://satdat.ngdc.noaa.gov/sem/poes/data/ (POES SEM-2), http://Demeter.cnrs-orleans.fr/ (Demeter) and http://supermag.jhuapl.edu/substorm/ (SuperMAG), wdc.kugi.kyoto-u.ac.jp (AE and Kp), ftp://spdf.gsfc.nasa.gov/pub/data/omni/high_res_omni/monthly_1min/ (solar wind speed), ftp://spdf.gsfc.nasa.gov/pub/data/omni/high_res_omni/ (GOES protons), and http://satdat.ngdc.noaa.gov/sem/goes/data/new_avg/YYYY/MM/goesXX/csv/ (GOES electrons).</t>
  </si>
  <si>
    <t>2169-9380</t>
  </si>
  <si>
    <t>2169-9402</t>
  </si>
  <si>
    <t>J GEOPHYS RES-SPACE</t>
  </si>
  <si>
    <t>J. Geophys. Res-Space Phys.</t>
  </si>
  <si>
    <t>10.1002/2015JA021537</t>
  </si>
  <si>
    <t>DF2CJ</t>
  </si>
  <si>
    <t>WOS:000371146900013</t>
  </si>
  <si>
    <t>Cnossen, I; Förster, M</t>
  </si>
  <si>
    <t>Cnossen, Ingrid; Foerster, Matthias</t>
  </si>
  <si>
    <t>North-south asymmetries in the polar thermosphere-ionosphere system: Solar cycle and seasonal influences</t>
  </si>
  <si>
    <t>ionosphere; thermosphere; high latitude; neutral wind; plasma drift; magnetic field</t>
  </si>
  <si>
    <t>LATITUDE PLASMA CONVECTION; INTERPLANETARY MAGNETIC-FIELD; GENERAL-CIRCULATION MODEL; DAWN-DUSK ASYMMETRY; LATENT-HEAT RELEASE; IMF-DEPENDENCE; CLUSTER EDI; MAGNETOSPHERE; RESPONSES; TIDES</t>
  </si>
  <si>
    <t>Previous studies have revealed that ion drift and neutral wind speeds at similar to 400km in the polar cap (&gt;80 degrees magnetic latitude) are on average larger in the Northern Hemisphere (NH) than in the Southern Hemisphere, which is at least partly due to asymmetry in the geomagnetic field. Here we investigate for the first time how these asymmetries depend on season and on solar/geomagnetic activity levels. Ion drift measurements from the Cluster mission show little seasonal dependence in their north-south asymmetry when all data (February 2001-December 2013) are used, but the asymmetry disappears around June solstice for high solar activity and around December solstice for low solar activity. Neutral wind speeds in the polar cap obtained from the Challenging Minisatellite Payload spacecraft (January 2002-December 2008) are always larger in the summer hemisphere, regardless of solar activity, but the high-latitude neutral wind vortices at dawn and dusk tend to be stronger in the NH, except around December solstice, in particular, when solar activity is low. Simulations with the Coupled Magnetosphere-Ionosphere-Thermosphere (CMIT) more or less capture the behavior of the ion drift speeds, which can be explained as a superposition of seasonal and geomagnetic field effects, with the former being stronger for higher solar activity. The behavior of the neutral wind speed and vorticity is not accurately captured by the model. This is probably due to an incorrect seasonal cycle in plasma density around similar to 400km in CMIT, which affects the ion drag force. This must be addressed in future work.</t>
  </si>
  <si>
    <t>[Cnossen, Ingrid] British Antarctic Survey, Cambridge CB3 0ET, England; [Foerster, Matthias] GFZ German Res Ctr Geosci, Potsdam, Germany</t>
  </si>
  <si>
    <t>UK Research &amp; Innovation (UKRI); Natural Environment Research Council (NERC); NERC British Antarctic Survey; Helmholtz Association; Helmholtz-Center Potsdam GFZ German Research Center for Geosciences</t>
  </si>
  <si>
    <t>Cnossen, I (corresponding author), British Antarctic Survey, Cambridge CB3 0ET, England.</t>
  </si>
  <si>
    <t>inos@bas.ac.uk</t>
  </si>
  <si>
    <t>Cnossen, Ingrid/E-5809-2010</t>
  </si>
  <si>
    <t>Cnossen, Ingrid/0000-0001-6469-7861; Foerster, Matthias/0000-0002-1104-2471</t>
  </si>
  <si>
    <t>Natural Environment Research Council (NERC) [NE/J018058/1]; National Science Foundation; Space Agency of the German Aerospace Center (DLR) through Federal Ministry of Economics and Technology [50EE0944]; Natural Environment Research Council [bas0100031, NE/J018058/1] Funding Source: researchfish; NERC [bas0100031, NE/J018058/1] Funding Source: UKRI</t>
  </si>
  <si>
    <t>Natural Environment Research Council (NERC)(UK Research &amp; Innovation (UKRI)Natural Environment Research Council (NERC)); National Science Foundation(National Science Foundation (NSF)); Space Agency of the German Aerospace Center (DLR) through Federal Ministry of Economics and Technology(Helmholtz AssociationGerman Aerospace Centre (DLR));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</si>
  <si>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Ingrid Cnossen was funded by Natural Environment Research Council (NERC) fellowship NE/J018058/1. We acknowledge the International Space Science Institute for support for our international team on Magnetosphere-Ionosphere-Thermosphere Coupling: Differences and similarities between the two hemispheres. The CMIT simulations were performed on the Yellowstone high-performance computing facility (ark:/85065/d7wd3xhc) provided by the Computational and Information Systems Laboratory of the National Centre for Atmospheric Research, sponsored by the National Science Foundation. We thank Nick Pedatella for providing us with plots of COSMIC electron density data for comparison with CMIT results. CHAMP data can be obtained from the Information System and Data Center for geoscientific data hosted by GFZ Potsdam at: http://isdc.gfz-potsdam.de/index.php. The CHAMP mission was sponsored by the Space Agency of the German Aerospace Center (DLR) through funds of the Federal Ministry of Economics and Technology, following a decision of the German Federal Parliament (grant code 50EE0944). Cluster data can be obtained from the Cluster Active Archive hosted by the European Space Agency at: http://caa.estec.esa.int/caa/. Modeling results will be published as a separate data set under doi:10/8bm.I. Cnossen can be contacted for further information on these data or for additional modeling results.</t>
  </si>
  <si>
    <t>10.1002/2015JA021750</t>
  </si>
  <si>
    <t>Green Published, Green Accepted, Bronze</t>
  </si>
  <si>
    <t>WOS:000371146900045</t>
  </si>
  <si>
    <t>Berger, S; Favier, L; Drews, R; Derwael, JJ; Pattyn, F</t>
  </si>
  <si>
    <t>Berger, Sophie; Favier, Lionel; Drews, Reinhard; Derwael, Jean-Jacques; Pattyn, Frank</t>
  </si>
  <si>
    <t>The control of an uncharted pinning point on the flow of an Antarctic ice shelf</t>
  </si>
  <si>
    <t>ice rheology; ice shelves; ice velocity; ice-sheet modelling; remote sensing</t>
  </si>
  <si>
    <t>SATELLITE RADAR; GROUNDING-ZONE; OUTLET GLACIER; SHEET; EVOLUTION; COLLAPSE; MOTION; INTERFEROMETRY; EMBAYMENT; SURFACE</t>
  </si>
  <si>
    <t>Antarctic ice shelves are buttressed by numerous pinning points attaching to the otherwise freely-floating ice from below. Some of these kilometric-scale grounded features are unresolved in Antarctic-wide datasets of ice thickness and bathymetry, hampering ice flow models to fully capture dynamics at the grounding line and upstream. We investigate the role of an 8.7 km(2) pinning point at the front of the Roi Baudouin Ice Shelf, East Antarctica. Using ERS interferometry and ALOS-PALSAR speckle tracking, we derive, on a 125 m grid spacing, surface velocities deviating by -5.2 +/- 4.5 m a(-1) from 37 on-site global navigation satellite systems-derived velocities. We find no evidence for ice flow changes on decadal time scales and we show that ice on the pinning point virtually stagnates, deviating the ice stream and causing enhanced horizontal shearing upstream. Using the BISICLES ice-flow model, we invert for basal friction and ice rigidity with three input scenarios of ice velocity and geometry. We show that inversion results are the most sensitive to the presence/absence of the pinning point in the bathymetry; surface velocities at the pinning point are of secondary importance. Undersampling of pinning points results in erroneous ice-shelf properties in models initialised by control methods. This may impact prognostic modelling for ice-sheet evolution in the case of unpinning.</t>
  </si>
  <si>
    <t>[Berger, Sophie; Favier, Lionel; Drews, Reinhard; Pattyn, Frank] Univ Libre Bruxelles, Lab Glaciol, Brussels, Belgium; [Derwael, Jean-Jacques] Univ Antwerp, Fac Appl Engn, B-2020 Antwerp, Belgium</t>
  </si>
  <si>
    <t>Universite Libre de Bruxelles; University of Antwerp</t>
  </si>
  <si>
    <t>Berger, S (corresponding author), Univ Libre Bruxelles, Lab Glaciol, Brussels, Belgium.</t>
  </si>
  <si>
    <t>sberger@ulb.ac.be</t>
  </si>
  <si>
    <t>Pattyn, Frank/AAA-9640-2019; Drews, reinhard/AAP-4134-2021</t>
  </si>
  <si>
    <t>Pattyn, Frank/0000-0003-4805-5636; Drews, reinhard/0000-0002-2328-294X; favier, lionel/0000-0002-5392-3031; Berger, Sophie/0000-0003-4095-9323</t>
  </si>
  <si>
    <t>Belgian Research Programme on the Antarctic (Belgian Federal Science Policy Office) [SD/SA/06A]; InBev Baillet Latour Antarctica Fellowship; European Space Agency [C1P.10754]; FRS-FNRS (Fonds de la Recherche Scientifique) PhD fellowship</t>
  </si>
  <si>
    <t>Belgian Research Programme on the Antarctic (Belgian Federal Science Policy Office); InBev Baillet Latour Antarctica Fellowship; European Space Agency(European Space Agency); FRS-FNRS (Fonds de la Recherche Scientifique) PhD fellowship(Fonds de la Recherche Scientifique - FNRS)</t>
  </si>
  <si>
    <t>This paper forms a contribution to the Belgian Research Programme on the Antarctic (Belgian Federal Science Policy Office), Project SD/SA/06A Constraining ice mass changes in Antarctica (IceCon) as well as the FNRS-FRFC (Fonds de la Recherche Scientifique) project IDyRA. We thank the InBev Baillet Latour Antarctica Fellowship for partially financing fieldwork and the International Polar Foundation for providing all required logistics in the field. ERS1/2 and ALOS data were provided by the European Space Agency (Project C1P.10754) and further processed with the help of Wolfgang Rack at the Gateway Antarctica, Canterbury University, New Zealand. Ms. S. Berger is supported by a FRS-FNRS (Fonds de la Recherche Scientifique) PhD fellowship. Support and development of BISICLES from S. Cornford and D. Martin is greatly appreciated. We finally wish to thank A. Khazendar and an anonymous reviewer for constructive comments on this manuscript.</t>
  </si>
  <si>
    <t>10.1017/jog.2016.7</t>
  </si>
  <si>
    <t>WOS:000376838400004</t>
  </si>
  <si>
    <t>Fujita, S; Goto-Azuma, K; Hirabayashi, M; Hori, A; Iizuka, Y; Motizuki, Y; Motoyama, H; Takahashi, K</t>
  </si>
  <si>
    <t>Fujita, Shuji; Goto-Azuma, Kumiko; Hirabayashi, Motohiro; Hori, Akira; Iizuka, Yoshinori; Motizuki, Yuko; Motoyama, Hideaki; Takahashi, Kazuya</t>
  </si>
  <si>
    <t>Densification of layered firn in the ice sheet at Dome Fuji, Antarctica</t>
  </si>
  <si>
    <t>antarctic glaciology; glacial theology; ice core; ice physics; polar firn</t>
  </si>
  <si>
    <t>LAST GLACIAL PERIOD; DIELECTRIC MEASUREMENTS; ACCUMULATION RATE; EAST ANTARCTICA; CORE; SNOW; DENSITY; VARIABILITY; PERMITTIVITY; IMPURITIES</t>
  </si>
  <si>
    <t>In order to better understand the densification of polar firn, firn cores from the three sites within similar to 10 km of Dome Fuji, Antarctica, were investigated using surrogates of density: dielectric permittivities epsilon(v) and epsilon(h) at microwave frequencies with electrical fields in the vertical and horizontal planes respectively. Dielectric anisotropy Delta epsilon (=epsilon(v) - epsilon(h)) was then examined as a surrogate of the anisotropic geometry of firn. We find that layered densification is explained as a result of complex effects of two phenomena that commonly occur at the three sites. Basically, layers with initially smaller density and smaller geometrical anisotropy deform preferentially throughout the densification process due to textural effects. Second, layers having a higher concentration of Cl- ions deform preferentially during a limited period from the near surface depths until smoothing out of layered Cl- ions by diffusion. We hypothesize that Cl- ions dissociated from sea salts soften firn due to modulation of dislocation movement. Moreover, firn differs markedly across the three sites in terms of strength of geometrical anisotropy, mean rate of densification and density fluctuation. We hypothesize that these differences are caused by textural effects resulting from differences in depositional conditions within various spatial scales.</t>
  </si>
  <si>
    <t>[Fujita, Shuji; Goto-Azuma, Kumiko; Hirabayashi, Motohiro; Motoyama, Hideaki] ROIS, Natl Inst Polar Res, 10-3 Midori Cho, Tachikawa, Tokyo 1908518, Japan; [Fujita, Shuji; Goto-Azuma, Kumiko; Motoyama, Hideaki] Grad Univ Adv Studies SOKENDAI, Dept Polar Sci, 10-3 Midori Cho, Tachikawa, Tokyo 1908518, Japan; [Hori, Akira] Kitami Inst Technol, Kitami, Hokkaido 090, Japan; [Iizuka, Yoshinori] Hokkaido Univ, Inst Low Temp Sci, Sapporo, Hokkaido, Japan; [Motizuki, Yuko; Takahashi, Kazuya] RIKEN Nishina Ctr, Wako, Saitama, Japan</t>
  </si>
  <si>
    <t>Research Organization of Information &amp; Systems (ROIS); National Institute of Polar Research (NIPR) - Japan; Graduate University for Advanced Studies - Japan; Kitami Institute of Technology; Hokkaido University; RIKEN</t>
  </si>
  <si>
    <t>Fujita, S (corresponding author), ROIS, Natl Inst Polar Res, 10-3 Midori Cho, Tachikawa, Tokyo 1908518, Japan.;Fujita, S (corresponding author), Grad Univ Adv Studies SOKENDAI, Dept Polar Sci, 10-3 Midori Cho, Tachikawa, Tokyo 1908518, Japan.</t>
  </si>
  <si>
    <t>sfujita@nipr.ac.jp</t>
  </si>
  <si>
    <t>Takahashi, kazuyat/U-3232-2018; Fujita, Shuji/A-7884-2016; Iizuka, Yoshinori/D-9112-2012</t>
  </si>
  <si>
    <t>Takahashi, kazuyat/0000-0002-5104-2601; Fujita, Shuji/0000-0003-0127-0777; Iizuka, Yoshinori/0000-0001-7241-6062</t>
  </si>
  <si>
    <t>Japan Society for the Promotion of Science (JSPS) [20201007, 20241007]; NIPR; Grants-in-Aid for Scientific Research [26610186, 15H01731, 15K12194, 22221002, 20241007, 26241011] Funding Source: KAKEN</t>
  </si>
  <si>
    <t>Japan Society for the Promotion of Science (JSPS)(Ministry of Education, Culture, Sports, Science and Technology, Japan (MEXT)Japan Society for the Promotion of Science); NIPR(National Institute of Polar Research (NIPR) - Japan); Grants-in-Aid for Scientific Research(Ministry of Education, Culture, Sports, Science and Technology, Japan (MEXT)Japan Society for the Promotion of ScienceGrants-in-Aid for Scientific Research (KAKENHI))</t>
  </si>
  <si>
    <t>The present research was supported by Grants-in-Aid for Scientific Research (A) (20201007) and (A) (20241007) from the Japan Society for the Promotion of Science (JSPS). Support from DF project field members and the laboratory technicians at NIPR is appreciated. The writing of the present paper was supported by an NIPR publication subsidy. The paper was much improved thanks to thoughtful comments provided by T. Kobashi, T. Hondoh, two anonymous reviewers and S.H. Faria as scientific editor.</t>
  </si>
  <si>
    <t>10.1017/jog.2016.16</t>
  </si>
  <si>
    <t>WOS:000376838400011</t>
  </si>
  <si>
    <t>Fraser, AD; Nigro, MA; Ligtenberg, SRM; Legresy, B; Inoue, M; Cassano, JJ; Munneke, PK; Lenaerts, JTM; Young, NW; Treverrow, A; Van Den Broeke, M; Enomot, H</t>
  </si>
  <si>
    <t>Fraser, Alexander D.; Nigro, Melissa A.; Ligtenberg, Stefan R. M.; Legresy, Benoit; Inoue, Mana; Cassano, John J.; Munneke, Peter Kuipers; Lenaerts, Jan T. M.; Young, Neal W.; Treverrow, Adam; Van Den Broeke, Michiel; Enomot, Hiroyuki</t>
  </si>
  <si>
    <t>Drivers of ASCAT C band backscatter variability in the dry snow zone of Antarctica</t>
  </si>
  <si>
    <t>Scatterometer; ASCAT; Antarctic Ice Sheet; Dry snow zone; Backscatter; Anisotropy; Precipitation; Firn temperature</t>
  </si>
  <si>
    <t>SEMIEMPIRICAL MODEL; SATELLITE RADAR; MASS-BALANCE; SCATTEROMETER; ACCUMULATION; PLATEAU</t>
  </si>
  <si>
    <t>C band backscatter parameters contain information about the upper snowpack/firn in the dry snow zone. The wide incidence angle diversity of the Advanced Scatterometer (ASCAT) gives unprecedented characterisation of backscatter anisotropy, revealing the backscatter response to climatic forcing. The A (isotropic component) and M-2 (bi-sinusoidal azimuth anisotropy) parameters are investigated here, in conjunction with data from atmospheric and snowpack models, to identify the backscatter response to surface forcing parameters (wind speed and persistence, precipitation, surface temperature, density and grain size). The long-term mean A parameter is successfully recreated with a regression using these drivers, indicating strong links between the A parameter and precipitation on long timescales. While the ASCAT time series is too short to determine which factors drive observed trends, factors influencing the seasonal and short timescale variability are revealed. On these timescales, A strongly responds to the propagation of surface temperature cycles/anomalies downward through the firn, via direct modulation of the dielectric constant. The influence of precipitation on A is small at shorter time scales. The M2 parameter is controlled by wind speed and persistence, through modification of monodirectionally-aligned surface roughness. This variability indicates that throughout much of coastal Antarctica, a microwave 'snapshot' is generally not representative of longer-term conditions.</t>
  </si>
  <si>
    <t>[Fraser, Alexander D.; Legresy, Benoit; Inoue, Mana; Young, Neal W.; Treverrow, Adam; Enomot, Hiroyuki] Univ Tasmania, Antarctic Climate &amp; Ecosyst Cooperat Res Ctr, Private Bag 80, Hobart, Tas 7001, Australia; [Fraser, Alexander D.; Enomot, Hiroyuki] Hokkaido Univ, Inst Low Temp Sci, Kita Ku, N19,W8, Sapporo, Hokkaido 0600819, Japan; [Nigro, Melissa A.; Cassano, John J.] Univ Colorado, Cooperat Inst Res Environm Sci, Box 216 UCB, Boulder, CO 80309 USA; [Nigro, Melissa A.; Cassano, John J.] Univ Colorado, Atmospher &amp; Ocean Sci, Box 311 UCB, Boulder, CO 80309 USA; [Ligtenberg, Stefan R. M.; Munneke, Peter Kuipers; Lenaerts, Jan T. M.; Van Den Broeke, Michiel] Univ Utrecht, Inst Marine &amp; Atmospher Res, POB 80000, NL-3508 TA Utrecht, Netherlands; [Legresy, Benoit] CSIRO Oceans &amp; Atmosphere Flagship, Hobart, Tas 7000, Australia; [Legresy, Benoit] CNRS LEGOS, 13 Ave E Belin, F-31400 Toulouse, France; [Inoue, Mana] Univ Tasmania, Inst Marine &amp; Antarctic Studies, Private Bag 129, Hobart, Tas 7001, Australia; [Young, Neal W.] Australian Antarctic Div, Channel Highway, Kingston, Tas 7050, Australia; [Enomot, Hiroyuki] Natl Inst Polar Res, 10-3 Midori Cho, Tachikawa, Tokyo 1908518, Japan</t>
  </si>
  <si>
    <t>University of Tasmania; Antarctic Climate &amp; Ecosystems Cooperative Research Centre (ACE CRC); Hokkaido University; University of Colorado System; University of Colorado Boulder; University of Colorado System; University of Colorado Boulder; Utrecht University; Commonwealth Scientific &amp; Industrial Research Organisation (CSIRO); Universite de Toulouse; Universite Toulouse III - Paul Sabatier; Centre National de la Recherche Scientifique (CNRS); Institut de Recherche pour le Developpement (IRD); Laboratoire d'Etudes en Geophysique et oceanographie spatiales; University of Tasmania; Australian Antarctic Division; Research Organization of Information &amp; Systems (ROIS); National Institute of Polar Research (NIPR) - Japan</t>
  </si>
  <si>
    <t>Fraser, AD (corresponding author), Univ Tasmania, Antarctic Climate &amp; Ecosyst Cooperat Res Ctr, Private Bag 80, Hobart, Tas 7001, Australia.;Fraser, AD (corresponding author), Hokkaido Univ, Inst Low Temp Sci, Kita Ku, N19,W8, Sapporo, Hokkaido 0600819, Japan.</t>
  </si>
  <si>
    <t>adfraser@utas.edu.au</t>
  </si>
  <si>
    <t>Lenaerts, Jan/D-9423-2012; Cassano, John/HKW-8817-2023; Fraser, Alexander/AFO-7186-2022; Ligtenberg, Stefan/AAF-8290-2020; Van den Broeke, Michiel R./F-7867-2011; Treverrow, Adam/J-7450-2014; legresy, benoit/K-6673-2018</t>
  </si>
  <si>
    <t>Lenaerts, Jan/0000-0003-4309-4011; Fraser, Alexander/0000-0003-1924-0015; Van den Broeke, Michiel R./0000-0003-4662-7565; Treverrow, Adam/0000-0003-4666-0488; legresy, benoit/0000-0002-1909-1630; Kuipers Munneke, Peter/0000-0001-5555-3831; Young, Neal/0000-0001-9729-3273</t>
  </si>
  <si>
    <t>Australian Government's Cooperative Research Centres Program through the Antarctic Climate &amp; Ecosystems Cooperative Research Centre (ACE CRC); Netherlands Polar Programme; Japan Society for the Promotion of Science (JSPS) KAKENHI [25 03748]; CISL [UCUB0003]; NSF [ANT-0943952]; Office of Polar Programs (OPP); Directorate For Geosciences [1245737] Funding Source: National Science Foundation</t>
  </si>
  <si>
    <t>Australian Government's Cooperative Research Centres Program through the Antarctic Climate &amp; Ecosystems Cooperative Research Centre (ACE CRC)(Australian GovernmentDepartment of Industry, Innovation and ScienceCooperative Research Centres (CRC) Programme); Netherlands Polar Programme; Japan Society for the Promotion of Science (JSPS) KAKENHI(Ministry of Education, Culture, Sports, Science and Technology, Japan (MEXT)Japan Society for the Promotion of ScienceGrants-in-Aid for Scientific Research (KAKENHI)); CISL; NSF(National Science Foundation (NSF)); Office of Polar Programs (OPP); Directorate For Geosciences(National Science Foundation (NSF)NSF - Directorate for Geosciences (GEO))</t>
  </si>
  <si>
    <t>This work was supported by the Australian Government's Cooperative Research Centres Program through the Antarctic Climate &amp; Ecosystems Cooperative Research Centre (ACE CRC), by the Netherlands Polar Programme, and by Japan Society for the Promotion of Science (JSPS) KAKENHI Grant Number 25 03748. ASCAT MetOp-A Level 1B data were provided by the EUMETSAT Data Centre version 2 (http://www.eumetsat.int/). AMPS data were acquired from NCAR and CISL under CISL Project Number UCUB0003, and NSF Award Number ANT-0943952.</t>
  </si>
  <si>
    <t>10.1017/jog.2016.29</t>
  </si>
  <si>
    <t>WOS:000376838400016</t>
  </si>
  <si>
    <t>Livingstone, SJ; Stokes, CR; Cofaigh, CO; Hillenbrand, CD; Vieli, A; Jamieson, SSR; Spagnolo, M; Dowdeswell, JA</t>
  </si>
  <si>
    <t>Livingstone, Stephen J.; Stokes, Chris R.; Cofaigh, Colm O.; Hillenbrand, Claus-Dieter; Vieli, Andreas; Jamieson, Stewart S. R.; Spagnolo, Matteo; Dowdeswell, Julian A.</t>
  </si>
  <si>
    <t>Subglacial processes on an Antarctic ice stream bed. 1: Sediment transport and bedform genesis inferred from marine geophysical data</t>
  </si>
  <si>
    <t>glacial lineations; grounding-zone wedges; ice stream; mega-scale; subglacial bedforms; till</t>
  </si>
  <si>
    <t>SCALE GLACIAL LINEATIONS; WEST ANTARCTICA; MARGUERITE BAY; GEOMORPHIC FEATURES; CONTINENTAL-SHELF; BASAL MECHANICS; FLOW DYNAMICS; BENEATH; PENINSULA; SHEET</t>
  </si>
  <si>
    <t>The spatial pattern and morphometry of bedforms and their relationship to sediment thickness have been analysed in the Marguerite Bay Palaeo-ice stream Trough, western Antarctic Peninsula. Over 17 000 glacial landforms were measured from geophysical datasets, and sediment thickness maps were generated from acoustic sub-bottom profiler data. These analyses reveal a complex bedform pattern characterised by considerable spatial diversity, influenced heavily by the underlying substrate. The variability in length and density of mega-scale lineations indicates an evolving bedform signature, whereby landforms are preserved at different stages of maturity. Lineation generation and attenuation is associated with regions of thick, soft till where deformation was likely to be the greatest. The distribution of soft till and the localised extent of grounding-zone wedges (GZWs) indicate a dynamic sedimentary system characterised by considerable spatio-temporal variability in sediment erosion, transport and deposition. Formation of GZWs on the outer shelf of Marguerite Trough, within the error range of the radiocarbon dates, requires large sediment fluxes (upwards of 1000 m(3) a(-1) (m grounding line width)(-1)), and a &gt;1 m thick mobile till layer, or rapid basal sliding velocities (upwards of 6 km a(-1)).</t>
  </si>
  <si>
    <t>[Livingstone, Stephen J.] Univ Sheffield, Dept Geog, Sheffield S10 2TN, S Yorkshire, England; [Stokes, Chris R.; Cofaigh, Colm O.; Vieli, Andreas; Jamieson, Stewart S. R.] Univ Durham, Dept Geog, Durham, England; [Hillenbrand, Claus-Dieter] British Antarctic Survey, Cambridge CB3 0ET, England; [Vieli, Andreas] Univ Zurich, Dept Geog, Winterthurerstr, Zurich, Switzerland; [Spagnolo, Matteo] Univ Aberdeen, Sch Geosci, Dept Geog &amp; Environm, Aberdeen, Scotland; [Dowdeswell, Julian A.] Univ Cambridge, Scott Polar Res Inst, Cambridge CB2 1ER, England</t>
  </si>
  <si>
    <t>University of Sheffield; Durham University; UK Research &amp; Innovation (UKRI); Natural Environment Research Council (NERC); NERC British Antarctic Survey; University of Zurich; University of Aberdeen; University of Cambridge</t>
  </si>
  <si>
    <t>Livingstone, SJ (corresponding author), Univ Sheffield, Dept Geog, Sheffield S10 2TN, S Yorkshire, England.</t>
  </si>
  <si>
    <t>s.j.livingstone@sheffield.ac.uk</t>
  </si>
  <si>
    <t>Spagnolo, Matteo/G-2415-2011; Jamieson, Stewart S.R./B-8330-2013; Vieli, Andreas/A-6767-2011; Stokes, Chris/A-1957-2011</t>
  </si>
  <si>
    <t>Spagnolo, Matteo/0000-0002-2753-338X; Jamieson, Stewart S.R./0000-0002-9036-2317; Livingstone, Stephen/0000-0002-7240-5037; Stokes, Chris/0000-0003-3355-1573; Dowdeswell, Julian/0000-0003-1369-9482</t>
  </si>
  <si>
    <t>Natural Environmental Research Council (NERC) UK [NE/G015430/1, NE/G018677/1]; NERC [NE/J018333/1, NEJJ004766/1]; Natural Environment Research Council [NE/G018677/1, NE/G015430/1, NE/J004766/1, bas0100030, NE/J018333/1] Funding Source: researchfish; NERC [NE/G015430/1, NE/J004766/1, bas0100030, NE/G018677/1, NE/J018333/1] Funding Source: UKRI</t>
  </si>
  <si>
    <t>Natural Environmental Research Council (NERC) UK(UK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</si>
  <si>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Natural Environmental Research Council (NERC) UK standard grants NE/G015430/1 and NE/G018677/1. Jamieson was supported by NERC Fellowship NE/J018333/1 and Spagnolo was supported by NERC new investigator grant NEJJ004766/1. Underlying data are available by request to Livingstone. This research would not have been possible without the hard work of scientists and crew during research cruises JR59, JR71, JR157 and NBP0201. We thank two anonymous reviewers for their comments, which helped to improve the manuscript. We also thank Jeremy Ely for his comments on an earlier draft.</t>
  </si>
  <si>
    <t>10.1017/jog.2016.18</t>
  </si>
  <si>
    <t>gold, Green Published, Green Accepted</t>
  </si>
  <si>
    <t>WOS:000378825100005</t>
  </si>
  <si>
    <t>Jamieson, SSR; Stokes, CR; Livingstone, SJ; Vieli, A; Cofaigh, CO; Hillenbrand, CD; Spagnolo, M</t>
  </si>
  <si>
    <t>Jamieson, Stewart S. R.; Stokes, Chris R.; Livingstone, Stephen J.; Vieli, Andreas; Cofaigh, Coim O.; Hillenbrand, Claus-Dieter; Spagnolo, Matteo</t>
  </si>
  <si>
    <t>Subglacial processes on an Antarctic ice stream bed. 2: Can modelled ice dynamics explain the morphology of mega-scale glacial lineations?</t>
  </si>
  <si>
    <t>bedforms; correlation; glacial lineations; ice stream; ice velocity; numerical model</t>
  </si>
  <si>
    <t>CONTINENTAL-SHELF; DRUMLIN FORMATION; WEST ANTARCTICA; BEDFORMS REVEAL; MARGUERITE BAY; RAPID EROSION; BENEATH; SHEET; FLOW; PENINSULA</t>
  </si>
  <si>
    <t>Mega-scale glacial lineations (MSGLs) are highly elongate subglacial bedforms associated with ice streaming. However, the link between MSGLs and rapid ice flow is largely qualitative, and there have been few attempts to quantitatively link their formation to ice flow characteristics (e.g. ice velocity, thickness, basal shear stress). We take measurements of MSGLs from a palaeo-ice stream that once occupied Marguerite Trough, Antarctic Peninsula and explore a range of possible correlations with ice dynamics generated from an ensemble of numerical modelling experiments that reproduce the deglaciation of the ice stream. Our results confirm that high mean ice velocities and a weak bed correlate with longer MSGLs. Furthermore, the height of MSGLs are low (2-3 m) where modelled basal shear stress is low, but their height tends to be higher and more variable where basal shear stress is larger. The mean density of MSGLs decreases as ice flux increases. Our analysis further suggests that the length of MSGLs is a function of basal ice velocity and time. Although our data/model correlations confirm the importance of ice velocity in MSGL formation, a significant challenge remains if we are to employ MSGLs as a quantifiable measure of past ice stream velocity.</t>
  </si>
  <si>
    <t>[Jamieson, Stewart S. R.; Stokes, Chris R.; Cofaigh, Coim O.] Univ Durham, Dept Geog, Durham, England; [Livingstone, Stephen J.] Univ Sheffield, Dept Geog, Sheffield S10 2TN, S Yorkshire, England; [Vieli, Andreas] Univ Zurich, Dept Geog, Zurich, Switzerland; [Hillenbrand, Claus-Dieter] British Antarctic Survey, Cambridge CB3 0ET, England; [Spagnolo, Matteo] Univ Aberdeen, Sch Geosci, Aberdeen, Scotland</t>
  </si>
  <si>
    <t>Durham University; University of Sheffield; University of Zurich; UK Research &amp; Innovation (UKRI); Natural Environment Research Council (NERC); NERC British Antarctic Survey; University of Aberdeen</t>
  </si>
  <si>
    <t>Jamieson, SSR (corresponding author), Univ Durham, Dept Geog, Durham, England.</t>
  </si>
  <si>
    <t>Stewart.Jamieson@durham.ac.uk</t>
  </si>
  <si>
    <t>Spagnolo, Matteo/G-2415-2011; Vieli, Andreas/A-6767-2011; Jamieson, Stewart S.R./B-8330-2013; Stokes, Chris/A-1957-2011</t>
  </si>
  <si>
    <t>Spagnolo, Matteo/0000-0002-2753-338X; Jamieson, Stewart S.R./0000-0002-9036-2317; Livingstone, Stephen/0000-0002-7240-5037; Stokes, Chris/0000-0003-3355-1573</t>
  </si>
  <si>
    <t>Natural Environmental Research Council (NERC) UK [NE/G015430/1, NE/G018677/1]; NERC [NE/J018333/1, NE/J004766/1]; NERC [NE/G015430/1, NE/J004766/1, bas0100030, NE/G018677/1, NE/J018333/1] Funding Source: UKRI; Natural Environment Research Council [NE/J004766/1, NE/G015430/1, NE/G018677/1, NE/J018333/1, bas0100030] Funding Source: researchfish</t>
  </si>
  <si>
    <t>Natural Environmental Research Council (NERC) UK(UK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</si>
  <si>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Natural Environmental Research Council (NERC) UK standard grants NE/G015430/1 and NE/G018677/1. Jamieson was supported by NERC Fellowship NE/J018333/1 and Spagnolo was supported by NERC new investigator grant NE/J004766/1. This research would not have been possible without the hard work of scientists and crew during research cruises JR59, JR71, JR157 and NBP0201. We thank Chris Clark for useful discussions and two anonymous reviewers for comments that helped to improve the manuscript. Data produced in this manuscript are available from the corresponding author.</t>
  </si>
  <si>
    <t>10.1017/jog.2016.19</t>
  </si>
  <si>
    <t>Green Accepted, Green Published, gold</t>
  </si>
  <si>
    <t>WOS:000378825100006</t>
  </si>
  <si>
    <t>Cavitte, MGP; Blankenship, DD; Young, DA; Schroeder, DM; Parrenin, F; Lemeur, E; Macgregor, JA; Siegert, MJ</t>
  </si>
  <si>
    <t>Cavitte, Marie G. P.; Blankenship, Donald D.; Young, Duncan A.; Schroeder, Dustin M.; Parrenin, Frederic; Lemeur, Emmanuel; Macgregor, Joseph A.; Siegert, Martin J.</t>
  </si>
  <si>
    <t>Deep radiostratigraphy of the East Antarctic plateau: connecting the Dome C and Vostok ice core sites</t>
  </si>
  <si>
    <t>airborne electromagnetic soundings; ice chronology/dating; radio-echo sounding</t>
  </si>
  <si>
    <t>RADAR-SOUNDING DATA; POLAR ICE; UNCONFORMABLE STRATIGRAPHY; CHRONOLOGY AICC2012; RADIO; SHEET; CLIMATE; STATION; COSETS; MODEL</t>
  </si>
  <si>
    <t>Several airborne radar-sounding surveys are used to trace internal reflections around the European Project for Ice Coring in Antarctica Dome C and Vostok ice core sites. Thirteen reflections, spanning the last two glacial cycles, are traced within 200 km of Dome C, a promising region for million-year-old ice, using the University of Texas Institute for Geophysics High-Capacity Radar Sounder. This provides a dated stratigraphy to 2318 m depth at Dome C. Reflection age uncertainties are calculated from the radar range precision and signal-to-noise ratio of the internal reflections. The radar stratigraphy matches well with the Multichannel Coherent Radar Depth Sounder (MCoRDS) radar stratigraphy obtained independently. We show that radar sounding enables the extension of ice core ages through the ice sheet with an additional radar-related age uncertainty of similar to 1/3-1/2 that of the ice cores. Reflections are extended along the Byrd-Totten Glacier divide, using University of Texas/Technical University of Denmark and MCoRDS surveys. However, core-to-core connection is impeded by pervasive aeolian terranes, and Lake Vostok's influence on reflection geometry. Poor radar connection of the two ice cores is attributed to these effects and suboptimal survey design in affected areas. We demonstrate that, while ice sheet internal radar reflections are generally isochronal and can be mapped over large distances, careful survey planning is necessary to extend ice core chronologies to distant regions of the East Antarctic ice sheet.</t>
  </si>
  <si>
    <t>[Cavitte, Marie G. P.; Blankenship, Donald D.; Young, Duncan A.; Macgregor, Joseph A.] Univ Texas Austin, Inst Geophys, Austin, TX 78758 USA; [Schroeder, Dustin M.] CALTECH, Jet Prop Lab, Pasadena, CA 91125 USA; [Parrenin, Frederic; Lemeur, Emmanuel] UJF Grenoble I, CNRS, Lab Glaciol &amp; Geophys Environm, BP 96, F-38402 St Martin Dheres, France; [Siegert, Martin J.] Univ London Imperial Coll Sci Technol &amp; Med, Grantham Inst, London SW7 2AZ, England; [Siegert, Martin J.] Univ London Imperial Coll Sci Technol &amp; Med, Dept Earth Sci &amp; Engn, London SW7 2AZ, England; [Schroeder, Dustin M.] Stanford Univ, Stanford, CA 94305 USA; [Macgregor, Joseph A.] NASA, Goddard Space Flight Ctr, Cryospher Sci Lab Code 615, Greenbelt, MD 20771 USA</t>
  </si>
  <si>
    <t>University of Texas System; University of Texas Austin; National Aeronautics &amp; Space Administration (NASA); NASA Jet Propulsion Laboratory (JPL); California Institute of Technology; Centre National de la Recherche Scientifique (CNRS); Communaute Universite Grenoble Alpes; Universite Grenoble Alpes (UGA); Imperial College London; Imperial College London; Stanford University; National Aeronautics &amp; Space Administration (NASA); NASA Goddard Space Flight Center</t>
  </si>
  <si>
    <t>Cavitte, MGP (corresponding author), Univ Texas Austin, Inst Geophys, Austin, TX 78758 USA.</t>
  </si>
  <si>
    <t>mcavitte@ig.utexas.edu</t>
  </si>
  <si>
    <t>Siegert, Martin/M-9939-2019; Parrenin, Frédéric/H-3054-2014; Siegert, Martin J/A-3826-2008; Young, Duncan A./G-6256-2010; Blankenship, Donald D./G-5935-2010; Cavitte, Marie/AAB-8533-2020</t>
  </si>
  <si>
    <t>Siegert, Martin/0000-0002-0090-4806; Parrenin, Frédéric/0000-0002-9489-3991; Siegert, Martin J/0000-0002-0090-4806; Cavitte, Marie/0000-0002-5777-0933; Schroeder, Dustin/0000-0003-1916-3929</t>
  </si>
  <si>
    <t>NSF [ANT-0733025, ARC-0941678, ANT-0424589]; NASA [NNX08AN68G, NNX09AR52G, NNX11AD33G]; Jackson School of Geosciences; G. Unger Vetlesen Foundation; NERC [NE/D003733/1]; Global Innovation Initiative award from British Council; NASA Operation IceBridge grant [NNX13AD53A]; NASA; French ANR Dome A project [ANR-07-BLAN-0125]; NASA [475386, NNX13AD53A] Funding Source: Federal RePORTER; Agence Nationale de la Recherche (ANR) [ANR-07-BLAN-0125] Funding Source: Agence Nationale de la Recherche (ANR)</t>
  </si>
  <si>
    <t>NSF(National Science Foundation (NSF)); NASA(National Aeronautics &amp; Space Administration (NASA)); Jackson School of Geosciences; G. Unger Vetlesen Foundation; NERC(UK Research &amp; Innovation (UKRI)Natural Environment Research Council (NERC)); Global Innovation Initiative award from British Council; NASA Operation IceBridge grant; NASA(National Aeronautics &amp; Space Administration (NASA)); French ANR Dome A project(Agence Nationale de la Recherche (ANR)); NASA(National Aeronautics &amp; Space Administration (NASA)); Agence Nationale de la Recherche (ANR)(Agence Nationale de la Recherche (ANR))</t>
  </si>
  <si>
    <t>This work was supported by NSF grants ANT-0733025 and ARC-0941678, NASA grants NNX08AN68G, NNX09AR52G, and NNX11AD33G (Operation Ice Bridge) to Texas, the Jackson School of Geosciences, the G. Unger Vetlesen Foundation, NERC grant NE/D003733/1 and the Global Innovation Initiative award from the British Council. We acknowledge the use of data products from CReSIS generated with support from NSF grant ANT-0424589 and NASA Operation IceBridge grant NNX13AD53A. A portion of this work was carried out by the Jet Propulsion Laboratory, California Institute of Technology under a contract with the NASA. Operational support was provided by the U. S. Antarctic Program and by the Institut Polaire Francais Paul Emile Victor (IPEV) and the Italian Antarctic Program (PNRA and ENEA). We thank the staff of Concordia Station and the Kenn Borek Air flight crew. Additional support was provided by the French ANR Dome A project (ANR-07-BLAN-0125). Finally, we thank the Scientific Editor and anonymous referees for constructive reviews. We thank Justin Hiester for his editorial help. This is UTIG contribution 2915.</t>
  </si>
  <si>
    <t>10.1017/jog.2016.11</t>
  </si>
  <si>
    <t>WOS:000378825100009</t>
  </si>
  <si>
    <t>Callens, D; Drews, R; Witrant, E; Philippe, M; Pattyn, F</t>
  </si>
  <si>
    <t>Callens, Denis; Drews, Reinhard; Witrant, Emmanuel; Philippe, Morgane; Pattyn, Frank</t>
  </si>
  <si>
    <t>Temporally stable surface mass balance asymmetry across an ice rise derived from radar internal reflection horizons through inverse modeling</t>
  </si>
  <si>
    <t>Antarctic glaciology; ground-penetrating radar; ice rise; ice-sheet modelling; surface mass budget</t>
  </si>
  <si>
    <t>DRONNING MAUD LAND; WEST ANTARCTICA; EAST ANTARCTICA; ACCUMULATION; SHEET; LAYERS; FIRN; INFERENCE; DENSITY; CLIMATE</t>
  </si>
  <si>
    <t>Ice rises are locally grounded parts of Antarctic ice shelves that play an important role in regulating ice flow from the continent towards the ocean. Because they protrude out of the otherwise horizontal ice shelves, ice rises induce an orographic uplift of the atmospheric flow, resulting in an asymmetric distribution of the surface mass balance (SMB). Here, we combine younger and older internal reflection horizons (IRHs) from radar to quantify this distribution in time and space across Derwael Ice Rise (DIR), Dronning Maud Land, Antarctica. We employ two methods depending on the age of the IRHs, i.e. the shallow layer approximation for the younger IRHs near the surface and an optimization technique based on an ice flow model for the older IRHs. We identify an SMB ratio of 2.5 between the flanks and the ice divide with the SMB ranging between 300 and 750 kg m(-2) a(-1). The SMB maximum is located on the upwind side, similar to 4 km offset to today's topographic divide. The large-scale asymmetry is consistently observed in time until 1966. The SMB from older IRHs is less-well constrained, but the asymmetry has likely persisted for &gt;ka, indicating that DIR has been a stable features over long time spans.</t>
  </si>
  <si>
    <t>[Callens, Denis; Drews, Reinhard; Witrant, Emmanuel; Philippe, Morgane; Pattyn, Frank] Univ Libre Bruxelles, Lab Glaciol, Ave FD Roosevelt 50, B-1050 Brussels, Belgium; [Witrant, Emmanuel] Univ Grenoble Alpes, GIPSA Lab, F-38000 Grenoble, France</t>
  </si>
  <si>
    <t>Universite Libre de Bruxelles; Communaute Universite Grenoble Alpes; Institut National Polytechnique de Grenoble; Universite Grenoble Alpes (UGA); Centre National de la Recherche Scientifique (CNRS)</t>
  </si>
  <si>
    <t>Drews, R (corresponding author), Univ Libre Bruxelles, Lab Glaciol, Ave FD Roosevelt 50, B-1050 Brussels, Belgium.</t>
  </si>
  <si>
    <t>Drews, reinhard/AAP-4134-2021; Pattyn, Frank/AAA-9640-2019</t>
  </si>
  <si>
    <t>Drews, reinhard/0000-0002-2328-294X; Pattyn, Frank/0000-0003-4805-5636</t>
  </si>
  <si>
    <t>FNRS-FRIA fellowship (Fonds de la Recherche Scientifique); Fonds David &amp; Alice Van Buuren; Center for Ice, Climate and Ecosystems of the Norwegian Polar Institute</t>
  </si>
  <si>
    <t>FNRS-FRIA fellowship (Fonds de la Recherche Scientifique)(Fonds de la Recherche Scientifique - FNRS); Fonds David &amp; Alice Van Buuren; Center for Ice, Climate and Ecosystems of the Norwegian Polar Institute</t>
  </si>
  <si>
    <t>This paper forms a contribution to the Belgian Research Programme on the Antarctic (Belgian Federal Science Policy Office), Project SD/SA/06A Constraining ice mass changes in Antarctica (IceCon) as well as the FNRS-FRFC (Fonds de la Recherche Scientifique) project IDyRA. D. C. was funded through a FNRS-FRIA fellowship (Fonds de la Recherche Scientifique). D. C. and M. P. received grants from the Fonds David &amp; Alice Van Buuren. The authors benefited from the logistical support of the International Polar Foundation at the Princess Elisabeth Station. Radar work was supported by the Center for Ice, Climate and Ecosystems of the Norwegian Polar Institute; data collection and initial processing in the field was done by Kenny Matsuoka. We appreciate feedback from two reviewers, which substantially improved a previous version of the paper.</t>
  </si>
  <si>
    <t>10.1017/jog.2016.41</t>
  </si>
  <si>
    <t>WOS:000381452400008</t>
  </si>
  <si>
    <t>Nias, IJ; Cornford, SL; Payne, AJ</t>
  </si>
  <si>
    <t>Nias, Isabel J.; Cornford, Stephen L.; Payne, Antony J.</t>
  </si>
  <si>
    <t>Contrasting the modelled sensitivity of the Amundsen Sea Embayment ice streams</t>
  </si>
  <si>
    <t>Antarctic glaciology; grounding line; ice flow model; ice streams; ice-sheet modelling</t>
  </si>
  <si>
    <t>PINE ISLAND GLACIER; GROUNDING-LINE RETREAT; WEST ANTARCTICA; THWAITES GLACIER; SHEET; WIDESPREAD; GREENLAND; MARGINS; SHELVES; FLOW</t>
  </si>
  <si>
    <t>Present-day mass loss from the West Antarctic ice sheet is centred on the Amundsen Sea Embayment (ASE), primarily through ice streams, including Pine Island, Thwaites and Smith glaciers. To understand the differences in response of these ice streams, we ran a perturbed parameter ensemble, using a vertically-integrated ice flow model with adaptive mesh refinement. We generated 71 sets of three physical parameters (basal traction coefficient, ice viscosity stiffening factor and sub-shelf melt rate), which we used to simulate the ASE for 50 years. We also explored the effects of different bed geometries and basal sliding laws. The mean rate of sea-level rise across the ensemble of simulations is comparable with current observed rates for the ASE. We found evidence that grounding line dynamics are sensitive to features in the bed geometry: simulations using BedMap2 geometry resulted in a higher rate of sea-level rise than simulations using a rougher geometry, created using mass conservation. Modelled grounding-line retreat of all the three ice streams was sensitive to viscosity and basal traction, while the melt rate was more important in Pine Island and Smith glaciers, which flow through more confined ice shelves than Thwaites, which has a relatively unconfined shelf.</t>
  </si>
  <si>
    <t>[Nias, Isabel J.; Cornford, Stephen L.; Payne, Antony J.] Univ Bristol, Sch Geog Sci, Ctr Polar Observat &amp; Modelling, Univ Rd, Bristol BS8 1SS, Avon, England</t>
  </si>
  <si>
    <t>Nias, IJ (corresponding author), Univ Bristol, Sch Geog Sci, Ctr Polar Observat &amp; Modelling, Univ Rd, Bristol BS8 1SS, Avon, England.</t>
  </si>
  <si>
    <t>isabel.nias@bristol.ac.uk</t>
  </si>
  <si>
    <t>; payne, antony/A-8916-2008</t>
  </si>
  <si>
    <t>Cornford, Stephen/0000-0003-1844-274X; Nias, Isabel/0000-0002-5657-8691; payne, antony/0000-0001-8825-8425</t>
  </si>
  <si>
    <t>UK Natural Environment Research Council (NERC) through iSTAR-C programme [NE/J005738/1]; US Department of Energy; UK Natural Environment Research Council, through NERC Centre for Polar Observation and Modelling (CPOM); NERC [NE/J005754/1, cpom30001, NE/J005738/1] Funding Source: UKRI; Natural Environment Research Council [NE/J005738/1, NE/J005754/1, cpom30001, 1374592] Funding Source: researchfish</t>
  </si>
  <si>
    <t>UK Natural Environment Research Council (NERC) through iSTAR-C programme(UK Research &amp; Innovation (UKRI)Natural Environment Research Council (NERC)); US Department of Energy(United States Department of Energy (DOE)); UK Natural Environment Research Council, through NERC Centre for Polar Observation and Modelling (CPOM); NERC(UK Research &amp; Innovation (UKRI)Natural Environment Research Council (NERC)); Natural Environment Research Council(UK Research &amp; Innovation (UKRI)Natural Environment Research Council (NERC))</t>
  </si>
  <si>
    <t>This work was supported by funding from the UK Natural Environment Research Council (NERC) through the iSTAR-C programme (grant number NE/J005738/1). BISICLES simulations were carried out on the University of Bristol's Blue Crystal Phase 3 supercomputer. BISICLES development is led by D. F. Martin at Lawrence Berkeley National Laboratory, California, USA, and S. L. Cornford at the University of Bristol, UK, with financial support provided by the US Department of Energy and the UK Natural Environment Research Council, through the NERC Centre for Polar Observation and Modelling (CPOM). We thank the reviewers and editor for their helpful and constructive comments.</t>
  </si>
  <si>
    <t>10.1017/jog.2016.40</t>
  </si>
  <si>
    <t>WOS:000381452400010</t>
  </si>
  <si>
    <t>Parrenin, F; Fujita, S; Abe-Ouchi, A; Kawamura, K; Masson-Delmotte, V; Motoyama, H; Saito, F; Severi, M; Stenni, B; Uemura, R; Wolff, EW</t>
  </si>
  <si>
    <t>Parrenin, F.; Fujita, S.; Abe-Ouchi, A.; Kawamura, K.; Masson-Delmotte, V.; Motoyama, H.; Saito, F.; Severi, M.; Stenni, B.; Uemura, R.; Wolff, E. W.</t>
  </si>
  <si>
    <t>Climate dependent contrast in surface mass balance in East Antarctica over the past 216 ka</t>
  </si>
  <si>
    <t>ice cores; surface mass balance; vertical thinning; volcanic synchronization</t>
  </si>
  <si>
    <t>DRONNING MAUD LAND; VOSTOK ICE CORE; EPICA DOME-C; SNOW ACCUMULATION; ISOTOPIC COMPOSITION; CHRONOLOGY AICC2012; STABLE-ISOTOPES; SOUTHERN-OCEAN; SHEET; FUJI</t>
  </si>
  <si>
    <t>Documenting past changes in the East Antarctic surface mass balance is important to improve ice core chronologies and to constrain the ice-sheet contribution to global mean sea-level change. Here we reconstruct past changes in the ratio of surface mass balance (SMB ratio) between the EPICA Dome C (EDC) and Dome Fuji (DF) East Antarctica ice core sites, based on a precise volcanic synchronization of the two ice cores and on corrections for the vertical thinning of layers. During the past 216 000 a, this SMB ratio, denoted SMBEDC/SMBDF, varied between 0.7 and 1.1, being small during cold periods and large during warm periods. Our results therefore reveal larger amplitudes of changes in SMB at EDC compared with DF, consistent with previous results showing larger amplitudes of changes in water stable isotopes and estimated surface temperature at EDC compared with DF. Within the last glacial inception (Marine Isotope Stages, MIS-5c and MIS-5d), the SMB ratio deviates by up to 0.2 from what is expected based on differences in water stable isotope records. Moreover, the SMB ratio is constant throughout the late parts of the current and last interglacial periods, despite contrasting isotopic trends.</t>
  </si>
  <si>
    <t>[Parrenin, F.] CNRS, LGGE, F-38041 Grenoble, France; [Parrenin, F.] Univ Grenoble Alpes, LGGE, F-38041 Grenoble, France; [Fujita, S.; Kawamura, K.; Motoyama, H.] Natl Inst Polar Res, Res Org Informat &amp; Syst, Tokyo, Japan; [Fujita, S.; Kawamura, K.; Motoyama, H.] Grad Univ Adv Studies SOKENDAI, Dept Polar Sci, Tokyo, Japan; [Abe-Ouchi, A.] Univ Tokyo, AORI, Chiba, Japan; [Abe-Ouchi, A.; Saito, F.] Japan Agcy Marine Earth Sci &amp; Technol, Yokohama, Kanagawa, Japan; [Masson-Delmotte, V.] Inst Pierre Simon Laplace, UMR CEA CNRS UVSQ UPS 8212, Lab Sci Climat &amp; Environm, Gif Sur Yvette, France; [Severi, M.] Univ Florence, Dept Chem, Florence, Italy; [Stenni, B.] Ca Foscari Univ Venice, Dept Environm Sci Informat &amp; Stat, I-30123 Venice, Italy; [Uemura, R.] Univ Ryukyus, Fac Sci, Dept Chem Biol &amp; Marine Sci, Nishihara, Okinawa 90301, Japan; [Wolff, E. W.] Univ Cambridge, Dept Earth Sci, Cambridge, England</t>
  </si>
  <si>
    <t>Centre National de la Recherche Scientifique (CNRS); Communaute Universite Grenoble Alpes; Universite Grenoble Alpes (UGA); Communaute Universite Grenoble Alpes; Universite Grenoble Alpes (UGA); Research Organization of Information &amp; Systems (ROIS); National Institute of Polar Research (NIPR) - Japan; Graduate University for Advanced Studies - Japan; University of Tokyo; Japan Agency for Marine-Earth Science &amp; Technology (JAMSTEC); CEA; Centre National de la Recherche Scientifique (CNRS); Universite Paris Saclay; Universite Paris Cite; University of Florence; Universita Ca Foscari Venezia; University of the Ryukyus; University of Cambridge</t>
  </si>
  <si>
    <t>Parrenin, F (corresponding author), CNRS, LGGE, F-38041 Grenoble, France.;Parrenin, F (corresponding author), Univ Grenoble Alpes, LGGE, F-38041 Grenoble, France.;Fujita, S (corresponding author), Natl Inst Polar Res, Res Org Informat &amp; Syst, Tokyo, Japan.;Fujita, S (corresponding author), Grad Univ Adv Studies SOKENDAI, Dept Polar Sci, Tokyo, Japan.</t>
  </si>
  <si>
    <t>parrenin@ujf-grenoble.fr; sfujita@nipr.ac.jp</t>
  </si>
  <si>
    <t>Wolff, Eric W/D-7925-2014; Abe-Ouchi, Ayako A/M-6359-2013; SAITO, Fuyuki/B-8776-2013; Uemura, Ryu/C-9793-2012; Uemura, Ryu/AGR-0677-2022; Parrenin, Frédéric/H-3054-2014; Masson-Delmotte, Valerie L/G-1995-2011; Severi, Mirko/J-2508-2012; Fujita, Shuji/A-7884-2016; Kawamura, Kenji/C-7660-2011</t>
  </si>
  <si>
    <t>Wolff, Eric W/0000-0002-5914-8531; Abe-Ouchi, Ayako A/0000-0003-1745-5952; Uemura, Ryu/0000-0002-4236-0085; Uemura, Ryu/0000-0002-4236-0085; Parrenin, Frédéric/0000-0002-9489-3991; Masson-Delmotte, Valerie L/0000-0001-8296-381X; Severi, Mirko/0000-0003-1511-6762; Fujita, Shuji/0000-0003-0127-0777; Kawamura, Kenji/0000-0003-1163-700X; Stenni, Barbara/0000-0003-4950-3664</t>
  </si>
  <si>
    <t>EU; CNRS/INSU/LEFE program ('IceChrono' proposal); Japan Society for the Promotion of Science (JSPS) [20241007, 21671001]; National Institute of Polar Research (NIPR); Grants-in-Aid for Scientific Research [15K12194, 15KK0027, 25241005, 26241011, 20241007] Funding Source: KAKEN</t>
  </si>
  <si>
    <t>EU(European Union (EU)); CNRS/INSU/LEFE program ('IceChrono' proposal); Japan Society for the Promotion of Science (JSPS)(Ministry of Education, Culture, Sports, Science and Technology, Japan (MEXT)Japan Society for the Promotion of Science); National Institute of Polar Research (NIPR)(National Institute of Polar Research (NIPR) - Japan); Grants-in-Aid for Scientific Research(Ministry of Education, Culture, Sports, Science and Technology, Japan (MEXT)Japan Society for the Promotion of ScienceGrants-in-Aid for Scientific Research (KAKENHI))</t>
  </si>
  <si>
    <t>We thank Gerhard Krinner, Catherine Ritz, Kazue Suzuki, Jean Jouzel, Michiel Van Den Broeke and the GLACE team at LGGE for helpful discussions. We wish to also thank all participants to the field seasons at Dome C. The main logistic support was provided by IPEV and PNRA at Dome C. This work is a contribution to the European Project for Ice Coring in Antarctica (EPICA), a joint European Science Foundation/European Commission scientific program, funded by the EU and by national contributions from Belgium, Denmark, France, Germany, Italy, The Netherlands, Norway, Sweden, Switzerland and the UK. This is EPICA publication nb 305. This study was supported by a grant from the CNRS/INSU/LEFE program ('IceChrono' proposal). We also thank all the Dome Fuji Deep Ice Core Project members who contributed to obtaining the ice core samples, either through logistics, drilling or core processing. The main logistics support was provided by the Japanese Antarctic Research Expedition (JARE), managed by the Ministry of Education, Culture, Sports, Science and Technology (MEXT). This study was supported in part by a Grant-in-Aid for Scientific Research (A) (20241007) and a Grant-in-Aid for Young Scientists (S) (21671001) from the Japan Society for the Promotion of Science (JSPS). The manuscript was prepared with the support of National Institute of Polar Research (NIPR) publication subsidy.</t>
  </si>
  <si>
    <t>10.1017/jog.2016.85</t>
  </si>
  <si>
    <t>WOS:000389173500005</t>
  </si>
  <si>
    <t>Powell, RB; Ramshaw, GP; Ogletree, SS; Krafte, KE</t>
  </si>
  <si>
    <t>Powell, Robert B.; Ramshaw, Gregory P.; Ogletree, S. Scott; Krafte, Kathleen E.</t>
  </si>
  <si>
    <t>Can heritage resources highlight changes to the natural environment caused by climate change? Evidence from the Antarctic tourism experience</t>
  </si>
  <si>
    <t>JOURNAL OF HERITAGE TOURISM</t>
  </si>
  <si>
    <t>environment; cultural heritage; climate change; Antarctica; natural heritage; numen; awe</t>
  </si>
  <si>
    <t>CONCEPTUAL-FRAMEWORK; CONSERVATION; ATTITUDES; WILDLIFE; BEHAVIOR; AWE</t>
  </si>
  <si>
    <t>Tourists are motivated to travel to Antarctica for not only the natural beauty of the continent and its wildlife but also because of the cultural and historical resources associated with the great explorers, such as Shackleton. This article examines the interplay and interrelationships between natural and cultural heritage resources and how this may shape the Antarctic experience and the benefits and outcomes associated with tourism participation. In particular we examined how tourist's perspectives on climate change are influenced through this interplay between natural and cultural heritage resources. Data were drawn from participant observation, field notes, and open-ended questionnaires that were distributed to tourists that participated in four different Antarctic voyages in 2014. The study finds that cultural heritage resources, such as historic sites and locations, could be used as a narrative vehicle for discussing broader enivronmental issues such as climate change, as tourists appear willing to consider cultural and natural environments as existing in a symbiotic, rather than a dichotomous relationship. However, interpreters and guides may need to make the connections between cultural heritage resources and climate change more overt, as tourists did not necessarily view environmental issues through the prism of cultural heritage.</t>
  </si>
  <si>
    <t>[Powell, Robert B.; Ramshaw, Gregory P.; Ogletree, S. Scott; Krafte, Kathleen E.] Clemson Univ, Dept Pk Recreat &amp; Tourism Management, Clemson, SC 29634 USA</t>
  </si>
  <si>
    <t>Clemson University</t>
  </si>
  <si>
    <t>Powell, RB (corresponding author), Clemson Univ, Dept Pk Recreat &amp; Tourism Management, Clemson, SC 29634 USA.</t>
  </si>
  <si>
    <t>rbp@clemson.edu</t>
  </si>
  <si>
    <t>Krafte Holland, Kathleen/0000-0003-4478-3572; Ogletree, Scott/0000-0002-2607-6017</t>
  </si>
  <si>
    <t>1743-873X</t>
  </si>
  <si>
    <t>1747-6631</t>
  </si>
  <si>
    <t>J HERIT TOUR</t>
  </si>
  <si>
    <t>J. Herit. Tour.</t>
  </si>
  <si>
    <t>10.1080/1743873X.2015.1082571</t>
  </si>
  <si>
    <t>Hospitality, Leisure, Sport &amp; Tourism</t>
  </si>
  <si>
    <t>Social Sciences - Other Topics</t>
  </si>
  <si>
    <t>VF5IF</t>
  </si>
  <si>
    <t>WOS:000443064200006</t>
  </si>
  <si>
    <t>Wang, JF; Wei, XY; Qin, XC; Tian, XP; Liao, L; Li, KM; Zhou, XF; Yang, XW; Wang, FZ; Zhang, TY; Tu, ZC; Chen, B; Liu, YH</t>
  </si>
  <si>
    <t>Wang, Junfeng; Wei, Xiaoyi; Qin, Xiaochu; Tian, Xinpeng; Liao, Li; Li, Kemin; Zhou, Xuefeng; Yang, Xianwen; Wang, Fazuo; Zhang, Tianyu; Tu, Zhengchao; Chen, Bo; Liu, Yonghong</t>
  </si>
  <si>
    <t>Antiviral Merosesquiterpenoids Produced by the Antarctic Fungus Aspergillus ochraceopetaliformis SCSIO 05702</t>
  </si>
  <si>
    <t>JOURNAL OF NATURAL PRODUCTS</t>
  </si>
  <si>
    <t>ORALLY BIOAVAILABLE INHIBITOR; ALPHA-PYRONE; PENICILLIUM; METABOLITES; POTENT; ACETYLCHOLINESTERASE; SESQUITERPENOIDS; ACYLTRANSFERASE; BIOSYNTHESIS; PYRIPYROPENE</t>
  </si>
  <si>
    <t>Five new highly oxygenated alpha-pyrone merosesquiterpenoids, ochraceopones A-E (1-5), together with one new double bond isomer of asteltoxin, isoasteltoxin (6), and two known asteltoxin derivatives, asteltoxin (7) and asteltoxin B (8), were isolated from an Antarctic soil-derived fungus, Aspergillus ochraceopetaliformis SCSIO 05702. Their structures were determined through extensive spectroscopic analysis, CD spectra, quantum mechanical calculations, and X-ray single-crystal diffraction. Ochraceopones A-D (1-4) are the first examples of alpha-pyrone merosesquiterpenoids possessing a linear tetracyclic carbon skeleton, which has not been previously described. All the isolated compounds were tested for their antiviral, cytotoxic, antibacterial, and antitubercular activities. Among these compounds, ochraceopone A (1), isoasteltoxin (6), and asteltoxin (7) exhibited antiviral activities against the H1N1 and H3N2 influenza viruses with IC50 values of &gt;20.0/12.2 +/- 4.10, 0.23 +/- 0.05/0.66 +/- 0.09, and 0.54 +/- 0.06/0.84 +/- 0.02 mu M, respectively. A possible biosynthetic pathway for ochraceopones A-E (1-5) was proposed.</t>
  </si>
  <si>
    <t>[Wang, Junfeng; Tian, Xinpeng; Zhou, Xuefeng; Yang, Xianwen; Wang, Fazuo; Liu, Yonghong] Chinese Acad Sci, South China Sea Inst Oceanol, RNAM Ctr Marine Microbiol,Guangdong Key Lab Marin, CAS Key Lab Trop Marine Bioresources &amp; Ecol, Guangzhou 510301, Guangdong, Peoples R China; [Wei, Xiaoyi] Chinese Acad Sci, South China Bot Garden, Key Lab Plant Resources Conservat &amp; Sustainable U, Guangzhou 510650, Guangdong, Peoples R China; [Qin, Xiaochu; Li, Kemin; Zhang, Tianyu; Tu, Zhengchao] Chinese Acad Sci, Guangzhou Inst Biomed &amp; Hlth, Lab Mol Engn, Guangzhou 510530, Guangdong, Peoples R China; [Qin, Xiaochu; Li, Kemin; Zhang, Tianyu; Tu, Zhengchao] Chinese Acad Sci, Guangzhou Inst Biomed &amp; Hlth, Lab Nat Prod Synth, Guangzhou 510530, Guangdong, Peoples R China; [Liao, Li; Chen, Bo] Polar Res Inst China, SOA Key Lab Polar Sci, Shanghai 200136, Peoples R China</t>
  </si>
  <si>
    <t>Chinese Academy of Sciences; South China Sea Institute of Oceanology, CAS; Chinese Academy of Sciences; South China Botanical Garden, CAS; Chinese Academy of Sciences; Guangzhou Institute of Biomedicine &amp; Health, CAS; Chinese Academy of Sciences; Guangzhou Institute of Biomedicine &amp; Health, CAS; Polar Research Institute of China</t>
  </si>
  <si>
    <t>Liu, YH (corresponding author), Chinese Acad Sci, South China Sea Inst Oceanol, RNAM Ctr Marine Microbiol,Guangdong Key Lab Marin, CAS Key Lab Trop Marine Bioresources &amp; Ecol, Guangzhou 510301, Guangdong, Peoples R China.</t>
  </si>
  <si>
    <t>yonghongliu@scsio.ac.cn</t>
  </si>
  <si>
    <t>LIU, JIALIN/JXN-8034-2024; Yang, Xian/GVU-9087-2022; Zhang, Tianyu/K-4801-2015; Tian, Xin peng/W-1599-2019; Wei, xiaoyi/GZB-0870-2022; wei, xiao/ISB-6027-2023; Liu, Yonghong/E-3118-2014; Yang, Xian-Wen/AAL-4272-2021</t>
  </si>
  <si>
    <t>Zhang, Tianyu/0000-0001-5647-6014; Liu, Yonghong/0000-0001-8327-3108; Yang, Xian-Wen/0000-0002-4967-0844; junfeng, wang/0000-0003-4803-7083; Liao, Li/0000-0002-8548-1928</t>
  </si>
  <si>
    <t>National Key Basic Research Program of China (973)'s Project [2011CB915503]; Open Foundation of the SOA Key Laboratory for Polar Science, Polar Research Institute of China [KP201305]; National High Technology Research and Development Program (863 Program) [2012AA092104]; National Natural Science Foundation of China [21502204, 31270402, 21172230, 41476135, 41476136]; Chinese Academy of Sciences [XDA11030403]; Guangdong Marine Economic Development and Innovation of Regional Demonstration Project [GD2012-D01-001]</t>
  </si>
  <si>
    <t>National Key Basic Research Program of China (973)'s Project(National Basic Research Program of China); Open Foundation of the SOA Key Laboratory for Polar Science, Polar Research Institute of China; National High Technology Research and Development Program (863 Program)(National High Technology Research and Development Program of China); National Natural Science Foundation of China(National Natural Science Foundation of China (NSFC)); Chinese Academy of Sciences(Chinese Academy of Sciences); Guangdong Marine Economic Development and Innovation of Regional Demonstration Project</t>
  </si>
  <si>
    <t>This work was financially supported by the National Key Basic Research Program of China (973)'s Project (2011CB915503), the Open Foundation of the SOA Key Laboratory for Polar Science, Polar Research Institute of China (KP201305), the National High Technology Research and Development Program (863 Program, 2012AA092104), the National Natural Science Foundation of China (Nos. 21502204, 31270402, 21172230, 41476135, and 41476136), the Strategic Priority Research Program of the Chinese Academy of Sciences (XDA11030403), and Guangdong Marine Economic Development and Innovation of Regional Demonstration Project (GD2012-D01-001).</t>
  </si>
  <si>
    <t>AMER CHEMICAL SOC</t>
  </si>
  <si>
    <t>1155 16TH ST, NW, WASHINGTON, DC 20036 USA</t>
  </si>
  <si>
    <t>0163-3864</t>
  </si>
  <si>
    <t>1520-6025</t>
  </si>
  <si>
    <t>J NAT PROD</t>
  </si>
  <si>
    <t>J. Nat. Prod.</t>
  </si>
  <si>
    <t>10.1021/acs.jnatprod.5b00650</t>
  </si>
  <si>
    <t>Plant Sciences; Chemistry, Medicinal; Pharmacology &amp; Pharmacy</t>
  </si>
  <si>
    <t>Plant Sciences; Pharmacology &amp; Pharmacy</t>
  </si>
  <si>
    <t>DB8GK</t>
  </si>
  <si>
    <t>WOS:000368755000008</t>
  </si>
  <si>
    <t>Morrissey, LJ; Hand, M; Kelsey, DE; Wade, BP</t>
  </si>
  <si>
    <t>Morrissey, Laura J.; Hand, Martin; Kelsey, David E.; Wade, Benjamin P.</t>
  </si>
  <si>
    <t>Cambrian High-temperature Reworking of the Rayner-Eastern Ghats Terrane: Constraints from the Northern Prince Charles Mountains Region, East Antarctica</t>
  </si>
  <si>
    <t>JOURNAL OF PETROLOGY</t>
  </si>
  <si>
    <t>Gondwana; HTLP metamorphism; monazite geochronology; Rayner Complex; THERMOCALC</t>
  </si>
  <si>
    <t>GRANULITE-FACIES METAMORPHISM; AMERY ICE SHELF; MINERAL EQUILIBRIA CALCULATIONS; KEMP-LAND COAST; T-T PATHS; U-PB; PRYDZ-BAY; RAUER-GROUP; METAPELITIC GRANULITES; LARSEMANN HILLS</t>
  </si>
  <si>
    <t>Metapelitic rocks from the northern Prince Charles Mountains-East Amery Ice Shelf region of the Rayner Complex, East Antarctica, record high-temperature reworking during Cambrian times. Calculated metamorphic phase diagrams for rocks with varying chemical compositions and mineral assemblages suggest that peak temperatures were 800-870A degrees C at pressures of 5 center dot 5-6 center dot 5 kbar. However, Cambrian-age high-T reworking is patchy and is recorded only in some locations, with other areas recording pristine early Mesoproterozoic-Neoproterozoic assemblages formed during the c. 1000-900 Ma Rayner Orogeny. The spatial distribution of reworking may indicate that the comparatively anhydrous residual rock compositions inherited from the Rayner Orogeny were relatively inert to reworking during the Cambrian. Domains that record Cambrian reworking conceivably underwent hydrous retrogression at the end of the Rayner Orogeny and were therefore comparatively reactive during reheating in the Cambrian. High-T reworking during the Cambrian has previously been recognized in the Prydz Bay region at the margin of the Rayner Complex, but not in the northern Prince Charles Mountains. The Eastern Ghats Province in India, which was formerly contiguous with the Rayner Complex, preserves a similarly enigmatic record of Cambrian geochronology, suggesting that the Rayner-Eastern Ghats terrane as a whole may have experienced selective reworking during the Cambrian. The geodynamic setting for the formation of this thermal regime is not well understood, but the attainment of high crustal temperatures may have been facilitated by a reduced capacity for thermal buffering, arising from limited partial melting within a previously dehydrated crustal column.</t>
  </si>
  <si>
    <t>[Morrissey, Laura J.; Hand, Martin; Kelsey, David E.] Univ Adelaide, Sch Phys Sci, Dept Earth Sci, Adelaide, SA 5005, Australia; [Wade, Benjamin P.] Univ Adelaide, Adelaide Microscopy, Adelaide, SA 5005, Australia</t>
  </si>
  <si>
    <t>University of Adelaide; University of Adelaide</t>
  </si>
  <si>
    <t>Morrissey, LJ (corresponding author), Univ Adelaide, Sch Phys Sci, Dept Earth Sci, Adelaide, SA 5005, Australia.</t>
  </si>
  <si>
    <t>laura.morrissey@adelaide.edu.au</t>
  </si>
  <si>
    <t>Kelsey, David E/D-3676-2009</t>
  </si>
  <si>
    <t>Morrissey, Laura/0000-0001-7506-6117; hand, martin/0000-0003-3743-9706</t>
  </si>
  <si>
    <t>Antarctic Science Advisory Council [4191]</t>
  </si>
  <si>
    <t>Antarctic Science Advisory Council</t>
  </si>
  <si>
    <t>This study was funded by Antarctic Science Advisory Council project 4191.</t>
  </si>
  <si>
    <t>0022-3530</t>
  </si>
  <si>
    <t>1460-2415</t>
  </si>
  <si>
    <t>J PETROL</t>
  </si>
  <si>
    <t>J. Petrol.</t>
  </si>
  <si>
    <t>10.1093/petrology/egv082</t>
  </si>
  <si>
    <t>DJ9ZR</t>
  </si>
  <si>
    <t>WOS:000374572600004</t>
  </si>
  <si>
    <t>Turney, CSM; Mcglone, M; Palmer, J; Fogwill, C; Hogg, A; Thomas, ZA; Lipson, M; Wilmshurst, JM; Fenwick, P; Jones, RT; Hines, B; Clark, GF</t>
  </si>
  <si>
    <t>Turney, Chris S. M.; Mcglone, Matt; Palmer, Jonathan; Fogwill, Christopher; Hogg, Alan; Thomas, Zoe A.; Lipson, Mathew; Wilmshurst, Janet M.; Fenwick, Pavla; Jones, Richard T.; Hines, Ben; Clark, Graeme F.</t>
  </si>
  <si>
    <t>Intensification of Southern Hemisphere westerly winds 2000-1000 years ago: evidence from the subantarctic Campbell and Auckland Islands (52-50°S)</t>
  </si>
  <si>
    <t>JOURNAL OF QUATERNARY SCIENCE</t>
  </si>
  <si>
    <t>Southern Hemisphere westerlies; Subfossil trees; Subantarctic islands; Tree line; Southern Ocean</t>
  </si>
  <si>
    <t>SURFACE-TEMPERATURE VARIABILITY; ANNULAR MODE; HOLOCENE VEGETATION; NEW-ZEALAND; OCEAN; TRENDS; HISTORY; SPREAD</t>
  </si>
  <si>
    <t>The Southern Ocean plays a significant role in driving global climate-ocean-carbon dynamics. Unfortunately, a relative dearth of datasets across the region limits our ability to understand past and future mechanisms of change. Here we report a new dataset from the south-west Pacific: radiocarbon-dated subfossil tree stumps (Dracophyllum) eroding out from peat exposures on Campbell and Auckland Islands (52-50 degrees S). Dracophyllum are the southernmost growing trees in the south-west Pacific and their growth on exposed sites and at altitude is strongly controlled by the prevailing westerly airflow, providing a unique measure of past changes in zonal wind strength. Here we demonstrate a significant collapse in the altitudinal limit of growth between approximately 2000 and 1000 years ago (hereafter 2-1 ka), consistent with other records across the Southern Hemisphere that indicate westerly airflow was significantly enhanced. Importantly, this period in the late Holocene was one of marked change across the broader region, suggesting westerly airflow played a key role in driving Southern Ocean variability at this time. Copyright (C) 2016 John Wiley &amp; Sons, Ltd.</t>
  </si>
  <si>
    <t>[Turney, Chris S. M.; Palmer, Jonathan; Fogwill, Christopher; Thomas, Zoe A.; Lipson, Mathew] Univ New S Wales, Sch Biol Earth &amp; Environm Sci, Climate Change Res Ctr, Sydney, NSW, Australia; [Turney, Chris S. M.; Palmer, Jonathan; Fogwill, Christopher; Thomas, Zoe A.; Lipson, Mathew; Clark, Graeme F.] Univ New S Wales, Sch Biol Earth &amp; Environm Sci, Sydney, NSW, Australia; [Mcglone, Matt; Wilmshurst, Janet M.] Landcare Res, Long Term Ecol Lab, Lincoln, NE, New Zealand; [Hogg, Alan] Univ Waikato, Waikato Radiocarbon Lab, Hamilton, New Zealand; [Wilmshurst, Janet M.] Univ Auckland, Sch Environm, Auckland 1, New Zealand; [Fenwick, Pavla] Gondwana Tree Ring Lab, Canterbury, New Zealand; [Jones, Richard T.] Univ Exeter, Dept Geog, Exeter EX4 4QJ, Devon, England; [Hines, Ben] Victoria Univ Wellington, Sch Geog Environm &amp; Earth Sci, Wellington, New Zealand</t>
  </si>
  <si>
    <t>University of New South Wales Sydney; University of New South Wales Sydney; Landcare Research - New Zealand; University of Waikato; University of Auckland; University of Exeter; Victoria University Wellington</t>
  </si>
  <si>
    <t>Turney, CSM (corresponding author), Univ New S Wales, Sch Biol Earth &amp; Environm Sci, Climate Change Res Ctr, Sydney, NSW, Australia.;Turney, CSM (corresponding author), Univ New S Wales, Sch Biol Earth &amp; Environm Sci, Sydney, NSW, Australia.</t>
  </si>
  <si>
    <t>Fogwill, Chris/AAW-3502-2021; Lipson, Mathew/AAP-6977-2021; Hogg, Alan G/M-8427-2014; Wilmshurst, Janet/O-8611-2019; Fogwill, Christopher/HPF-1150-2023; Palmer, Jonathan/J-7834-2012; Thomas, Zoe/D-1656-2016; Turney, Chris/P-8701-2018; Clark, Graeme/M-6448-2017</t>
  </si>
  <si>
    <t>Fogwill, Chris/0000-0002-6471-1106; Wilmshurst, Janet/0000-0002-4474-8569; Palmer, Jonathan/0000-0002-6665-4483; Lipson, Mathew/0000-0001-5322-1796; Thomas, Zoe/0000-0002-2323-4366; Turney, Chris/0000-0001-6733-0993; Hines, Benjamin/0000-0001-6177-7137; Clark, Graeme/0000-0002-0230-6631</t>
  </si>
  <si>
    <t>Australian Research Council [FL100100195, FT120100004, DP130104156]; Office of Science of the U.S. Department of Energy [DE-AC02-05CH11231]; U.S. Department of Energy, Office of Science Biological and Environmental Research (BER); National Oceanic and Atmospheric Administration Climate Program Office</t>
  </si>
  <si>
    <t>Australian Research Council(Australian Research Council); Office of Science of the U.S. Department of Energy(United States Department of Energy (DOE)); U.S. Department of Energy, Office of Science Biological and Environmental Research (BER)(United States Department of Energy (DOE)); National Oceanic and Atmospheric Administration Climate Program Office(National Oceanic Atmospheric Admin (NOAA) - USA)</t>
  </si>
  <si>
    <t>Part of this work was undertaken as part of the Australasian Antarctic Expedition 2013-2014. We thank the captains and crews of the MV Akademik Shokalskiy and the Tiama. C.S.M.T. and C.F. acknowledge the support of the Australian Research Council (FL100100195, FT120100004 and DP130104156). We also thank the New Zealand Department of Conservation for permission to undertake sampling on the island (permit numbers: 37 687-FAU and NHS-12-08-01). A big thanks to Sarah Richardson, Landcare Research, for her statistical advice. The NOAA-CIRES Twentieth Century Reanalysis Project version 2c used resources of the National Energy Research Scientific Computing Center managed by Lawrence Berkeley National Laboratory which is supported by the Office of Science of the U.S. Department of Energy under Contract No. DE-AC02-05CH11231. Support for the Twentieth Century Reanalysis Project version 2c dataset is provided by the U.S. Department of Energy, Office of Science Biological and Environmental Research (BER), and by the National Oceanic and Atmospheric Administration Climate Program Office.</t>
  </si>
  <si>
    <t>0267-8179</t>
  </si>
  <si>
    <t>1099-1417</t>
  </si>
  <si>
    <t>J QUATERNARY SCI</t>
  </si>
  <si>
    <t>J. Quat. Sci.</t>
  </si>
  <si>
    <t>10.1002/jqs.2828</t>
  </si>
  <si>
    <t>DK2TI</t>
  </si>
  <si>
    <t>WOS:000374766900002</t>
  </si>
  <si>
    <t>Kriwet, J; Engelbrecht, A; Mörs, T; Reguero, M; Pfaff, C</t>
  </si>
  <si>
    <t>Kriwet, Juergen; Engelbrecht, Andrea; Mors, Thomas; Reguero, Marcelo; Pfaff, Cathrin</t>
  </si>
  <si>
    <t>ULTIMATE EOCENE (PRIABONIAN) CHONDRICHTHYANS (HOLOCEPHALI, ELASMOBRANCHII) OF ANTARCTICA</t>
  </si>
  <si>
    <t>JOURNAL OF VERTEBRATE PALEONTOLOGY</t>
  </si>
  <si>
    <t>LA MESETA FORMATION; SEYMOUR-ISLAND; SKATES CHONDRICHTHYES; ANGEL SHARKS; FISH; PALEOGENE; PALEOCENE; PENINSULA; RECORD; FOSSIL</t>
  </si>
  <si>
    <t>The Eocene La Meseta Formation on Seymour Island, Antarctic Peninsula, is known for its remarkable wealth of fossil remains of chondrichthyans and teleosts. Chondrichthyans seemingly were dominant elements in the Antarctic Paleogene fish fauna, but decreased in abundance from middle to late Eocene, during which time remains of bony fishes increase. This decline of chondrichthyans at the end of the Eocene generally is related to sudden cooling of seawater, reduction in shelf area, and increasing shelf depth due to the onset of the Antarctic thermal isolation. The last chondrichthyan records known so far include a chimeroid tooth plate from TELM 6 (Lutetian) and a single pristiophorid rostral spine from TELM 7 (Priabonian). Here, we present new chondrichthyan records of Squalus, Squatina, Pristiophorus, Striatolamia, Palaeohypotodus, Carcharocles, and Ischyodus from the upper parts of TELM 7 (Priabonian), including the first record of Carcharocles sokolovi from Antarctica. This assemblage suggests that chondrichthyans persisted much longer in Antarctic waters despite rather cool sea surface temperatures of approximately 5 degrees C. The final disappearance of chondrichthyans at the Eocene-Oligocene boundary concurs with abrupt ice sheet formation in Antarctica. Diversity patterns of chondrichthyans throughout the La Meseta Formation appear to be related to climatic conditions rather than plate tectonics.</t>
  </si>
  <si>
    <t>[Kriwet, Juergen; Engelbrecht, Andrea; Pfaff, Cathrin] Univ Vienna, Dept Paleontol, Geozentrum, Althanstr 14, A-1090 Vienna, Austria; [Mors, Thomas] Swedish Museum Nat Hist, Dept Palaeobiol, POB 50007, SE-10405 Stockholm, Sweden; [Reguero, Marcelo] Museo La Plata, Div Paleontol Vertebrados, Paseo Bosque S-N,B1900FWA, La Plata, Buenos Aires, Argentina; [Reguero, Marcelo] Consejo Nacl Invest Cient &amp; Tecn, Buenos Aires, DF, Argentina; [Reguero, Marcelo] Inst Antartico Argentino, Balcarce 290,C1064AAF, Buenos Aires, DF, Argentina</t>
  </si>
  <si>
    <t>University of Vienna; Swedish Museum of Natural History; National University of La Plata; Museo La Plata; Consejo Nacional de Investigaciones Cientificas y Tecnicas (CONICET); Instituto Antartico Argentino</t>
  </si>
  <si>
    <t>Kriwet, J (corresponding author), Univ Vienna, Dept Paleontol, Geozentrum, Althanstr 14, A-1090 Vienna, Austria.</t>
  </si>
  <si>
    <t>juergen.kriwet@univie.ac.at; andrea.engelbrecht@univie.ac.at; thomas.mors@nrm.se; regui@fcnym.unlp.edu.ar; cathrin.pfaff@univie.ac.at</t>
  </si>
  <si>
    <t>Kriwet, Jurgen/0000-0002-6439-8455; Engelbrecht, Andrea/0000-0002-4430-452X; Pfaff, Cathrin/0000-0001-5539-2097</t>
  </si>
  <si>
    <t>Austrian Science Fund (FWF) [P26465-B25]; Swedish Research Council (VR) [2009-4447]; Consejo Nacional de Investigaciones Cientificas y Tecnicas (CONICET) [PIP 0462]; Argentinian National Agency for Promotion of Science and Technology (ANPCyT) [PICTO-2010-152 0093]; Austrian Science Fund (FWF) [P26465] Funding Source: Austrian Science Fund (FWF)</t>
  </si>
  <si>
    <t>Austrian Science Fund (FWF)(Austrian Science Fund (FWF)); Swedish Research Council (VR)(Swedish Research Council); Consejo Nacional de Investigaciones Cientificas y Tecnicas (CONICET)(Consejo Nacional de Investigaciones Cientificas y Tecnicas (CONICET)); Argentinian National Agency for Promotion of Science and Technology (ANPCyT)(ANPCyT); Austrian Science Fund (FWF)(Austrian Science Fund (FWF))</t>
  </si>
  <si>
    <t>We would like to thank J. Hagstrom (NRM) and J. Moly (MLP) for assistance in the field. The Argentinian Antarctic Institute (IAA-DNA), Argentinian Air Force, and Swedish Polar Research Secretariat (SPFS) are acknowledged for logistic support for field work on Seymour Island. We are grateful to Z. Johanson and E. Bernard (Natural History Museum London) for the possibility to study comparative material under their care. Comments by T. D. Cook (University of Alberta, Canada) and C. Duffin (Surrey, U.K.) greatly improved the manuscript. Financial support for this project is provided by the Austrian Science Fund (FWF, grant P26465-B25 to J.K.), the Swedish Research Council (VR grant 2009-4447 to T.M.), the Consejo Nacional de Investigaciones Cientificas y Tecnicas (CONICET grant PIP 0462 to M.R.), and the Argentinian National Agency for Promotion of Science and Technology (ANPCyT grant PICTO-2010-152 0093 to M.R.).</t>
  </si>
  <si>
    <t>0272-4634</t>
  </si>
  <si>
    <t>1937-2809</t>
  </si>
  <si>
    <t>J VERTEBR PALEONTOL</t>
  </si>
  <si>
    <t>J. Vertebr. Paleontol.</t>
  </si>
  <si>
    <t>e1160911</t>
  </si>
  <si>
    <t>10.1080/02724634.2016.1160911</t>
  </si>
  <si>
    <t>DS2EJ</t>
  </si>
  <si>
    <t>WOS:000380558100018</t>
  </si>
  <si>
    <t>Saheed, PP; Mitra, AK; Momin, IM; Mahapatra, DK; Rajagopal, EN</t>
  </si>
  <si>
    <t>Saheed, P. P.; Mitra, Ashis K.; Momin, Imranali M.; Mahapatra, Debasis K.; Rajagopal, E. N.</t>
  </si>
  <si>
    <t>Satellite information of sea ice for model validation</t>
  </si>
  <si>
    <t>Monsoon; Coupled Model; Sea Ice; Model Validation; Observation of Sea Ice; Satellite measurements; ReAanlysis; HadISST; Arctic; Sea Ice concentration</t>
  </si>
  <si>
    <t>DATA ASSIMILATION</t>
  </si>
  <si>
    <t>Emergence of extensively large computational facilities have enabled the scientific world to use earth system models for understating the prevailing dynamics of the earth's atmosphere, ocean and cryosphere and their inter relations. The sea ice in the arctic and the Antarctic has been identified as one of the main proxies to study the climate changes. The rapid sea-ice melting in the Arctic and disappearance of multi-year sea ice has become a matter of concern. The earth system models couple the ocean, atmosphere and sea-ice in order to bring out the possible inter connections between these three very important components and their role in the changing climate. The Indian monsoon is seen to be subjected to non-linear changes in the recent years. The rapid ice melt in the Arctic sea ice is apparently linked to the changes in the weather and climate of the Indian subcontinent. The recent findings reveal the relation between the high events occurs in the Indian subcontinent and the Arctic sea ice melt episodes. The coupled models are being used in order to study the depth of these relations. However, the models have to be validated extensively by using measured parameters. The satellite measurements of sea-ice starts from way back in 1979. There have been many data sets available since then. Here in this study, an evaluation of the existing data sets is conducted. There are some uncertainties in these data sets. It could be associated with the absence of a single sensor for a long period of time and also the absence of accurate in-situ measurements in order to validate the satellite measurements.</t>
  </si>
  <si>
    <t>[Saheed, P. P.; Mitra, Ashis K.; Momin, Imranali M.; Mahapatra, Debasis K.; Rajagopal, E. N.] Earth Syst Sci Org, Natl Ctr Medium Range Weather Forecasting, Minist Earth Sci, A-50,Sect 62, Noida 201309, UP, India</t>
  </si>
  <si>
    <t>Earth System Science Organization (ESSO); Ministry of Earth Sciences (MoES) - India; National Centre for Medium Range Weather Forecasting (NCMRWF)</t>
  </si>
  <si>
    <t>Saheed, PP (corresponding author), Earth Syst Sci Org, Natl Ctr Medium Range Weather Forecasting, Minist Earth Sci, A-50,Sect 62, Noida 201309, UP, India.</t>
  </si>
  <si>
    <t>saheed@ncmrwf.gov.in</t>
  </si>
  <si>
    <t>98772G</t>
  </si>
  <si>
    <t>10.1117/12.2223513</t>
  </si>
  <si>
    <t>WOS:000389680500035</t>
  </si>
  <si>
    <t>Thakur, PK; Dixit, A; Chouksey, A; Aggarwal, SP; Kumar, AS</t>
  </si>
  <si>
    <t>Thakur, Praveen K.; Dixit, Ankur; Chouksey, Arpit; Aggarwal, S. P.; Kumar, A. Senthil</t>
  </si>
  <si>
    <t>Ice sheet features identification, glacier velocity estimation and glacier zones classification using high resolution optical and SAR data</t>
  </si>
  <si>
    <t>RISAT-1; cartosat-2; Gangotri glacier; Antarctic; ALOS-PALSAR-2</t>
  </si>
  <si>
    <t>SATELLITE RADAR INTERFEROMETRY; GANGOTRI GLACIER; SURFACE VELOCITIES; THICKNESS; SNOW</t>
  </si>
  <si>
    <t>Ice sheet features, glacier velocity estimation and glacier zones or facies classification are important research activities highlighting the dynamics of ice sheets and glaciers in Polar Regions and in inland glaciers. The C-band inSAR data is of ERS 1/2 tandem pairs with one day interval for spring of 1996 and L-band PolinSAR data of ALOS-PALSAR-2 for spring of 2015 is used in glacier velocity estimation. Glacier classification is done using multi-temporal C-and L-band SAR data and also with single date full polarization and hybrid polarization data. In first part, a mean displacement of 9 cm day-1 was recorded using SAR interferometric technique using ERS 1/2 tandem data of 25-26 March 1996. Previous studies using optical data based methods has shown that Gangotri glacier moves with an average displacement of 4 cm and 6 cm day-1. As present results using ERS 1/2 data were obtained for one day interval, i.e., 25th March 05:00pm to 26th March 05: 00 pm, 1996, variation in displacement may be due to presence of snow or wet snow melting over the glacier, since during this time snow melt season is in progress in Gangotri glacier area. Similarly the results of glacier velocity derived using ALOS-PALSAR-2 during 22 March - 19 April 2015 shows the mean velocity of 5.4 to 7.4 cm day-1 during 28 day time interval for full glacier and main trunk glacier respectively. This L-band data is already corrected for Faraday's rotation effects by JAXA, and tropospheric correction are also being applied to refine the results. These results are significant as it is after gap of 20 years that DInSAR methods has given glacier velocity for fast moving Himalayan glacier. RISAT-1 FRS-1 hybrid data is used to create Raney's decompositions parameters, which are further used for glacier zones classification using support vector machine based classification method. The Radarsat-2 and ALOS-PALSAR-2 fully polarized data of year 2010 and 2015 are also used for glacier classification. The identified and classified glaciers zones in Gangotri area are debris covered ice, clean ice, percolation zone, wet snow zone, ice wall, supra-glacier lakes and moraines,similarly ice sheet features and glacier landforms such as such as Nunataks, Wind scoop, Glacier flow paths, Moraine, Horn, Sastrugi, and Crevasses were identified in Antarctic. RISAT-1 FRS-1 data was also successful in mapping the Crevasses hidden under wind-blown ice in Antarctic's study area.</t>
  </si>
  <si>
    <t>[Thakur, Praveen K.; Dixit, Ankur; Chouksey, Arpit; Aggarwal, S. P.; Kumar, A. Senthil] Indian Space Res Org, Indian Inst Remote Sensing, Dehra Dun, India</t>
  </si>
  <si>
    <t>Department of Space (DoS), Government of India; Indian Space Research Organisation (ISRO); Indian Institute of Remote Sensing (IIRS)</t>
  </si>
  <si>
    <t>Thakur, PK (corresponding author), Indian Space Res Org, Indian Inst Remote Sensing, Dehra Dun, India.</t>
  </si>
  <si>
    <t>praveen@iirs.gov.in</t>
  </si>
  <si>
    <t>Dixit, Ankur/AAQ-2366-2021; Thakur, Praveen Kumar/G-4295-2010</t>
  </si>
  <si>
    <t>10.1117/12.2224027</t>
  </si>
  <si>
    <t>WOS:000389680500019</t>
  </si>
  <si>
    <t>Bolshiyanov, DY; Sokolov, VT; Yozhikov, IS; Bulatov, RK; Rachkova, AN; Fedorov, GB; Paramzin, AS</t>
  </si>
  <si>
    <t>Bolshiyanov, D. Yu.; Sokolov, V. T.; Yozhikov, I. S.; Bulatov, R. K.; Rachkova, A. N.; Fedorov, G. B.; Paramzin, A. S.</t>
  </si>
  <si>
    <t>Conditions of the alimentation and the variability of glaciers of the Severnaya Zemlya Archipelago from observations of 2014-2015</t>
  </si>
  <si>
    <t>positive glacier mass balance; surge of the Vavilov Glacier</t>
  </si>
  <si>
    <t>Glaciological investigations on the Severnaya Zemlya archipelago were resumed in 2013 when a new research station Ice base Cape Baranova had been organized by Arctic and Antarctic Research Institute in the North-West of the Island Bolshevik. In 2014-2015, the glaciological polygon named after Leonid Govorukha was established on glaciers Mushketov and Semenov-Tyan-Shanskiy. Two years of observations on the glaciers allowed us to estimate the mass balance of the Mushketov Glacier, which was positive in the 2013-2015. By the end of the melting periods, a superimposed ice was formed on the glacier with thickness of 4 cm in 2014 and 17 cm in 2015, on the average. A snow-firn mass with its vertical thickness exceeding 3 m had been found on the upper part of the Semenov-Tyan-Shansky Glacier. Based on analyses of summer air temperatures and precipitation at the meteorological station The Golomyanny Island, we assumed that in 2013-2015 the mass balance was also positive on the other glaciers of the archipelago, located to the North of the studied glaciers on the Island of Bolshevik. Data of remote sensing of the catastrophic advancing of the outlet glacier from the Vavilov Ice Cap, obtained in 2013-2016, testify that for much longer period, i.e. during 25 years, conditions for the ice mass accumulation were favorable on the southern and eastern slopes of the Vavilov Ice Cap.</t>
  </si>
  <si>
    <t>[Bolshiyanov, D. Yu.; Sokolov, V. T.; Yozhikov, I. S.; Bulatov, R. K.; Rachkova, A. N.; Fedorov, G. B.; Paramzin, A. S.] Arctic &amp; Antarctic Res Inst, St Petersburg, Russia; [Bolshiyanov, D. Yu.; Bulatov, R. K.; Fedorov, G. B.] St Petersburg State Univ, St Petersburg, Russia</t>
  </si>
  <si>
    <t>Bolshiyanov, DY (corresponding author), Arctic &amp; Antarctic Res Inst, St Petersburg, Russia.;Bolshiyanov, DY (corresponding author), St Petersburg State Univ, St Petersburg, Russia.</t>
  </si>
  <si>
    <t>bolshiyanov@aari.ru</t>
  </si>
  <si>
    <t>Fedorov, Grigory/N-5788-2019; Jozhikov, Ilya/E-8747-2019</t>
  </si>
  <si>
    <t>Fedorov, Grigory/0000-0003-2269-4501;</t>
  </si>
  <si>
    <t>10.15356/2076-6734-2016-3-358-368</t>
  </si>
  <si>
    <t>WOS:000408236100005</t>
  </si>
  <si>
    <t>Bennett, S; Wernberg, T; Connell, SD; Hobday, AJ; Johnson, CR; Poloczanska, ES</t>
  </si>
  <si>
    <t>Bennett, Scott; Wernberg, Thomas; Connell, Sean D.; Hobday, Alistair J.; Johnson, Craig R.; Poloczanska, Elvira S.</t>
  </si>
  <si>
    <t>The 'Great Southern Reef': social, ecological and economic value of Australia's neglected kelp forests</t>
  </si>
  <si>
    <t>ecosystem services; ecosystem values; temperate reef</t>
  </si>
  <si>
    <t>CLIMATE-CHANGE; COASTAL ECOSYSTEMS; WESTERN-AUSTRALIA; SUBTIDAL HABITAT; BASE-LINE; MARINE; BIOGEOGRAPHY; PATTERNS; BIODIVERSITY; TEMPERATE</t>
  </si>
  <si>
    <t>Kelp forests define &gt;8000 km of temperate coastline across southern Australia, where similar to 70% of Australians live, work and recreate. Despite this, public and political awareness of the scale and significance of this marine ecosystem is low, and research investment miniscule (&lt;10%), relative to comparable ecosystems. The absence of an identity for Australia's temperate reefs as an entity has probably contributed to the current lack of appreciation of this system, which is at odds with its profound ecological, social and economic importance. We define the 'Great Southern Reef' (GSR) as Australia's spatially connected temperate reef system. The GSR covers similar to 71000 km(2) and represents a global biodiversity hotspot across at least nine phyla. GSR-related fishing and tourism generates at least AU$ 10 billion year(-1), and in this context the GSR is a significant natural asset for Australia and globally. Maintaining the health and ecological functioning of the GSR is critical to the continued sustainability of human livelihoods and wellbeing derived from it. By recognising the GSR as an entity we seek to boost awareness, and take steps towards negotiating the difficult challenges the GSR faces in a future of unprecedented coastal population growth and global change.</t>
  </si>
  <si>
    <t>[Bennett, Scott; Wernberg, Thomas] Univ Western Australia, UWA Oceans Inst, Crawley, WA 6009, Australia; [Bennett, Scott; Wernberg, Thomas] Univ Western Australia, Sch Plant Biol, Crawley, WA 6009, Australia; [Bennett, Scott] Curtin Univ, Dept Environm &amp; Agr, Bentley, WA 6102, Australia; [Connell, Sean D.] Univ Adelaide, Southern Seas Ecol Labs, Adelaide, SA 5005, Australia; [Connell, Sean D.] Univ Adelaide, Inst Environm, Adelaide, SA 5005, Australia; [Connell, Sean D.] Univ Adelaide, Sch Biol Sci, Adelaide, SA 5005, Australia; [Hobday, Alistair J.] CSIRO, Oceans &amp; Atmosphere Flagship, Hobart, Tas 7000, Australia; [Johnson, Craig R.] Univ Tasmania, Inst Marine &amp; Antarctic Studies, Hobart, Tas 7001, Australia; [Poloczanska, Elvira S.] CSIRO, Oceans &amp; Atmosphere Flagship, Ecosci Precinct, Brisbane, Qld 4001, Australia; [Poloczanska, Elvira S.] Univ Queensland, Global Change Inst, Brisbane, Qld 4072, Australia</t>
  </si>
  <si>
    <t>University of Western Australia; University of Western Australia; Curtin University; University of Adelaide; University of Adelaide; University of Adelaide; Commonwealth Scientific &amp; Industrial Research Organisation (CSIRO); University of Tasmania; Commonwealth Scientific &amp; Industrial Research Organisation (CSIRO); University of Queensland</t>
  </si>
  <si>
    <t>Bennett, S (corresponding author), Univ Western Australia, UWA Oceans Inst, Crawley, WA 6009, Australia.</t>
  </si>
  <si>
    <t>scott.bennett1@curtin.edu.au</t>
  </si>
  <si>
    <t>poloczanska, elvira s/P-5356-2014; Bennett, Scott/A-8747-2016; Wernberg, Thomas/B-4172-2010; Hobday, Alistair/A-1460-2012; Johnson, Craig/E-1788-2013; Connell, Sean/A-8874-2008</t>
  </si>
  <si>
    <t>Bennett, Scott/0000-0003-2969-7430; Wernberg, Thomas/0000-0003-1185-9745; Johnson, Craig/0000-0002-9511-905X; Connell, Sean/0000-0002-5350-6852; poloczanska, elvira/0000-0001-8470-0925</t>
  </si>
  <si>
    <t>University of Western Australia; CSIRO; Government of Western Australia Department of Fisheries; BMT Oceanica; CSIRO Publishing; Edith Cowan University; Australian Research Council</t>
  </si>
  <si>
    <t>University of Western Australia; CSIRO(Commonwealth Scientific &amp; Industrial Research Organisation (CSIRO)); Government of Western Australia Department of Fisheries; BMT Oceanica; CSIRO Publishing; Edith Cowan University; Australian Research Council(Australian Research Council)</t>
  </si>
  <si>
    <t>This work arose from discussions during the 10th International Temperate Reefs Symposium (ITRS) in Perth 2014. The ITRS was sponsored by The University of Western Australia, CSIRO, the Government of Western Australia Department of Fisheries, BMT Oceanica, CSIRO Publishing and Edith Cowan University. S. Bennett and T. Wernberg convened the public forum 'The Forgotten Coast - the State and Future of Australia's Temperate Reefs' and wrote the paper with inputs from all authors. T. Wernberg and S. D. Connell were supported by Australian Research Council Future Fellowships; A. J. Hobday was supported by a travel grant to the ITRS.</t>
  </si>
  <si>
    <t>10.1071/MF15232</t>
  </si>
  <si>
    <t>WOS:000367259300006</t>
  </si>
  <si>
    <t>Stobart, B; Mayfield, S; Mundy, C; Hobday, AJ; Hartog, JR</t>
  </si>
  <si>
    <t>Stobart, B.; Mayfield, S.; Mundy, C.; Hobday, A. J.; Hartog, J. R.</t>
  </si>
  <si>
    <t>Comparison of in situ and satellite sea surface-temperature data from South Australia and Tasmania: how reliable are satellite data as a proxy for coastal temperatures in temperate southern Australia?</t>
  </si>
  <si>
    <t>climate change; in situ temperature; latitudinal temperature variation; satellite-derived sea-surface temperature; temperature fluctuation</t>
  </si>
  <si>
    <t>CLIMATE-CHANGE; POPULATION-DYNAMICS; WESTERN-AUSTRALIA; CORAL-REEFS; MARINE; VARIABILITY; PATTERNS; IMPACTS; OCEAN; ENVIRONMENTS</t>
  </si>
  <si>
    <t>Satellite sea-surface temperature (SST) is widely used for biological modelling and ecological studies, assuming it represents subsurface in situ temperature (IST). We tested this assumption at 32 coastal sites in southern Australia, spanning a wide geographic range. Annual IST regimes are described and were demonstrated to be highly correlated with SST. Mean annual daily temperature differences between SST and IST (DTD) were generally small, varying spatially and seasonally (range 0-1 degrees C). No correlation between DTDs and a range of site attributes was found, indicating the importance of site-specific factors. Seasonal DTDs were not geographically consistent, being higher in South Australia during the summer (mean 1.4 degrees C) than in Tasmania (mean 0.5 degrees C). Generally, small annual mean DTDs justify using SST for broad-scale ecological and climate-change studies, although considerable DTDs at some sites suggest that using SST at smaller spatial and temporal scales is unlikely to be appropriate. In addition, SST data lack information on daily temperature fluctuation that may be biologically relevant. Excepting South Australia, where spatially consistent summer DTDs would allow a correction factor, this site-specific variation is hard to correct. In spite of this, studies that rely on SST should consider the implications of such variation on the level of certainty associated with temperature-based predictions.</t>
  </si>
  <si>
    <t>[Stobart, B.] SARDI Aquat Sci, POB 1511, Port Lincoln, SA 5606, Australia; [Mayfield, S.; Mundy, C.] Inst Marine &amp; Antarctic Studies, Private Bag 49, Hobart, Tas 7001, Australia; [Hobday, A. J.; Hartog, J. R.] CSIRO Oceans &amp; Atmosphere Flagship, Hobart, Tas 7000, Australia</t>
  </si>
  <si>
    <t>Stobart, B (corresponding author), SARDI Aquat Sci, POB 1511, Port Lincoln, SA 5606, Australia.</t>
  </si>
  <si>
    <t>ben.stobart@sa.gov.au</t>
  </si>
  <si>
    <t>Hobday, Alistair/A-1460-2012; Mundy, Craig/G-3390-2014</t>
  </si>
  <si>
    <t>Mundy, Craig/0000-0002-1945-3750</t>
  </si>
  <si>
    <t>10.1071/MF14340</t>
  </si>
  <si>
    <t>WOS:000375094200009</t>
  </si>
  <si>
    <t>Cossu, R; Forrest, AL; Roop, HA; Dunbar, GB; Vandergoes, MJ; Levy, RH; Stumpner, P; Schladow, SG</t>
  </si>
  <si>
    <t>Cossu, R.; Forrest, A. L.; Roop, H. A.; Dunbar, G. B.; Vandergoes, M. J.; Levy, R. H.; Stumpner, P.; Schladow, S. G.</t>
  </si>
  <si>
    <t>Seasonal variability in turbidity currents in Lake Ohau, New Zealand, and their influence on sedimentation</t>
  </si>
  <si>
    <t>BRITISH-COLUMBIA; LILLOOET LAKE; GLACIAL LAKE; DEEP LAKE; RECORD; ENTRAINMENT; UNDERFLOWS; DEPOSITION; TURBULENCE; DYNAMICS</t>
  </si>
  <si>
    <t>Layers of sediment that are deposited on the floor of Lake Ohau, New Zealand, offer a means to reconstruct past climate conditions in the Southern Hemisphere at subdecadal and annual resolution. A robust understanding of the modern physical processes that control the influx and dispersal of sediment in the lake is required to reconstruct climate from these sedimentary archives. In this study, water temperature and velocity measurements collected during 2012-13 were analysed to determine the primary physical processes that influence sediment transport in the lake. Sediment input from river inflow occurs throughout the year but exhibits strong seasonal variation. Large inflow events (Q&gt;500m(3)s(-1)) that follow strong summer rainstorms trigger high-concentration turbidity currents, which are the main agents for sediment delivery and deposition. During winter, smaller turbidity currents also occur after rain events and contribute to annual sediment accumulation. In addition, large internal waves were observed during the summer and may influence sedimentation. In conclusion, several processes including river inflow, internal waves and convectively driven flows control sediment deposition and accumulation in the Lake Ohau system. We utilise these observations to establish a conceptual model to explain the observed infill stratigraphy in Lake Ohau and guide interpretation of the longer sedimentary record.</t>
  </si>
  <si>
    <t>[Cossu, R.; Forrest, A. L.] Univ Tasmania, Australian Maritime Coll, Maritime Way, Newnham, Tas 7248, Australia; [Forrest, A. L.; Stumpner, P.; Schladow, S. G.] Univ Calif Davis, Dept Civil &amp; Environm Engn, Tahoe Environm Res Ctr, 1 Shields Ave, Davis, CA 95616 USA; [Roop, H. A.; Vandergoes, M. J.; Levy, R. H.] GNS Sci, Dept Paleontol, Fairway Dr, Avalon 5010, New Zealand; [Roop, H. A.; Dunbar, G. B.] Victoria Univ Wellington, Antarctic Res Ctr, Wellington 6140, New Zealand</t>
  </si>
  <si>
    <t>University of Tasmania; Australian Maritime College; University of California System; University of California Davis; GNS Science - New Zealand; Victoria University Wellington</t>
  </si>
  <si>
    <t>Cossu, R (corresponding author), Univ Tasmania, Australian Maritime Coll, Maritime Way, Newnham, Tas 7248, Australia.</t>
  </si>
  <si>
    <t>remo.cossu@utas.edu.au</t>
  </si>
  <si>
    <t>Forrest, Alexander L/C-3765-2014; Levy, Richard H/E-2477-2011; Cossu, Remo/C-6085-2016</t>
  </si>
  <si>
    <t>Cossu, Remo/0000-0002-1712-6692; Levy, Richard/0000-0002-8783-0167</t>
  </si>
  <si>
    <t>GNS Science 'Global Change through Time' program; Sarah Beanland Memorial Scholarship; ANZICE program [VICX0704]; PMEL [4122]; Eggers fund; National Science Foundation East Asia and Pacific Summer Institute</t>
  </si>
  <si>
    <t>GNS Science 'Global Change through Time' program; Sarah Beanland Memorial Scholarship; ANZICE program; PMEL(National Oceanic Atmospheric Admin (NOAA) - USA); Eggers fund; National Science Foundation East Asia and Pacific Summer Institute</t>
  </si>
  <si>
    <t>This work was financially supported by the GNS Science 'Global Change through Time' program, the Sarah Beanland Memorial Scholarship, and the ANZICE program (VICX0704), PMEL Contribution Number 4122, and the Eggers fund. We thank Gary Wilson and the Marine Sciences Department, University of Otago, for logistical support. The National Science Foundation East Asia and Pacific Summer Institute supported Paul Stumpner. In addition, we thank Chris and Rae Spiers for their hospitality and large workspace at the Killin Barn, and the Inkersell family at Lake Ohau Station for land access and ongoing support. In addition, we thank three anonymous reviewers for their comments and suggestions, which helped to improve the manuscript.</t>
  </si>
  <si>
    <t>10.1071/MF15043</t>
  </si>
  <si>
    <t>EB3IC</t>
  </si>
  <si>
    <t>WOS:000387256400012</t>
  </si>
  <si>
    <t>Whitehead, TO; Kato, A; Ropert-Coudert, Y; Ryan, PG</t>
  </si>
  <si>
    <t>Whitehead, T. O.; Kato, A.; Ropert-Coudert, Y.; Ryan, P. G.</t>
  </si>
  <si>
    <t>Habitat use and diving behaviour of macaroni Eudyptes chrysolophus and eastern rockhopper E-chrysocome filholi penguins during the critical pre-moult period</t>
  </si>
  <si>
    <t>KING PENGUINS; FORAGING STRATEGIES; SUBMESOSCALE FRONTS; BREEDING BIOLOGY; SOUTHERN-OCEAN; MARION ISLAND; SEGREGATION; POLAR; SEA; PREDATORS</t>
  </si>
  <si>
    <t>After the breeding season, penguins must replenish body condition and accumulate sufficient energy stores before their annual moult ashore; failure to do so may lead to starvation. Knowing where and how adult penguins find adequate resources during this energy-intensive stage is vital to understanding their susceptibility to ecosystem changes. GPS and TDR loggers were used to track movements and record diving behaviour of macaroni Eudyptes chrysolophus and eastern rockhopper E. chrysocome filholi penguins from Marion Island (46 degrees S, 37 degrees E) during the pre-moult foraging trip in 2012, 2013 and 2014. Both species consistently travelled in a southerly direction to forage in cooler (similar to 3.5 degrees C) Antarctic Zone waters south of the Antarctic Polar Front where they associated with mesoscale eddies and sub-mesoscale filaments. Dives were predominantly to depths of 30 to 60 m, but macaroni penguins dived deeper more often. Mean trip durations of both species were similar (33 +/- 6 days), but maximum foraging ranges of macaroni penguins (903 +/- 165 km) were greater than eastern rockhopper penguins (696 +/- 152 km). Spatial overlap of core foraging areas between species was high, but a 2- to 3-week difference in departure dates reduced potential interspecific competition at sea. Trip durations were longer in 2014 compared to 2013, when decreased productivity may have reduced prey availability, forcing penguins to remain longer at sea. Continued monitoring is vital to understand how crested penguins at Marion Island adapt to the predicted southward shift of major frontal boundaries.</t>
  </si>
  <si>
    <t>[Whitehead, T. O.; Ropert-Coudert, Y.; Ryan, P. G.] Univ Cape Town, DST NRF Ctr Excellence, Percy FitzPatrick Inst African Ornithol, Private Bag X3, ZA-7701 Rondebosch, South Africa; [Kato, A.; Ropert-Coudert, Y.] Ctr Etudes Biol Chize, CNRS, UMR 7372, Stn Ecol Chize La Rochelle, F-79360 Villiers En Bois, France; [Kato, A.; Ropert-Coudert, Y.] CNRS, UMR 7178, F-67037 Strasbourg, France</t>
  </si>
  <si>
    <t>National Research Foundation - South Africa; University of Cape Town; Centre National de la Recherche Scientifique (CNRS); CNRS - Institute of Ecology &amp; Environment (INEE); Centre National de la Recherche Scientifique (CNRS); CNRS - National Institute of Nuclear and Particle Physics (IN2P3); Universites de Strasbourg Etablissements Associes; Universite de Strasbourg</t>
  </si>
  <si>
    <t>Whitehead, TO (corresponding author), Univ Cape Town, DST NRF Ctr Excellence, Percy FitzPatrick Inst African Ornithol, Private Bag X3, ZA-7701 Rondebosch, South Africa.</t>
  </si>
  <si>
    <t>whitehead.otto@gmail.com</t>
  </si>
  <si>
    <t>Kato, Akiko/W-2447-2019</t>
  </si>
  <si>
    <t>Kato, Akiko/0000-0002-8947-3634</t>
  </si>
  <si>
    <t>South African National Antarctic Programme; SA Department of Science and Technology; National Research Foundation; University of Cape Town; World Wide Fund for Nature, Australia</t>
  </si>
  <si>
    <t>We thank Maelle Connan, Ben Dilley, Delia Davies, Stefan Schoombie and Kim Stevens for assistance with fieldwork; Francis Crenner, Matthieu Brucker, Nicolas Chatelain for customising loggers; Pierre Pistorius for providing additional TDR loggers; and Maelle Connan and three anonymous reviewers for valuable comments on the manuscript. The South African National Antarctic Programme provided funding and logistical support; additional funding was provided by the SA Department of Science and Technology, National Research Foundation, University of Cape Town and World Wide Fund for Nature, Australia.</t>
  </si>
  <si>
    <t>10.1007/s00227-015-2794-6</t>
  </si>
  <si>
    <t>WOS:000369243700013</t>
  </si>
  <si>
    <t>Hindell, MA; Walters, A</t>
  </si>
  <si>
    <t>Castellini, MA; Mellish, JA</t>
  </si>
  <si>
    <t>Hindell, Mark A.; Walters, Andrea</t>
  </si>
  <si>
    <t>Diet and nutrition</t>
  </si>
  <si>
    <t>MARINE MAMMAL PHYSIOLOGY: REQUISITES FOR OCEAN LIVING</t>
  </si>
  <si>
    <t>CRC Marine Biology Series</t>
  </si>
  <si>
    <t>SOUTHERN ELEPHANT SEALS; ODOBENUS-ROSMARUS-DIVERGENS; FATTY-ACID SIGNATURES; CRAB-EATER SEALS; STABLE-ISOTOPES; HYDRURGA-LEPTONYX; FORAGING ECOLOGY; LEOPARD SEALS; ARCTOCEPHALUS-GAZELLA; HABITAT SELECTION</t>
  </si>
  <si>
    <t>[Hindell, Mark A.; Walters, Andrea] Univ Tasmania, Inst Marine &amp; Antarctic Studies, Hobart, Tas, Australia</t>
  </si>
  <si>
    <t>Hindell, MA (corresponding author), Univ Tasmania, Inst Marine &amp; Antarctic Studies, Hobart, Tas, Australia.</t>
  </si>
  <si>
    <t>Walters, Andrea/0000-0002-7166-5689; Hindell, Mark/0000-0002-7823-7185</t>
  </si>
  <si>
    <t>CRC PRESS-TAYLOR &amp; FRANCIS GROUP</t>
  </si>
  <si>
    <t>BOCA RATON</t>
  </si>
  <si>
    <t>6000 BROKEN SOUND PARKWAY NW, STE 300, BOCA RATON, FL 33487-2742 USA</t>
  </si>
  <si>
    <t>2154-7769</t>
  </si>
  <si>
    <t>978-1-4822-4269-0; 978-1-482-24267-6</t>
  </si>
  <si>
    <t>CRC MAR BIOL SER</t>
  </si>
  <si>
    <t>CRC Mar. Biol. Ser.</t>
  </si>
  <si>
    <t>10.1201/b19614</t>
  </si>
  <si>
    <t>BN6RL</t>
  </si>
  <si>
    <t>WOS:000486089100008</t>
  </si>
  <si>
    <t>Rosen, D; Hindle, A</t>
  </si>
  <si>
    <t>Rosen, David; Hindle, Allyson</t>
  </si>
  <si>
    <t>Fasting</t>
  </si>
  <si>
    <t>ELEPHANT SEAL PUPS; BOTTLE-NOSED DOLPHINS; ATLANTIC HARP SEALS; ANTARCTIC FUR SEALS; BODY-COMPOSITION; METABOLIC-RATE; PROTEIN CATABOLISM; ENERGY-EXPENDITURE; HORMONAL CHANGES; NEONATAL GROWTH</t>
  </si>
  <si>
    <t>[Rosen, David] Univ British Columbia, Marine Mammal Res Unit, Vancouver, BC, Canada; [Hindle, Allyson] Harvard Med Sch, Massachusetts Gen Hosp, Boston, MA 02115 USA</t>
  </si>
  <si>
    <t>University of British Columbia; Harvard University; Massachusetts General Hospital; Harvard Medical School</t>
  </si>
  <si>
    <t>Rosen, D (corresponding author), Univ British Columbia, Marine Mammal Res Unit, Vancouver, BC, Canada.</t>
  </si>
  <si>
    <t>WOS:000486089100010</t>
  </si>
  <si>
    <t>Owen, K; Dunlop, RA; Monty, JP; Chung, D; Noad, MJ; Donnelly, D; Goldizen, AW; Mackenzie, T</t>
  </si>
  <si>
    <t>Owen, Kylie; Dunlop, Rebecca A.; Monty, Jason P.; Chung, Daniel; Noad, Michael J.; Donnelly, David; Goldizen, Anne W.; Mackenzie, Thomas</t>
  </si>
  <si>
    <t>Detecting surface-feeding behavior by rorqual whales in accelerometer data</t>
  </si>
  <si>
    <t>MARINE MAMMAL SCIENCE</t>
  </si>
  <si>
    <t>drag; DTAG; excess x-acceleration; foraging effort; humpback whale; lunge; minimum specific acceleration</t>
  </si>
  <si>
    <t>MEGAPTERA-NOVAEANGLIAE; HUMPBACK WHALES; FORAGING BEHAVIOR; EUBALAENA-GLACIALIS; KILLER WHALES; DRAG; MARINE; KINEMATICS; MIGRATION; PATTERNS</t>
  </si>
  <si>
    <t>The movement of marine animals feeding at the sea surface is restricted by wave drag and a reduction in propulsive efficiency. Many rorqual whale species lunge feed at the surface, yet existing methodologies for detecting lunges in accelerometer data have not been applied to surface-feeding behavior. Our study aimed to develop a method to detect surface-feeding behavior in accelerometer data and in doing so, determine whether wave drag influences the detection of surface-feeding behavior. A new acceleration parameter is described that considers the forward acceleration of the animal relative to its pitch. The new parameter, along with information on the deceleration and pitch angle, was then used in an automatic lunge detecting algorithm followed by a visual classification method that detected approximately 70% of the lunges observed during focal follow sampling. The forward acceleration of lunges decreased significantly with increasing proximity to the surface. This lower acceleration at the surface may influence the ability to detect lunge feeding behavior close to the surface. Future research should attempt to determine the cause of this relationship, which may be the influence of changes in the forces acting on the whale or behavioral flexibility by the whale.</t>
  </si>
  <si>
    <t>[Owen, Kylie; Dunlop, Rebecca A.; Noad, Michael J.] Univ Queensland, Sch Vet Sci, Cetacean Ecol &amp; Acoust Lab, Gatton, Qld 4343, Australia; [Monty, Jason P.; Chung, Daniel; Mackenzie, Thomas] Univ Melbourne, Dept Mech Engn, Melbourne, Vic 3010, Australia; [Donnelly, David] Australian Orca Database, Melbourne, Vic 3128, Australia; [Goldizen, Anne W.] Univ Queensland, Sch Biol Sci, Behav Ecol Res Grp, St Lucia, Qld 4072, Australia</t>
  </si>
  <si>
    <t>University of Queensland; University of Melbourne; Melbourne Bioinformatics; Melbourne Genomics Health Alliance; University of Queensland</t>
  </si>
  <si>
    <t>Owen, K (corresponding author), Univ Queensland, Sch Vet Sci, Cetacean Ecol &amp; Acoust Lab, Gatton, Qld 4343, Australia.</t>
  </si>
  <si>
    <t>kylie.owen@uqconnect.edu.au</t>
  </si>
  <si>
    <t>Chung, Daniel/F-4468-2016; Noad, Michael/D-7975-2013; Owen, Kylie/K-9400-2015; Goldizen, Anne/G-7366-2012</t>
  </si>
  <si>
    <t>Chung, Daniel/0000-0003-3732-364X; Noad, Michael/0000-0002-2799-8320; Owen, Kylie/0000-0002-8986-482X; Goldizen, Anne/0000-0003-0101-4108; MONTY, JASON/0000-0003-4433-2640</t>
  </si>
  <si>
    <t>Sapphire Coast Marine Discovery Centre; Cat Balou Whale Watching Cruises; Australian Marine Mammal Centre at the Australian Antarctic Division [10/20]</t>
  </si>
  <si>
    <t>Sapphire Coast Marine Discovery Centre; Cat Balou Whale Watching Cruises; Australian Marine Mammal Centre at the Australian Antarctic Division</t>
  </si>
  <si>
    <t>We thank Eva Hartvig for assisting with DTAG programming and calibration, all field volunteers but in particular Scott Sheehan, and the staff and students of the Cetacean Ecology and Acoustics Laboratory for their support. Thanks also to the Sapphire Coast Marine Discovery Centre and Cat Balou Whale Watching Cruises for their support. This research was conducted under Scientific Licence number SL100183, and Commonwealth permit numbers 2011-0002 and 2012-0004. Ethical approval was granted by the NSW Director General's Animal Ethics committee (11/2374) and the University of Queensland Animal Welfare Unit (SVS/NSW/198/11/AMMC). Funding for the research was provided by the Australian Marine Mammal Centre at the Australian Antarctic Division (grant number 10/20).</t>
  </si>
  <si>
    <t>0824-0469</t>
  </si>
  <si>
    <t>1748-7692</t>
  </si>
  <si>
    <t>MAR MAMMAL SCI</t>
  </si>
  <si>
    <t>Mar. Mamm. Sci.</t>
  </si>
  <si>
    <t>10.1111/mms.12271</t>
  </si>
  <si>
    <t>DA2LH</t>
  </si>
  <si>
    <t>WOS:000367625800018</t>
  </si>
  <si>
    <t>Jacquet, J; Blood-Patterson, E; Brooks, C; Ainley, D</t>
  </si>
  <si>
    <t>Jacquet, Jennifer; Blood-Patterson, Eli; Brooks, Cassandra; Ainley, David</t>
  </si>
  <si>
    <t>'Rational use' in Antarctic waters</t>
  </si>
  <si>
    <t>Antarctica; CCAMLR; Ecosystem based fishery management; Fisheries; Marine protected areas; Rational use; Southern Ocean; International environmental law</t>
  </si>
  <si>
    <t>The Convention for the Conservation of Antarctic Marine Living Resources (CAMLR Convention) is the legal doctrine presiding over the exploitation of marine life in the Southern Ocean. At recent Commission (CCAMLR) meetings, some member states have interpreted the term 'rational use' in the Convention text as 'the unrestricted right to fish' and, most recently, the term has been evoked in opposition to the establishment of marine protected areas. Tensions over interpretation of the term at CCAMLR are tracked and presented. The term's meaning and original intent are also explored in the publicly available record of treaty negotiations. According to negotiation documents as well as the CAMLR Convention, the term 'rational use' does not imply an unconditional right to exploit marine life in the Southern Ocean. Like 'scientific uncertainty,' which has also been evoked in ways that reflect social values, 'rational use' should be seen as a value-laden term, rather than as an explicit mandate to fish. (C) 2015 The Authors. Published by Elsevier Ltd.</t>
  </si>
  <si>
    <t>[Jacquet, Jennifer] NYU, Dept Environm Studies, New York, NY 10003 USA; [Blood-Patterson, Eli] NYU, Sch Law, US Asia Law Inst, New York, NY 10003 USA; [Brooks, Cassandra] Stanford Univ, Emmett Interdisciplinary Program Environm &amp; Resou, Stanford, CA 94305 USA; [Ainley, David] HT Harvey &amp; Associates, Los Gatos, CA USA</t>
  </si>
  <si>
    <t>New York University; New York University; Stanford University</t>
  </si>
  <si>
    <t>Jacquet, J (corresponding author), NYU, Dept Environm Studies, New York, NY 10003 USA.</t>
  </si>
  <si>
    <t>jacquet@nyu.edu</t>
  </si>
  <si>
    <t>Brooks, Cassandra/0000-0002-1397-0394</t>
  </si>
  <si>
    <t>International Environmental Law Clinic at NYU; Alfred P. Sloan research fellowship; National Science Foundation [ANT-0944411]; Price Fellowship; Emmett Interdisciplinary Program in Environment and Resources</t>
  </si>
  <si>
    <t>International Environmental Law Clinic at NYU; Alfred P. Sloan research fellowship(Alfred P. Sloan Foundation); National Science Foundation(National Science Foundation (NSF)); Price Fellowship; Emmett Interdisciplinary Program in Environment and Resources</t>
  </si>
  <si>
    <t>The authors wish to acknowledge the International Environmental Law Clinic at NYU (which supported Jennifer Jacquet and Eli Blood-Patterson), the Alfred P. Sloan research fellowship (which supported Jennifer Jacquet), National Science Foundation grant ANT-0944411 (which supported David Ainley), the Price Fellowship and Emmett Interdisciplinary Program in Environment and Resources (which supported Cassandra Brooks) as well as Bob Hofman and Claire Christian for valuable feedback on the manuscript. Thank you also to Rosemary Nash at SCAR for her kind assistance.</t>
  </si>
  <si>
    <t>10.1016/j.marpol.2015.09.031</t>
  </si>
  <si>
    <t>WOS:000367021000004</t>
  </si>
  <si>
    <t>Semmler, T; Kasper, MA; Jung, T; Serrar, S</t>
  </si>
  <si>
    <t>Semmler, Tido; Kasper, Marta A.; Jung, Thomas; Serrar, Soumia</t>
  </si>
  <si>
    <t>Remote impact of the Antarctic atmosphere on the southern mid-latitudes</t>
  </si>
  <si>
    <t>Antarctic; southern mid-latitudes; NWP; higher-lower-latitude linkages</t>
  </si>
  <si>
    <t>PREDICTION</t>
  </si>
  <si>
    <t>Would improved prediction capabilities over the Antarctic lead to improved forecast skill in southern mid-latitudes? Or more generally speaking, how large is the influence of the Antarctic atmosphere on the weather and climate of the southern mid-latitudes? To answer these questions we assess the skill of two sets of 14-day forecasts with the Integrated Forecast System of the European Centre for Medium-Range Weather Forecasts with and without relaxation towards the Interim reanalysis of the ECMWF over the Antarctic south of 75 degrees S. Due to the relaxation both the mean absolute error and the root mean square error decrease by 2 to 5% averaged over the southern mid-latitudes with the larger values in winter. Over southern South America and the South Atlantic error reductions are slightly larger and amount to around 5 to 6%. No dependency of the error reductions of the El Nino Southern Oscillation or the Antarctic Oscillation could be found although error reductions averaged over the whole southern mid-latitudes tend to be larger in situations with decreased westerly flow in the mid-latitudes. In weather situations with anomalous meridional flow from Antarctica to southern South America improvements are most pronounced in the latter area which implies that this is the major pathway for Antarctic influence on southern mid-latitude weather and climate.</t>
  </si>
  <si>
    <t>[Semmler, Tido; Kasper, Marta A.; Jung, Thomas; Serrar, Soumia] Helmholtz Ctr Polar &amp; Marine Res, Alfred Wegener Inst, Bremerhaven, Germany; [Jung, Thomas] Univ Bremen, D-28359 Bremen, Germany</t>
  </si>
  <si>
    <t>Semmler, T (corresponding author), Helmholtz Ctr Polar &amp; Marine Res, Alfred Wegener Inst, Bremerhaven, Germany.</t>
  </si>
  <si>
    <t>tido.semmler@awi.de</t>
  </si>
  <si>
    <t>Semmler, Tido/AAH-4808-2020; Jung, Thomas/J-5239-2012</t>
  </si>
  <si>
    <t>Semmler, Tido/0000-0002-2254-4901; Jung, Thomas/0000-0002-2651-1293</t>
  </si>
  <si>
    <t>Helmholtz Climate Initiative REKLIM</t>
  </si>
  <si>
    <t>The authors acknowledge ECMWF for providing the supercomputing resources under ECMWF special project SPDEJUNG2 as well as the Integrated Forecast System (IFS). S. S. benefited from funding through the Helmholtz Climate Initiative REKLIM.</t>
  </si>
  <si>
    <t>10.1127/metz/2015/0685</t>
  </si>
  <si>
    <t>DE4LI</t>
  </si>
  <si>
    <t>WOS:000370599900005</t>
  </si>
  <si>
    <t>Tahon, G; Tytgat, B; Stragier, P; Willems, A</t>
  </si>
  <si>
    <t>Tahon, Guillaume; Tytgat, Bjorn; Stragier, Pieter; Willems, Anne</t>
  </si>
  <si>
    <t>Analysis of cbbL, nifH, and pufLM in Soils from the Sor Rondane Mountains, Antarctica, Reveals a Large Diversity of Autotrophic and Phototrophic Bacteria</t>
  </si>
  <si>
    <t>MICROBIAL ECOLOGY</t>
  </si>
  <si>
    <t>Antarctica; RuBisCO; nifH; pufLM; Bacteria; Clone libraries</t>
  </si>
  <si>
    <t>RIBULOSE-1,5-BISPHOSPHATE CARBOXYLASE/OXYGENASE GENES; LARGE-SUBUNIT GENES; RIBULOSE 1,5-BISPHOSPHATE CARBOXYLASE/OXYGENASE; COMMUNITY STRUCTURE; FRESH-WATER; ANOXYGENIC PHOTOTROPHS; HORIZONTAL TRANSFER; INTERACTIVE TREE; EAST ANTARCTICA; RUBISCO GENES</t>
  </si>
  <si>
    <t>Cyanobacteria are generally thought to be responsible for primary production and nitrogen fixation in the microbial communities that dominate Antarctic ecosystems. Recent studies of bacterial communities in terrestrial Antarctica, however, have shown that Cyanobacteria are sometimes only scarcely present, suggesting that other bacteria presumably take over their role as primary producers and diazotrophs. The diversity of key genes in these processes was studied in surface samples from the Sor Rondane Mountains, Dronning Maud Land, using clone libraries of the large subunit of ribulose-1,5-biphosphate carboxylase/oxygenase (RuBisCO) genes (cbbL, cbbM) and dinitrogenase-reductase (nifH) genes. We recovered a large diversity of non-cyanobacterial cbbL type IC in addition to cyanobacterial type IB, suggesting that non-cyanobacterial autotrophs may contribute to primary production. The nifH diversity recovered was predominantly related to Cyanobacteria, particularly members of the Nostocales. We also investigated the occurrence of proteorhodopsin and anoxygenic phototrophy as mechanisms for non-Cyanobacteria to exploit solar energy. While proteorhodopsin genes were not detected, a large diversity of genes coding for the light and medium subunits of the type 2 phototrophic reaction center (pufLM) was observed, suggesting for the first time, that the aerobic photoheterotrophic lifestyle may be important in oligotrophic high-altitude ice-free terrestrial Antarctic habitats.</t>
  </si>
  <si>
    <t>[Tahon, Guillaume; Tytgat, Bjorn; Stragier, Pieter; Willems, Anne] Univ Ghent, Microbiol Lab, Dept Biochem &amp; Microbiol, B-9000 Ghent, Belgium</t>
  </si>
  <si>
    <t>Ghent University</t>
  </si>
  <si>
    <t>Willems, A (corresponding author), Univ Ghent, Microbiol Lab, Dept Biochem &amp; Microbiol, KL Ledeganckstr 35, B-9000 Ghent, Belgium.</t>
  </si>
  <si>
    <t>anne.willems@ugent.be</t>
  </si>
  <si>
    <t>; Willems, Anne/B-2872-2010</t>
  </si>
  <si>
    <t>, G/0000-0001-7020-4162; Willems, Anne/0000-0002-8421-2881</t>
  </si>
  <si>
    <t>Fund for Scientific Research-Flanders [G.0146.12]; Belgian Science Policy Office (CCAMBIO)</t>
  </si>
  <si>
    <t>Fund for Scientific Research-Flanders(FWO); Belgian Science Policy Office (CCAMBIO)</t>
  </si>
  <si>
    <t>This work was funded by the Fund for Scientific Research-Flanders (project G.0146.12). Additional support was obtained from the Belgian Science Policy Office (project CCAMBIO).</t>
  </si>
  <si>
    <t>0095-3628</t>
  </si>
  <si>
    <t>1432-184X</t>
  </si>
  <si>
    <t>MICROB ECOL</t>
  </si>
  <si>
    <t>Microb. Ecol.</t>
  </si>
  <si>
    <t>10.1007/s00248-015-0704-6</t>
  </si>
  <si>
    <t>CZ4UF</t>
  </si>
  <si>
    <t>WOS:000367097500014</t>
  </si>
  <si>
    <t>Yarzábal, LA</t>
  </si>
  <si>
    <t>CastroSowinski, S</t>
  </si>
  <si>
    <t>Andres Yarzabal, Luis</t>
  </si>
  <si>
    <t>Antarctic Psychrophilic Microorganisms and Biotechnology: History, Current Trends, Applications, and Challenges</t>
  </si>
  <si>
    <t>MICROBIAL MODELS: FROM ENVIRONMENTAL TO INDUSTRIAL SUSTAINABILITY</t>
  </si>
  <si>
    <t>Microorganisms for Sustainability</t>
  </si>
  <si>
    <t>BURKHOLDERIA-CEPACIA COMPLEX; DIRECT ETHANOL FERMENTATION; ACTIVE KILLER TOXIN; LOW-TEMPERATURE; DRY VALLEYS; BASIDIOMYCETOUS YEAST; BACTERIAL DIVERSITY; DNA-DAMAGE; ANTIMICROBIAL COMPOUNDS; CELLULOLYTIC BACTERIA</t>
  </si>
  <si>
    <t>The potential use of psychrophilic (i.e., cold-loving) microorganisms as biotechnological tools remained a promise for decades. This vision changed in the early 1990s when scientists began to seriously guess on their usefulness for the industry and the medical field, among many others. Nowadays, most of these expectations have been confirmed, and psychrophiles are considered as sustainable and invaluable resources for the development of diverse biotechnological processes and/or products, many of which have already been patented or are protected by industrial secrecy. Besides, some new and unexpected applications of psychrophiles are starting to emerge as scientists discover new species in the most extreme environments. Antarctica is such an extraordinary place to prospect for this kind of microorganisms: it is the coldest and driest continent on Earth, with different climatic regions and many different ecosystems (both terrestrial and aquatic). Antarctic microbes have been investigated for more than a century. Currently, more than two hundreds patents have been filed related to actual or potential commercial biotechnological applications based on Antarctic genetic resources; many of them concern microorganisms and their metabolites. This chapter highlights recent reports dealing with products and/or processes derived from the study of Antarctic psychrophilic or psychrotolerant microorganisms, with emphasis on their applications in the fields of medicine, nanotechnology, energy production, and agriculture. It also focuses on the specific problems of bioprospecting in Antarctic pristine environments, under the light of past and present experiences</t>
  </si>
  <si>
    <t>[Andres Yarzabal, Luis] Univ Los Andes, Nucleo La Hechicera, Fac Ciencias, Lab Microbiol Mol &amp; Biotecnol, Av Alberto Carnevalli, Merida 5101, Estado Merida, Venezuela; [Andres Yarzabal, Luis] Univ Cuenca, Lab Biol Mol, Carrera Ingn Agron, Fac Ciencias Agr, Av 12 Octubre, Cuenca, Ecuador</t>
  </si>
  <si>
    <t>University of Los Andes Venezuela; Universidad de Cuenca</t>
  </si>
  <si>
    <t>Yarzábal, LA (corresponding author), Univ Los Andes, Nucleo La Hechicera, Fac Ciencias, Lab Microbiol Mol &amp; Biotecnol, Av Alberto Carnevalli, Merida 5101, Estado Merida, Venezuela.;Yarzábal, LA (corresponding author), Univ Cuenca, Lab Biol Mol, Carrera Ingn Agron, Fac Ciencias Agr, Av 12 Octubre, Cuenca, Ecuador.</t>
  </si>
  <si>
    <t>yluis@ula.ve</t>
  </si>
  <si>
    <t>Yarzábal, Luis Andrés/S-5845-2019</t>
  </si>
  <si>
    <t>Yarzábal, Luis Andrés/0000-0003-1243-7704</t>
  </si>
  <si>
    <t>152 BEACH ROAD, #21-01/04 GATEWAY EAST, SINGAPORE, 189721, SINGAPORE</t>
  </si>
  <si>
    <t>2512-1901</t>
  </si>
  <si>
    <t>2512-1898</t>
  </si>
  <si>
    <t>978-981-10-2555-6; 978-981-10-2554-9</t>
  </si>
  <si>
    <t>MICROORG SUSTAIN</t>
  </si>
  <si>
    <t>10.1007/978-981-10-2555-6_5</t>
  </si>
  <si>
    <t>10.1007/978-981-10-2555-6</t>
  </si>
  <si>
    <t>Biotechnology &amp; Applied Microbiology; Green &amp; Sustainable Science &amp; Technology</t>
  </si>
  <si>
    <t>Biotechnology &amp; Applied Microbiology; Science &amp; Technology - Other Topics</t>
  </si>
  <si>
    <t>BL0PP</t>
  </si>
  <si>
    <t>WOS:000446311400006</t>
  </si>
  <si>
    <t>Parrilli, E; Sannino, F; Citarella, V; Colarusso, A; Ricciardelli, A; Marino, G; Tutino, ML</t>
  </si>
  <si>
    <t>Parrilli, Ermenegilda; Sannino, Filomena; Citarella, Valeria; Colarusso, Andrea; Ricciardelli, Annarita; Marino, Gennaro; Tutino, Maria Luisa</t>
  </si>
  <si>
    <t>Recombinant Antibody Fragment Production in the Antarctic Marine Bacterium Pseudoalteromonas haloplanktis TAC125</t>
  </si>
  <si>
    <t>EXPRESSION; COLD</t>
  </si>
  <si>
    <t>Within the biopharmaceutical industry, the antibody market is one of the fastest-growing segments, due to wide applications of recombinant antibodies and antibody fragments in research, diagnostics and therapy. Large-scale production of this protein class requires the use of a platform characterised by low costs, accessible for genetic modifications and easily scaled up. Although their production in prokaryotic hosts can significantly lower production costs, recombinant antibody production in conventional bacterial hosts, such as Escherichia coli, may result in formation of inclusion bodies. As protein solubility (and consequently its correct folding) may be enhanced by lowering of the expression temperature, a novel process for recombinant antibody fragment production at low temperatures was set up using Pseudoalteromonas haloplanktis TAC125 as recombinant expression host. To test the versatility of the new process developed in the Antarctic Gram-negative bacterium, three model proteins, corresponding to the most common formats of antibody fragments, were produced: Fab, scFv and VH. Several critical aspects were considered in the construction of an ad hoc genetic expression system for each model protein, including the selection of molecular signals for periplasmic protein translocation and the choice of an optimal gene-expression strategy. For instance, an artificial operon was designed and constructed for Fab fragment production in fully heterodimeric form. Furthermore, a novel defined minimal medium was made up to maximise bacterial growth parameters and recombinant production yields. All antibody fragments were produced in soluble and biologically competent form. The observed ability of the Antarctic bacterium to produce recombinant antibody fragments was justified by the observation that P. haloplanktis TAC125 genome contains an unusually high number of genes encoding peptidyl-prolyl cis-trans isomerases, making this bacterium the host of choice for the recombinant production of this protein class.</t>
  </si>
  <si>
    <t>[Parrilli, Ermenegilda; Sannino, Filomena; Citarella, Valeria; Colarusso, Andrea; Ricciardelli, Annarita; Marino, Gennaro; Tutino, Maria Luisa] Univ Napoli Federico II, Dipartimento Sci Chim, Via Cinthia 4, I-80126 Naples, Italy</t>
  </si>
  <si>
    <t>University of Naples Federico II</t>
  </si>
  <si>
    <t>Tutino, ML (corresponding author), Univ Napoli Federico II, Dipartimento Sci Chim, Via Cinthia 4, I-80126 Naples, Italy.</t>
  </si>
  <si>
    <t>tutino@unina.it</t>
  </si>
  <si>
    <t>parrilli, ermenegilda/K-4616-2016; Ricciardelli, Annarita/AAF-3219-2021; TUTINO, MARIA LUISA/L-1834-2013; parrilli, ermenegilda/JAZ-0586-2023</t>
  </si>
  <si>
    <t>parrilli, ermenegilda/0000-0002-9002-5409; Ricciardelli, Annarita/0000-0003-2084-0579;</t>
  </si>
  <si>
    <t>10.1007/978-981-10-2555-6_8</t>
  </si>
  <si>
    <t>WOS:000446311400009</t>
  </si>
  <si>
    <t>Manucharova, NA; Trosheva, EV; Kol'tsova, EM; Demkina, EV; Karaevskaya, EV; Rivkina, EM; Mardanov, AV; El'-Registan, GI</t>
  </si>
  <si>
    <t>Manucharova, N. A.; Trosheva, E. V.; Kol'tsova, E. M.; Demkina, E. V.; Karaevskaya, E. V.; Rivkina, E. M.; Mardanov, A. V.; El'-Registan, G. I.</t>
  </si>
  <si>
    <t>Characterization of the structure of the prokaryotic complex of Antarctic permafrost by molecular genetic techniques</t>
  </si>
  <si>
    <t>MICROBIOLOGY</t>
  </si>
  <si>
    <t>permafrost soils; Antarctica; metagenomic analysis; fluorescent in situ hybridization (FISH); metabolically active prokaryotic complex</t>
  </si>
  <si>
    <t>EXTENDED STATIONARY-PHASE; MICROCOCCUS-LUTEUS; MICROORGANISMS; HETEROGENEITY; DIVERSITY; CULTURES; CELLS</t>
  </si>
  <si>
    <t>A prokaryotic mesophilic organotrophic community responsible for 10% of the total microbial number determined by epifluorescence microscopy was reactivated in the samples of Antarctic permafrost retrieved from the environment favoring long-term preservation of microbial communities (7500 years). No culturable forms were obtained without resuscitation procedures (CFU = 0). Proteobacteria, Actinobacteria, and Firmicutes were the dominant microbial groups in the complex. Initiation of the reactivated microbial complex by addition of chitin (0.1% wt/vol) resulted in an increased share of metabolically active biomass (up to 50%) due to the functional domination of chitinolytics caused by the target resource. Thus, sequential application of resuscitation procedures and initiation of a specific physiological group (in this case, chitinolytics) to a permafrost-preserved microbial community made it possible to reveal a prokaryotic complex capable of reversion of metabolic activity (FISH data), to determine its phylogenetic structure by metagenomic analysis, and to isolate a pure culture of the dominant microorganism with high chitinolytic activity.</t>
  </si>
  <si>
    <t>[Manucharova, N. A.; Trosheva, E. V.; Kol'tsova, E. M.] Moscow MV Lomonosov State Univ, Fac Soil Sci, Dept Soil Biol, Moscow, Russia; [Demkina, E. V.; El'-Registan, G. I.] Russian Acad Sci, Biotechnol Res Ctr, Winogradsky Inst Microbiol, Moscow, Russia; [Karaevskaya, E. V.; Rivkina, E. M.] Russian Acad Sci, Inst Physicochem &amp; Biol Problems Soil Sci, Moscow, Russia; [Mardanov, A. V.] Russian Acad Sci, Inst Bioengn, Biotechnol Res Ctr, Moscow, Russia</t>
  </si>
  <si>
    <t>Lomonosov Moscow State University; Russian Academy of Sciences; Research Center of Biotechnology RAS; Russian Academy of Sciences; Pushchino Scientific Center for Biological Research (PSCBI) of the Russian Academy of Sciences; Institute of Physicohemical &amp; Biological Problems of Soil Science; Russian Academy of Sciences; Research Center of Biotechnology RAS</t>
  </si>
  <si>
    <t>Manucharova, NA (corresponding author), Moscow MV Lomonosov State Univ, Fac Soil Sci, Dept Soil Biol, Moscow, Russia.</t>
  </si>
  <si>
    <t>manucharova@mail.ru</t>
  </si>
  <si>
    <t>Manucharova, Natalia A./R-9951-2016; Mardanov, Andrey/S-2294-2016; Rivkina, Elizaveta/O-5344-2014; Koltsova, Ekaterina/F-8337-2017</t>
  </si>
  <si>
    <t>Mardanov, Andrey/0000-0002-8245-8757; Manucharova, Natalia/0000-0002-7304-7753; Rivkina, Elizaveta/0000-0001-7949-8056; Koltsova, Ekaterina/0000-0003-0167-6726; Karaevskaya, Ekaterina/0000-0003-1596-4980</t>
  </si>
  <si>
    <t>RSF [14-50-00029]</t>
  </si>
  <si>
    <t>RSF(Russian Science Foundation (RSF))</t>
  </si>
  <si>
    <t>The work was supported by grant RSF No 14-50-00029.</t>
  </si>
  <si>
    <t>0026-2617</t>
  </si>
  <si>
    <t>1608-3237</t>
  </si>
  <si>
    <t>MICROBIOLOGY+</t>
  </si>
  <si>
    <t>10.1134/S0026261716010057</t>
  </si>
  <si>
    <t>DE7CJ</t>
  </si>
  <si>
    <t>WOS:000370791300012</t>
  </si>
  <si>
    <t>Oh, JS; Kang, S; Ahn, DH; Kim, MK; Lee, H; Chi, YM; Park, H</t>
  </si>
  <si>
    <t>Oh, Jae Soon; Kang, Seunghyun; Ahn, Do Hwan; Kim, Mi-Kyeong; Lee, Hyoungseok; Chi, Young Min; Park, Hyun</t>
  </si>
  <si>
    <t>Complete mitochondrial genome of the Antarctic dragonfish, Parachaenichthys charcoti (Notothenioidei: Bathydraconidae)</t>
  </si>
  <si>
    <t>Antarctic fish; complete mitochondrial genome; Parachaenichthys charcoti</t>
  </si>
  <si>
    <t>FISHES PERCIFORMES; TELEOSTEI; SEARCH; CLADES; GENE</t>
  </si>
  <si>
    <t>The complete mitochondrial genome of the Antarctic dragonfish, Parachaenichthys charcoti (Vaillant, 1906), is described, representing the first complete mitochondrial genome sequence of the family Bathydraconidae. The mitochondrial genome is 18,202 base pairs in length and encodes 13 protein-coding genes, 23 tRNAs, 2 rRNAs and 2 control regions. The overall base composition is A: 25.8%, T: 25.3%, G: 17.9% and C: 31.0%, with an A: T content of 51.1%. The complete mitochondrial genome sequence will be useful for phylogenetic, evolutionary and functional studies of Antarctic Notothenioids.</t>
  </si>
  <si>
    <t>[Oh, Jae Soon; Chi, Young Min] Korea Univ, Coll Life Sci, Div Biotechnol, Seoul, South Korea; [Kang, Seunghyun; Ahn, Do Hwan; Kim, Mi-Kyeong; Lee, Hyoungseok; Park, Hyun] Korea Polar Res Inst, Div Polar Life Sci, Inchon 406840, South Korea; [Ahn, Do Hwan; Park, Hyun] Univ Sci &amp; Technol, Dept Polar Sci, Daejeon, South Korea</t>
  </si>
  <si>
    <t>Korea University; Korea Polar Research Institute (KOPRI); Korea Institute of Ocean Science &amp; Technology (KIOST); University of Science &amp; Technology (UST)</t>
  </si>
  <si>
    <t>Chi, YM (corresponding author), Korea Univ, Coll Life Sci, Div Biotechnol, Seoul, South Korea.;Park, H (corresponding author), Korea Polar Res Inst, Div Polar Life Sci, Inchon 406840, South Korea.</t>
  </si>
  <si>
    <t>ezeg@korea.ac.kr; hpark@kopri.re.kr</t>
  </si>
  <si>
    <t>Antarctic Organisms: Cold-adaptation Mechanism and Its Application grant - Korea Polar Research Institute [PE15070]</t>
  </si>
  <si>
    <t>Antarctic Organisms: Cold-adaptation Mechanism and Its Application grant - Korea Polar Research Institute</t>
  </si>
  <si>
    <t>This work was supported by an Antarctic Organisms: Cold-adaptation Mechanism and Its Application grant (PE15070), funded by the Korea Polar Research Institute.</t>
  </si>
  <si>
    <t>10.3109/19401736.2015.1007309</t>
  </si>
  <si>
    <t>WOS:000377956700037</t>
  </si>
  <si>
    <t>Zheng, JR; Lawrence, J; Content, R; Churilov, V; Zhang, KY; Yuan, XY; Lu, HP</t>
  </si>
  <si>
    <t>Angeli, GZ; Dierickx, P</t>
  </si>
  <si>
    <t>Zheng, Jessica R.; Lawrence, Jon; Content, Robert; Churilov, Vladimir; Zhang, Kaiyuan; Yuan, Xiangyan; Lu, Haiping</t>
  </si>
  <si>
    <t>Antarctic Survey Telescope(AST3-3) NIR camera for the Kunlun Infrared Sky Survey (KISS): Thermal Optimization and System performance</t>
  </si>
  <si>
    <t>MODELING, SYSTEMS ENGINEERING, AND PROJECT MANAGEMENT FOR ASTRONOMY VII</t>
  </si>
  <si>
    <t>Conference on Modeling, Systems Engineering, and Project Management for Astronomy VII</t>
  </si>
  <si>
    <t>JUN 26-28, 2016</t>
  </si>
  <si>
    <t>near infrared camera; thermal emission; scattered light; Antarctic astronomy</t>
  </si>
  <si>
    <t>The Antarctic survey telescope (AST 3-3) near infrared(NIR) camera is designed to conduct the Kunlun Infrared Sky Survey which will provide a comprehensive exploration of the time varying Universe in the near infrared. It is going to be located at Dome A, on the Antarctic plateau, one of the most unique low background sites at the K-dark band (2.4 mu m). Carefully designed thermal emission from the telescope and the K-dark camera is very important to realize background limited operation. We setup a scattering and thermal emission model of the whole system to optimize the camera performance. An exposure time calculator was also built to predict system performance.</t>
  </si>
  <si>
    <t>[Zheng, Jessica R.; Lawrence, Jon; Content, Robert; Churilov, Vladimir] Australian Astron Observ, 105 Delhi Rd, N Ryde, NSW 2113, Australia; [Zhang, Kaiyuan; Yuan, Xiangyan; Lu, Haiping] Chinese Acad Sci, Nanjing Inst Astron Opt &amp; Technol, Natl Observ, 188 Bancang St, Nanjing 210042, Jiangsu, Peoples R China</t>
  </si>
  <si>
    <t>Chinese Academy of Sciences; Nanjing Institute of Astronomical Optics &amp; Technology, NAOC, CAS</t>
  </si>
  <si>
    <t>Zheng, JR (corresponding author), Australian Astron Observ, 105 Delhi Rd, N Ryde, NSW 2113, Australia.</t>
  </si>
  <si>
    <t>jzheng@aao.gov.au</t>
  </si>
  <si>
    <t>Lu, Haiping/T-8153-2019</t>
  </si>
  <si>
    <t>Lu, Haiping/0000-0002-0349-2181; Zheng, Rong/0000-0002-3498-4437; Lawrence, Jon/0000-0002-6998-6993</t>
  </si>
  <si>
    <t>978-1-5106-0201-4; 978-1-5106-0202-1</t>
  </si>
  <si>
    <t>99111H</t>
  </si>
  <si>
    <t>10.1117/12.2231065</t>
  </si>
  <si>
    <t>BF9PS</t>
  </si>
  <si>
    <t>WOS:000385794000044</t>
  </si>
  <si>
    <t>Kusahara, K</t>
  </si>
  <si>
    <t>Kusahara, Kazuya</t>
  </si>
  <si>
    <t>Warming ocean erodes ice sheets</t>
  </si>
  <si>
    <t>WEST ANTARCTICA; PINE ISLAND; THWAITES; RETREAT</t>
  </si>
  <si>
    <t>Antarctic ice sheets are a key player in sea-level rise in a warming climate. Now an ice-sheet modelling study clearly demonstrates that an Antarctic ice sheet/shelf system in the Atlantic Ocean will be regulated by the warming of the surrounding Southern Ocean, not by marine-ice-sheet instability.</t>
  </si>
  <si>
    <t>[Kusahara, Kazuya] Univ Tasmania, Antarctic Climate &amp; Ecosyst Cooperat Res Ctr, Hobart, Tas 7000, Australia</t>
  </si>
  <si>
    <t>University of Tasmania; Antarctic Climate &amp; Ecosystems Cooperative Research Centre (ACE CRC)</t>
  </si>
  <si>
    <t>Kusahara, K (corresponding author), Univ Tasmania, Antarctic Climate &amp; Ecosyst Cooperat Res Ctr, Hobart, Tas 7000, Australia.</t>
  </si>
  <si>
    <t>kazuya.kusahara@gmail.com</t>
  </si>
  <si>
    <t>Kusahara, Kazuya/0000-0003-4067-7959</t>
  </si>
  <si>
    <t>10.1038/nclimate2900</t>
  </si>
  <si>
    <t>WOS:000367030800011</t>
  </si>
  <si>
    <t>Moriyama, Y; Ito, F; Takeda, H; Yano, T; Okabe, M; Kuraku, S; Keeley, FW; Koshiba-Takeuchi, K</t>
  </si>
  <si>
    <t>Moriyama, Yuuta; Ito, Fumihiro; Takeda, Hiroyuki; Yano, Tohru; Okabe, Masataka; Kuraku, Shigehiro; Keeley, Fred W.; Koshiba-Takeuchi, Kazuko</t>
  </si>
  <si>
    <t>Evolution of the fish heart by sub/neofunctionalization of an elastin gene</t>
  </si>
  <si>
    <t>NATURE COMMUNICATIONS</t>
  </si>
  <si>
    <t>WHOLE-GENOME DUPLICATION; TUNA THUNNUS-ALBACARES; BULBUS ARTERIOSUS; CONUS ARTERIOSUS; GASTEROSTEUS-ACULEATUS; EMBRYONIC-DEVELOPMENT; ANTARCTIC TELEOSTS; ZEBRAFISH; BINDING; SEQUENCE</t>
  </si>
  <si>
    <t>The evolution of phenotypic traits is a key process in diversification of life. However, the mechanisms underlying the emergence of such evolutionary novelties are largely unknown. Here we address the origin of bulbus arteriosus (BA), an organ of evolutionary novelty seen in the teleost heart outflow tract (OFT), which sophisticates their circulatory system. The BA is a unique organ that is composed of smooth muscle while the OFTs in other vertebrates are composed of cardiac muscle. Here we reveal that the teleost-specific extracellular matrix (ECM) gene, elastin b, was generated by the teleost-specific whole-genome duplication and neofunctionalized to contribute to acquisition of the BA by regulating cell fate determination of cardiac precursor cells into smooth muscle. Furthermore, we show that the mechanotransducer yap is involved in this cell fate determination. Our findings reveal a mechanism of generating evolutionary novelty through alteration of cell fate determination by the ECM.</t>
  </si>
  <si>
    <t>[Moriyama, Yuuta; Koshiba-Takeuchi, Kazuko] Univ Tokyo, Inst Mol &amp; Cellular Biosci, Div Cardiovasc Regenerat, Bunkyo Ku, 1-1-1 Yayoi, Tokyo 1130032, Japan; [Ito, Fumihiro] Natl Inst Genet, Div Ecol Genet, 1111 Yata, Mishima, Shizuoka 4118540, Japan; [Ito, Fumihiro] Grad Univ Adv Studies SOKENDAI, Dept Genet, 1111 Yata, Mishima, Shizuoka 4118540, Japan; [Takeda, Hiroyuki] Univ Tokyo, Grad Sch Sci, Dept Biol Sci, Bunkyo Ku, 7-3-1 Hongo, Tokyo 1130033, Japan; [Yano, Tohru; Okabe, Masataka] Jikei Univ, Sch Med, Dept Anat, Minato Ku, 3-25-8 Nishishinbashi, Tokyo 1058461, Japan; [Kuraku, Shigehiro] RIKEN Ctr Life Sci Technol, Phyloinformat Unit, Chuo Ku, 2-2-3 Minatojima Minamimachi, Kobe, Hyogo 6500047, Japan; [Keeley, Fred W.] Hosp Sick Children, Res Inst, 555 Univ Ave, Toronto, ON M5G 1X8, Canada; [Keeley, Fred W.] Univ Toronto, Dept Biochem, Toronto, ON M5S 1A8, Canada; [Koshiba-Takeuchi, Kazuko] Univ Tokyo, Grad Sch Frontier Sci, Dept Integrated Biosci, 5-1-5 Kashiwanoha, Kashiwa, Chiba 2778561, Japan</t>
  </si>
  <si>
    <t>University of Tokyo; Research Organization of Information &amp; Systems (ROIS); National Institute of Genetics (NIG) - Japan; Graduate University for Advanced Studies - Japan; University of Tokyo; Jikei University; RIKEN; University of Toronto; Hospital for Sick Children (SickKids); University of Toronto; University of Tokyo</t>
  </si>
  <si>
    <t>Moriyama, Y; Koshiba-Takeuchi, K (corresponding author), Univ Tokyo, Inst Mol &amp; Cellular Biosci, Div Cardiovasc Regenerat, Bunkyo Ku, 1-1-1 Yayoi, Tokyo 1130032, Japan.;Koshiba-Takeuchi, K (corresponding author), Univ Tokyo, Grad Sch Frontier Sci, Dept Integrated Biosci, 5-1-5 Kashiwanoha, Kashiwa, Chiba 2778561, Japan.</t>
  </si>
  <si>
    <t>yuutamoriyama@iam.u-tokyo.ac.jp; koshibatk@iam.u-tokyo.ac.jp</t>
  </si>
  <si>
    <t>Moriyama, Yuuta/H-4836-2019; Yano, Tohru/G-6126-2010; Kuraku, Shigehiro/B-2801-2009</t>
  </si>
  <si>
    <t>Moriyama, Yuuta/0000-0002-2853-8051; Yano, Tohru/0000-0001-8501-9357; Ito, Fumihiro/0000-0002-1491-6234; Kuraku, Shigehiro/0000-0003-1464-8388</t>
  </si>
  <si>
    <t>MEXT (Ministry of Education, Culture, Sports, Science and Technology of Japan); Japan Society for the Promotion of Science; JSPS through the 'Funding Program for Next Generation World-Leading Researchers (Next Program)'; Grants-in-Aid for Scientific Research [13J10472, 26440117, 15K08145] Funding Source: KAKEN</t>
  </si>
  <si>
    <t>MEXT (Ministry of Education, Culture, Sports, Science and Technology of Japan)(Ministry of Education, Culture, Sports, Science and Technology, Japan (MEXT)); Japan Society for the Promotion of Science(Ministry of Education, Culture, Sports, Science and Technology, Japan (MEXT)Japan Society for the Promotion of Science); JSPS through the 'Funding Program for Next Generation World-Leading Researchers (Next Program)'; Grants-in-Aid for Scientific Research(Ministry of Education, Culture, Sports, Science and Technology, Japan (MEXT)Japan Society for the Promotion of ScienceGrants-in-Aid for Scientific Research (KAKENHI))</t>
  </si>
  <si>
    <t>We would like to thank A. Shimada for providing technical tips of DiI labelling experiments; K. Takahashi and T. Kunihiro for assistance with motion analysing experiments; and S. Tomita, J. Kitano and B. Bruneau for critical reading of the manuscript. This study was supported by Grants-in-Aid for Scientific Research from the MEXT (Ministry of Education, Culture, Sports, Science and Technology of Japan; K.K.-T.), by the Japan Society for the Promotion of Science (Y.M., JSPS research fellow) and by JSPS through the 'Funding Program for Next Generation World-Leading Researchers (Next Program)', initiated by the Council for Science and Technology Policy (CSTP) (K.K.-T.).</t>
  </si>
  <si>
    <t>2041-1723</t>
  </si>
  <si>
    <t>NAT COMMUN</t>
  </si>
  <si>
    <t>Nat. Commun.</t>
  </si>
  <si>
    <t>10.1038/ncomms10397</t>
  </si>
  <si>
    <t>DC2EW</t>
  </si>
  <si>
    <t>WOS:000369031000001</t>
  </si>
  <si>
    <t>Pedro, JB; Bostock, HC; Bitz, CM; He, F; Vandergoes, MJ; Steig, EJ; Chase, BM; Krause, CE; Rasmussen, SO; Markle, BR; Cortese, G</t>
  </si>
  <si>
    <t>Pedro, Joel B.; Bostock, Helen C.; Bitz, Cecilia M.; He, Feng; Vandergoes, Marcus J.; Steig, Eric J.; Chase, Brian M.; Krause, Claire E.; Rasmussen, Sune O.; Markle, Bradley R.; Cortese, Giuseppe</t>
  </si>
  <si>
    <t>The spatial extent and dynamics of the Antarctic Cold Reversal</t>
  </si>
  <si>
    <t>NATURE GEOSCIENCE</t>
  </si>
  <si>
    <t>LAST DEGLACIATION; BIPOLAR SEESAW; CLIMATE; PRECIPITATION; SEASONALITY</t>
  </si>
  <si>
    <t>Antarctic ice cores show that a millennial-scale cooling event, the Antarctic Cold Reversal (14,700 to 13,000 years ago), interrupted the last deglaciation(1-3). The Antarctic Cold Reversal coincides with the Bolling-Allerod warm stage in the North Atlantic, providing an example of the inter-hemispheric coupling of abrupt climate change generally referred to as the bipolar seesaw(4-9). However, the ocean-atmosphere dynamics governing this coupling are debated(10-15). Here we examine the extent and expression of the Antarctic Cold Reversal in the Southern Hemisphere using a synthesis of 84 palaeoclimate records. We find that the cooling is strongest in the South Atlantic and all regions south of 40 degrees S. At the same time, the terrestrial tropics and subtropics show abrupt hydrologic variations that are significantly correlated with North Atlantic climate changes. Our transient global climate model simulations indicate that the observed extent of Antarctic Cold Reversal cooling can be explained by enhanced northward ocean heat transport from the South to North Atlantic(10), amplified by the expansion and thickening of sea ice in the Southern Ocean. The hydrologic variations at lower latitudes result from an opposing enhancement of southward heat transport in the atmosphere mediated by the Hadley circulation. Our findings reconcile previous arguments about the relative dominance of ocean(5,10,11) and atmospheric(14,15) heat transports in inter-hemispheric coupling, demonstrating that the spatial pattern of past millennial-scale climate change reflects the superposition of both.</t>
  </si>
  <si>
    <t>[Pedro, Joel B.; Rasmussen, Sune O.] Univ Copenhagen, Niels Bohr Inst, Ctr Ice &amp; Climate, DK-2100 Copenhagen, Denmark; [Bostock, Helen C.] Natl Inst Water &amp; Atmospher Res, Wellington 6021, New Zealand; [Bitz, Cecilia M.] Univ Washington, Dept Atmospher Sci, Seattle, WA 98195 USA; [He, Feng] Univ Wisconsin, Ctr Climat Res, Nelson Inst Environm Studies, Madison, WI 53706 USA; [He, Feng] Oregon State Univ, Coll Earth Ocean &amp; Atmospher Sci, Corvallis, OR 97331 USA; [Vandergoes, Marcus J.; Cortese, Giuseppe] GNS Sci, Lower Hutt 5040, New Zealand; [Steig, Eric J.; Markle, Bradley R.] Univ Washington, Quaternary Res Ctr, Seattle, WA 98195 USA; [Steig, Eric J.; Markle, Bradley R.] Univ Washington, Dept Earth &amp; Space Sci, Seattle, WA 98195 USA; [Chase, Brian M.] CNRS, Inst Sci Evolut Montpellier, F-34000 Montpellier, France; [Krause, Claire E.] Australian Natl Univ, Res Sch Earth Sci, Canberra, ACT 2061, Australia</t>
  </si>
  <si>
    <t>University of Copenhagen; Niels Bohr Institute; National Institute of Water &amp; Atmospheric Research (NIWA) - New Zealand; University of Washington; University of Washington Seattle; University of Wisconsin System; University of Wisconsin Madison; Oregon State University; GNS Science - New Zealand; University of Washington; University of Washington Seattle; University of Washington; University of Washington Seattle; Centre National de la Recherche Scientifique (CNRS); Institut de Recherche pour le Developpement (IRD); Universite de Montpellier; Australian National University</t>
  </si>
  <si>
    <t>Pedro, JB (corresponding author), Univ Copenhagen, Niels Bohr Inst, Ctr Ice &amp; Climate, Blegdamsvej 17, DK-2100 Copenhagen, Denmark.</t>
  </si>
  <si>
    <t>jpedro@nbi.ku.dk</t>
  </si>
  <si>
    <t>Pedro, Joel Benjamin/L-8918-2019; He, Feng/B-3583-2008; Rasmussen, Sune/B-5560-2008; Pedro, Joel/M-5632-2014; Rasmussen, Sune Olander/AAA-3190-2021; Bitz, Cecilia M/S-8423-2016; Markle, Bradley R/I-6132-2019; he, feng/HOF-1989-2023; Bostock, Helen/A-6834-2013; Chase, Brian/A-1202-2010; /G-9088-2015</t>
  </si>
  <si>
    <t>Pedro, Joel Benjamin/0000-0002-0728-2712; Pedro, Joel/0000-0002-0728-2712; Rasmussen, Sune Olander/0000-0002-4177-3611; Bostock, Helen/0000-0002-8903-8958; Markle, Bradley/0000-0002-2282-6546; Cortese, Giuseppe/0000-0003-1780-3371; Krause, Claire/0000-0002-6794-196X; Chase, Brian/0000-0001-6987-1291; Bitz, Cecilia/0000-0002-9477-7499; /0000-0002-8191-5549; He, Feng/0000-0002-3355-6406</t>
  </si>
  <si>
    <t>Joint Institute for the Study of the Atmosphere and Ocean (JISAO) [2408]; Marie Curie International Incoming Fellowship; NIWA core funding (COPR); New Zealand Government; NSF [PLR 1341497]; US NSF; US NOAA Climate and Global Change Postdoctoral Fellowship Program; Office of Science of the Department of Energy [DE-AC05-00OR22725]; European Research Council (ERC) under the European Union's Seventh Framework Programme (FP7)/ERC Starting Grant 'HYRAX' [258657]; INQUA PALCOMM project SHAPE: Southern Hemisphere Assessment of PalaeoEnvironments [1302]; Office of Polar Programs (OPP); Directorate For Geosciences [1341497] Funding Source: National Science Foundation; Office of Polar Programs (OPP); Directorate For Geosciences [0944348, 1043092] Funding Source: National Science Foundation</t>
  </si>
  <si>
    <t>Joint Institute for the Study of the Atmosphere and Ocean (JISAO); Marie Curie International Incoming Fellowship(European Union (EU)); NIWA core funding (COPR); New Zealand Government; NSF(National Science Foundation (NSF)); US NSF(National Science Foundation (NSF)); US NOAA Climate and Global Change Postdoctoral Fellowship Program(National Oceanic Atmospheric Admin (NOAA) - USA); Office of Science of the Department of Energy(United States Department of Energy (DOE)); European Research Council (ERC) under the European Union's Seventh Framework Programme (FP7)/ERC Starting Grant 'HYRAX'(European Research Council (ERC)); INQUA PALCOMM project SHAPE: Southern Hemisphere Assessment of PalaeoEnvironments; Office of Polar Programs (OPP); Directorate For Geosciences(National Science Foundation (NSF)NSF - Directorate for Geosciences (GEO)); Office of Polar Programs (OPP); Directorate For Geosciences(National Science Foundation (NSF)NSF - Directorate for Geosciences (GEO))</t>
  </si>
  <si>
    <t>This work is a contribution to INQUA PALCOMM project 1302 SHAPE: Southern Hemisphere Assessment of PalaeoEnvironments. J.B.P. acknowledges support from the Joint Institute for the Study of the Atmosphere and Ocean (JISAO Contribution No. 2408) and from a Marie Curie International Incoming Fellowship. H.C.B. was funded by NIWA core funding (COPR). G.C. and M.J.V. were supported by the New Zealand Government through the GNS Global Change through Time Program. C.M.B. received support from NSF PLR 1341497. F.H. is supported by the US NSF and the US NOAA Climate and Global Change Postdoctoral Fellowship Program. This research used resources of the Oak Ridge Leadership Computing Facility, located in the National Center for Computational Sciences at Oak Ridge National Laboratory, which is supported by the Office of Science of the Department of Energy under contract DE-AC05-00OR22725. B.M.C. was funded by the European Research Council (ERC) under the European Union's Seventh Framework Programme (FP7/2007-2013)/ERC Starting Grant 'HYRAX', grant agreement no. 258657. We thank D. Battisti, S. Schoenemann, D. Frierson, A. Lorrey, T. Barrows, A. Mackintosh and M. Mudelsee for helpful discussions. We also thank the many researchers who provided data sets for this work.</t>
  </si>
  <si>
    <t>75 VARICK ST, 9TH FLR, NEW YORK, NY 10013-1917 USA</t>
  </si>
  <si>
    <t>1752-0894</t>
  </si>
  <si>
    <t>1752-0908</t>
  </si>
  <si>
    <t>NAT GEOSCI</t>
  </si>
  <si>
    <t>Nat. Geosci.</t>
  </si>
  <si>
    <t>10.1038/NGEO2580</t>
  </si>
  <si>
    <t>CZ6GX</t>
  </si>
  <si>
    <t>WOS:000367200300016</t>
  </si>
  <si>
    <t>Golubev, SV</t>
  </si>
  <si>
    <t>Golubev, Sergey V.</t>
  </si>
  <si>
    <t>Records of macaroni penguins (Eudyptes chrysolophus) from Mirny Station, East Antarctica</t>
  </si>
  <si>
    <t>NOTORNIS</t>
  </si>
  <si>
    <t>macaroni penguin; Eudyptes chrysolophus; Mirny Station</t>
  </si>
  <si>
    <t>[Golubev, Sergey V.] Russian Antarctic Expedit, 38 Bering St, St Petersburg 199397, Russia; [Golubev, Sergey V.] Parkovaya St 14-18, Yaroslavl 150521, Russia</t>
  </si>
  <si>
    <t>Golubev, SV (corresponding author), Russian Antarctic Expedit, 38 Bering St, St Petersburg 199397, Russia.;Golubev, SV (corresponding author), Parkovaya St 14-18, Yaroslavl 150521, Russia.</t>
  </si>
  <si>
    <t>gol_arctic@mail.ru</t>
  </si>
  <si>
    <t>Golubev, Sergey/AAY-1262-2021</t>
  </si>
  <si>
    <t>ORNITHOLOGICAL SOC NEW ZEALAND</t>
  </si>
  <si>
    <t>NELSON</t>
  </si>
  <si>
    <t>PO BOX 834, NELSON, 7040, NEW ZEALAND</t>
  </si>
  <si>
    <t>0029-4470</t>
  </si>
  <si>
    <t>1177-7680</t>
  </si>
  <si>
    <t>3-4</t>
  </si>
  <si>
    <t>VB8LL</t>
  </si>
  <si>
    <t>WOS:000418955600007</t>
  </si>
  <si>
    <t>Smith, HJ; Schmit, A; Foster, R; Littman, S; Kuypers, MMM; Foreman, CM</t>
  </si>
  <si>
    <t>Smith, Heidi J.; Schmit, Amber; Foster, Rachel; Littman, Sten; Kuypers, Marcel M. M.; Foreman, Christine M.</t>
  </si>
  <si>
    <t>Biofilms on glacial surfaces: hotspots for biological activity</t>
  </si>
  <si>
    <t>NPJ BIOFILMS AND MICROBIOMES</t>
  </si>
  <si>
    <t>MICROBIAL ACTIVITY; CRYOCONITE HOLES; ECOPHYSIOLOGY; GREENLAND; ECOSYSTEM</t>
  </si>
  <si>
    <t>Glaciers are important constituents in the Earth's hydrological and carbon cycles, with predicted warming leading to increases in glacial melt and the transport of nutrients to adjacent and downstream aquatic ecosystems. Microbial activity on glacial surfaces has been linked to the biological darkening of cryoconite particles, affecting albedo and increased melt. This phenomenon, however, has only been demonstrated for alpine glaciers and the Greenland Ice Sheet, excluding Antarctica. In this study, we show via confocal laser scanning microscopy that microbial communities on glacial surfaces in Antarctica persist in biofilms. Overall, similar to 35% of the cryoconite sediment surfaces were covered by biofilm. Nanoscale scale secondary ion mass spectrometry measured significant enrichment of C-13 and N-15 above background in both Bacteroidetes and filamentous cyanobacteria (i.e., Oscillatoria) when incubated in the presence of C-13-NaHCO3 and (NH4)-N-15. This transfer of newly synthesised organic compounds was dependent on the distance of heterotrophic Bacteroidetes from filamentous Oscillatoria. We conclude that the spatial organisation within these biofilms promotes efficient transfer and cycling of nutrients. Further, these results support the hypothesis that biofilm formation leads to the accumulation of organic matter on cryoconite minerals, which could influence the surface albedo of glaciers.</t>
  </si>
  <si>
    <t>[Smith, Heidi J.; Schmit, Amber; Foreman, Christine M.] Montana State Univ, Ctr Biofilm Engn, Bozeman, MT 59717 USA; [Smith, Heidi J.] Montana State Univ, Land Resources &amp; Environm Sci, Bozeman, MT 59717 USA; [Schmit, Amber; Foreman, Christine M.] Montana State Univ, Chem &amp; Biol Engn, Bozeman, MT 59717 USA; [Foster, Rachel] Stockholm Univ, Dept Ecol Environm &amp; Plant Sci, Stockholm, Sweden; [Foster, Rachel; Littman, Sten; Kuypers, Marcel M. M.] Max Planck Inst Marine Microbiol, Dept Biogeochem, Bremen, Germany</t>
  </si>
  <si>
    <t>Montana State University System; Montana State University Bozeman; Montana State University System; Montana State University Bozeman; Montana State University System; Montana State University Bozeman; Stockholm University; Max Planck Society</t>
  </si>
  <si>
    <t>Foreman, CM (corresponding author), Montana State Univ, Ctr Biofilm Engn, Bozeman, MT 59717 USA.;Foreman, CM (corresponding author), Montana State Univ, Chem &amp; Biol Engn, Bozeman, MT 59717 USA.</t>
  </si>
  <si>
    <t>Littmann, Sten/D-2646-2011</t>
  </si>
  <si>
    <t>Foreman, Christine/0000-0003-0230-4692; Littmann, Sten/0000-0001-8685-5357; Foster, Rachel/0000-0002-8696-1835</t>
  </si>
  <si>
    <t>National Science Foundation [ANT-0838970, ANT-1141978, ANT-141936]; NSF Division of Graduate Education [DGE-0654336]; NASA Earth and Science Space Fellowship; Max Plank Society; Knut and Alice Wallenberg Foundation; MPI; Directorate For Geosciences; Office of Polar Programs (OPP) [1141978] Funding Source: National Science Foundation</t>
  </si>
  <si>
    <t>National Science Foundation(National Science Foundation (NSF)); NSF Division of Graduate Education(National Science Foundation (NSF)NSF - Directorate for STEM Education (EDU)); NASA Earth and Science Space Fellowship; Max Plank Society(Max Planck Society); Knut and Alice Wallenberg Foundation(Knut &amp; Alice Wallenberg Foundation); MPI; Directorate For Geosciences; Office of Polar Programs (OPP)(National Science Foundation (NSF)NSF - Directorate for Geosciences (GEO))</t>
  </si>
  <si>
    <t>This work was supported by the National Science Foundation Division of Antarctic Sciences through ANT-0838970, ANT-1141978 and ANT-141936, by the NSF Division of Graduate Education through DGE-0654336, and a NASA Earth and Science Space Fellowship to H.J.S. The Max Plank Society supported the nanoSIMS and EA-IRMS analyses. We thank Betsey Pitts for assistance with microscopy, A. Parker for statistical guidance and T. Nylen and J. Telling for collecting the cryoconite material used in this study. We thank Phil Stewart for constructive comments on an earlier version of this manuscript. Daniela Tienken from the Max Planck Institute for Marine Microbiology (MPI) assisted the nanoSIMS analysis. R.A.F. is funded by the Knut and Alice Wallenberg Foundation and the MPI. Any opinions, findings, or conclusions expressed in this material are those of the authors and do not necessarily reflect the views of the National Science Foundation.</t>
  </si>
  <si>
    <t>2055-5008</t>
  </si>
  <si>
    <t>NPJ BIOFILMS MICROBI</t>
  </si>
  <si>
    <t>npj Biofilms Microbomes</t>
  </si>
  <si>
    <t>10.1038/npjbiofilms.2016.8</t>
  </si>
  <si>
    <t>VB8PR</t>
  </si>
  <si>
    <t>WOS:000419466300024</t>
  </si>
  <si>
    <t>van der Wurff, ISM; von Schacky, C; Berge, K; Zeegers, MP; Kirschner, PA; de Groot, RHM</t>
  </si>
  <si>
    <t>van der Wurff, Inge S. M.; von Schacky, Clemens; Berge, Kjetil; Zeegers, Maurice P.; Kirschner, Paul A.; de Groot, Renate H. M.</t>
  </si>
  <si>
    <t>Association between Blood Omega-3 Index and Cognition in Typically Developing Dutch Adolescents</t>
  </si>
  <si>
    <t>NUTRIENTS</t>
  </si>
  <si>
    <t>docosahexaneoic acid (DHA); eicosapentaenoic acid (EPA); adolescents; cognition; Omega-3 fatty acids; Omega-3 Index</t>
  </si>
  <si>
    <t>POLYUNSATURATED FATTY-ACIDS; ATTENTION-DEFICIT/HYPERACTIVITY DISORDER; LONG-CHAIN OMEGA-3-FATTY-ACIDS; DOUBLE-BLIND; FISH CONSUMPTION; ACADEMIC-ACHIEVEMENT; CONTROLLED-TRIAL; SUPPLEMENTATION; CHILDREN; BEHAVIOR</t>
  </si>
  <si>
    <t>The impact of omega-3 long-chain polyunsaturated fatty acids (LCPUFAs) on cognition is heavily debated. In the current study, the possible association between omega-3 LCPUFAs in blood and cognitive performance of 266 typically developing adolescents aged 13-15 years is investigated. Baseline data from Food2Learn, a double-blind and randomized placebo controlled krill oil supplementation trial in typically developing adolescents, were used for the current study. The Omega-3 Index was determined with blood from a finger prick. At baseline, participants finished a neuropsychological test battery consisting of the Letter Digit Substitution Test (LDST), D2 test of attention, Digit Span Forward and Backward, Concept Shifting Test and Stroop test. Data were analyzed with multiple regression analyses with correction for covariates. The average Omega-3 Index was 3.83% (SD 0.60). Regression analyses between the Omega-3 Index and the outcome parameters revealed significant associations with scores on two of the nine parameters. The association between the Omega-3 Index and both scores on the LDST (beta = 0.136 and p = 0.039), and the number of errors of omission on the D2 (beta = -0.053 and p = 0.007). This is a possible indication for a higher information processing speed and less impulsivity in those with a higher Omega-3 Index.</t>
  </si>
  <si>
    <t>[van der Wurff, Inge S. M.; Kirschner, Paul A.; de Groot, Renate H. M.] Open Univ Netherlands, Welten Inst, Res Ctr Learning Teaching &amp; Technol, NL-6419 AT Heerlen, Netherlands; [von Schacky, Clemens] Omegametrix, D-82152 Martinsried, Germany; [Berge, Kjetil] Aker BioMarine Antarctic AS, NO-1327 Lysaker, Norway; [Zeegers, Maurice P.; de Groot, Renate H. M.] Maastricht Univ, NUTRIM Sch Nutr &amp; Translat Res Metab, NL-6200 MD Maastricht, Netherlands; [Zeegers, Maurice P.] Maastricht Univ, CAPHRI Sch Publ Hlth &amp; Primary Care, NL-6200 MD Maastricht, Netherlands</t>
  </si>
  <si>
    <t>Open University Netherlands; Maastricht University; Maastricht University Medical Centre (MUMC); Maastricht University</t>
  </si>
  <si>
    <t>van der Wurff, ISM (corresponding author), Open Univ Netherlands, Welten Inst, Res Ctr Learning Teaching &amp; Technol, NL-6419 AT Heerlen, Netherlands.</t>
  </si>
  <si>
    <t>inge.vanderwurff@ou.nl; Clemens.vonSchacky@med.uni-muenchen.de; kjetil.berge@akerbiomarine.com; Zeegerm.zeegers@maastrichtuniversity.nl; Paul.Kirschner@ou.nl; renate.degroot@ou.nl</t>
  </si>
  <si>
    <t>Zeegers, Maurice/0000-0002-2387-083X; Kirschner, Paul A./0000-0002-8743-0462</t>
  </si>
  <si>
    <t>grant Food, Cognition and Behaviour from the Dutch Scientific Organisation [057-13-002]; Aker Biomarine (Norway); Omegametrix (Germany)</t>
  </si>
  <si>
    <t>grant Food, Cognition and Behaviour from the Dutch Scientific Organisation; Aker Biomarine (Norway); Omegametrix (Germany)</t>
  </si>
  <si>
    <t>We like to thank all participants and schools who participated in Food2Learn. Furthermore, we like to thank the dedicated research assistants: Marije Broens-Paffen, Denise Hofman and Annemarijn Weber. The study is funded by the grant Food, Cognition and Behaviour from the Dutch Scientific Organisation (grant number 057-13-002), Aker Biomarine (Norway) who provided the krill and placebo capsules, and Omegametrix (Germany) who was responsible for the blood analyses.</t>
  </si>
  <si>
    <t>MDPI</t>
  </si>
  <si>
    <t>BASEL</t>
  </si>
  <si>
    <t>ST ALBAN-ANLAGE 66, CH-4052 BASEL, SWITZERLAND</t>
  </si>
  <si>
    <t>2072-6643</t>
  </si>
  <si>
    <t>Nutrients</t>
  </si>
  <si>
    <t>10.3390/nu8010013</t>
  </si>
  <si>
    <t>Nutrition &amp; Dietetics</t>
  </si>
  <si>
    <t>DK0FY</t>
  </si>
  <si>
    <t>WOS:000374589300013</t>
  </si>
  <si>
    <t>Jabour, J; Stephens, T; VanderZwaag, DL</t>
  </si>
  <si>
    <t>Jabour, Julia; Stephens, Tim; VanderZwaag, David L.</t>
  </si>
  <si>
    <t>Introduction</t>
  </si>
  <si>
    <t>[Jabour, Julia] Univ Tasmania, Inst Marine &amp; Antarctic Studies, Hobart, Tas, Australia; [Stephens, Tim] Univ Sydney, Sydney Law Sch, Sydney, NSW, Australia; [VanderZwaag, David L.] Dalhousie Univ, Marine &amp; Environm Law Inst, Weldon Law Bldg,6061 Univ Ave, Halifax, NS B3H 4R2, Canada</t>
  </si>
  <si>
    <t>University of Tasmania; University of Sydney; Dalhousie University</t>
  </si>
  <si>
    <t>VanderZwaag, DL (corresponding author), Dalhousie Univ, Marine &amp; Environm Law Inst, Weldon Law Bldg,6061 Univ Ave, Halifax, NS B3H 4R2, Canada.</t>
  </si>
  <si>
    <t>Jabour, Julia A/J-7882-2014; Stephens, Tim/J-4115-2019</t>
  </si>
  <si>
    <t>Stephens, Tim/0000-0001-9678-2227</t>
  </si>
  <si>
    <t>10.1080/00908320.2016.1194089</t>
  </si>
  <si>
    <t>WOS:000382753400001</t>
  </si>
  <si>
    <t>NEW FRONTIERS IN TRACKING AND PROTECTING MARINE SPECIES AT RISK: CANADIAN AND AUSTRALIAN PERSPECTIVES Introduction</t>
  </si>
  <si>
    <t>[Jabour, Julia] Univ Tasmania, Inst Marine &amp; Antarctic Studies, Hobart, Tas, Australia; [Stephens, Tim] Univ Sydney, Sydney Law Sch, Sydney, NSW, Australia; [VanderZwaag, David L.] Dalhousie Univ, Marine &amp; Environm Law Inst, Halifax, NS, Canada</t>
  </si>
  <si>
    <t>VanderZwaag, DL (corresponding author), Dalhousie Univ, Marine &amp; Environm Law Inst, Schulich Sch Law, Weldon Law Bldg,6061 Univ Ave, Halifax, NS B3H 4R2, Canada.</t>
  </si>
  <si>
    <t>David.VanderZwaag@dal.ca</t>
  </si>
  <si>
    <t>Stephens, Tim/J-4115-2019; Jabour, Julia A/J-7882-2014</t>
  </si>
  <si>
    <t>Stephens, Tim/0000-0001-9678-2227;</t>
  </si>
  <si>
    <t>10.1080/00908320.2016.1231004</t>
  </si>
  <si>
    <t>WOS:000386626600003</t>
  </si>
  <si>
    <t>Marshall, DP; Munday, DR; Allison, LC; Hay, RJ; Johnson, HL</t>
  </si>
  <si>
    <t>Marshall, David P.; Munday, David R.; Allison, Lesley C.; Hay, Russell J.; Johnson, Helen L.</t>
  </si>
  <si>
    <t>Gill's model of the Antarctic Circumpolar Current, revisited: The role of latitudinal variations in wind stress</t>
  </si>
  <si>
    <t>OCEAN MODELLING</t>
  </si>
  <si>
    <t>Antarctic Circumpolar Current; Ocean circulation; Geostrophic eddies; Wind stress; Drake Passage</t>
  </si>
  <si>
    <t>SOUTHERN-HEMISPHERE WINDS; OCEAN CIRCULATION MODELS; LARGE-SCALE CIRCULATION; CLIMATE-CHANGE; OBSCURANTIST PHYSICS; TRACER TRANSPORTS; MESOSCALE EDDIES; FORM DRAG; CHANNEL; TOPOGRAPHY</t>
  </si>
  <si>
    <t>Gill's (1968) model of the Antarctic Circumpolar Current (ACC) is reinterpreted for a stratified, reduced-gravity ocean, where the barotropic streamfunction is replaced by the pycnocline depth, and the bottom drag coefficient by the Gent and McWilliams eddy diffusivity. The resultant model gives a simple description of the lateral structure of the ACC that is consistent with contemporary descriptions of ACC dynamics. The model is used to investigate and interpret the sensitivity of the ACC to the latitudinal profile of the surface wind stress. A substantial ACC remains when the wind jet is shifted north of the model Drake Passage, even by several thousand kilometers. The integral of the wind stress over the circumpolar streamlines is found to be a useful predictor of the magnitude of the volume transport through the model Drake Passage, although it is necessary to correct for basin-wide zonal pressure gradients in order to obtain good quantitative agreement. (C) 2015 Elsevier Ltd. All rights reserved.</t>
  </si>
  <si>
    <t>[Marshall, David P.; Munday, David R.] Univ Oxford, Dept Phys, Oxford OX1 3PU, England; [Munday, David R.] British Antarctic Survey, Cambridge CB3 0ET, England; [Allison, Lesley C.] Met Off, Exeter EX1 3PB, Devon, England; [Hay, Russell J.] Yale Univ, Dept Phys, New Haven, CT 06520 USA; [Johnson, Helen L.] Univ Oxford, Dept Earth Sci, Oxford OX1 3AN, England</t>
  </si>
  <si>
    <t>University of Oxford; UK Research &amp; Innovation (UKRI); Natural Environment Research Council (NERC); NERC British Antarctic Survey; Met Office - UK; Yale University; University of Oxford</t>
  </si>
  <si>
    <t>Marshall, DP (corresponding author), Univ Oxford, Dept Phys, Oxford OX1 3PU, England.</t>
  </si>
  <si>
    <t>david.marshall@physics.ox.ac.uk</t>
  </si>
  <si>
    <t>Munday, David R/R-1986-2016; Marshall, David Philip/B-6767-2009; Allison, Lesley C/I-4746-2015; Munday, David/Y-7052-2019</t>
  </si>
  <si>
    <t>Munday, David R/0000-0003-1920-708X; Marshall, David Philip/0000-0002-5199-6579; Johnson, Helen/0000-0003-1873-2085</t>
  </si>
  <si>
    <t>U.K. Natural Environment Research Council [NE/F1005668/1]; Royal Society University Research Fellowship; NERC [NE/H005668/1, bas0100033] Funding Source: UKRI; Natural Environment Research Council [NE/H005668/1, bas0100033] Funding Source: researchfish</t>
  </si>
  <si>
    <t>U.K. Natural Environment Research Council(UK Research &amp; Innovation (UKRI)Natural Environment Research Council (NERC)); Royal Society University Research Fellowship(Royal Society); NERC(UK Research &amp; Innovation (UKRI)Natural Environment Research Council (NERC)); Natural Environment Research Council(UK Research &amp; Innovation (UKRI)Natural Environment Research Council (NERC))</t>
  </si>
  <si>
    <t>We are grateful to Mike Bell, Paola Cessi, James Maddison, Wilbert Weijer, and to Andy Hogg and two anonymous reviewers for suggestions that led to an improved manuscript. Financial support was provided by the U.K. Natural Environment Research Council (NE/F1005668/1). HLJ was supported by a Royal Society University Research Fellowship.</t>
  </si>
  <si>
    <t>1463-5003</t>
  </si>
  <si>
    <t>1463-5011</t>
  </si>
  <si>
    <t>OCEAN MODEL</t>
  </si>
  <si>
    <t>Ocean Model.</t>
  </si>
  <si>
    <t>10.1016/j.ocemod.2015.11.010</t>
  </si>
  <si>
    <t>DA1LB</t>
  </si>
  <si>
    <t>Green Accepted, Green Submitted</t>
  </si>
  <si>
    <t>WOS:000367556200004</t>
  </si>
  <si>
    <t>Yiew, LJ; Bennetts, LG; Meylan, MH; French, BJ; Thomas, GA</t>
  </si>
  <si>
    <t>Yiew, L. J.; Bennetts, L. G.; Meylan, M. H.; French, B. J.; Thomas, G. A.</t>
  </si>
  <si>
    <t>Hydrodynamic responses of a thin floating disk to regular waves</t>
  </si>
  <si>
    <t>Ocean waves; Sea ice; Marine geophysics</t>
  </si>
  <si>
    <t>ICE-FLOE; OCEAN WAVES; HYDROELASTIC RESPONSE; ELASTIC DISCS; SEA; TRANSECTS; ATTENUATION; BEHAVIOR; POLAR; DRIFT</t>
  </si>
  <si>
    <t>The surge, heave and pitch motions of two solitary, thin, floating disks, extracted from laboratory wave basin experiments are presented. The motions are forced by regular incident waves, for a range of wave amplitudes and frequencies. One disk has a barrier attached to its edge to stop the incident waves from washing across its upper surface. It is shown that the motions of the disk without the barrier are smaller than those of the disk with the barrier. Moreover, it is shown that the amplitudes of the motions, relative to the incident amplitude, decrease with increasing incident wave amplitude for the disk without a barrier and for short incident wavelengths. Two theoretical models of the disk motions are considered. One is based on slope-sliding theory and the other on combined linear potential-flow and thin-plate theories. The models are shown to have almost the same form in the long-wavelength regime. The potential-flow/thin-plate model is shown to capture the experimentally measured disk motions with reasonable accuracy. (C) 2015 Elsevier Ltd. All rights reserved.</t>
  </si>
  <si>
    <t>[Yiew, L. J.; Bennetts, L. G.] Univ Adelaide, Sch Math Sci, Adelaide, SA 5005, Australia; [Meylan, M. H.] Univ Newcastle, Sch Math &amp; Phys Sci, Callaghan, NSW 2308, Australia; [French, B. J.; Thomas, G. A.] Australian Maritime Coll, Natl Ctr Maritime Engn &amp; Hydrodynam, Launceston, Tas 7250, Australia; [Thomas, G. A.] UCL, Dept Mech Engn, London WC1E 7JE, England</t>
  </si>
  <si>
    <t>University of Adelaide; University of Newcastle; University of Tasmania; Australian Maritime College; University of London; University College London</t>
  </si>
  <si>
    <t>Yiew, LJ (corresponding author), Univ Adelaide, Sch Math Sci, Adelaide, SA 5005, Australia.</t>
  </si>
  <si>
    <t>lucas.yiew@adelaide.edu.au</t>
  </si>
  <si>
    <t>Meylan, Michael/A-7341-2010; Bennetts, Luke/N-1448-2019</t>
  </si>
  <si>
    <t>Meylan, Michael/0000-0002-3164-1367; Bennetts, Luke/0000-0001-9386-7882; Yiew, Lucas/0000-0002-4162-4827; Thomas, Giles/0000-0002-6122-4329</t>
  </si>
  <si>
    <t>Australian Research Council [DE130101571]; Australian Antarctic Science Program [4123]; U.S. Office of Naval Research; Australian Maritime College; Australian Research Council [DE130101571]; Australian Antarctic Science Program [4123]; U.S. Office of Naval Research; Australian Maritime College; Australian Research Council [DE130101571] Funding Source: Australian Research Council</t>
  </si>
  <si>
    <t>Australian Research Council(Australian Research Council); Australian Antarctic Science Program; U.S. Office of Naval Research(Office of Naval Research); Australian Maritime College; Australian Research Council(Australian Research Council); Australian Antarctic Science Program; U.S. Office of Naval Research(Office of Naval Research); Australian Maritime College; Australian Research Council(Australian Research Council)</t>
  </si>
  <si>
    <t>The Australian Research Council funds LJY's Ph.D. Scholarship and provides funding support to LGB (DE130101571). The Australian Antarctic Science Program provides support for LGB (Project 4123). The U.S. Office of Naval Research supports MHM. The Australian Maritime College funded the experiments. The authors thank Tim Lilienthal and Kirk Meyer for technical support during the experiments.</t>
  </si>
  <si>
    <t>10.1016/j.ocemod.2015.11.008</t>
  </si>
  <si>
    <t>WOS:000367556200005</t>
  </si>
  <si>
    <t>Oziel, L; Sirven, J; Gascard, JC</t>
  </si>
  <si>
    <t>Oziel, L.; Sirven, J.; Gascard, J. -C.</t>
  </si>
  <si>
    <t>The Barents Sea frontal zones and water masses variability (1980-2011)</t>
  </si>
  <si>
    <t>POLAR FRONT; ICE; TEMPERATURE; CLIMATE; INTERMEDIATE; CIRCULATION; IMPACT; MODEL; HEAT</t>
  </si>
  <si>
    <t>The polar front separates the warm and saline Atlantic Water entering the southern Barents Sea from the cold and fresh Arctic Water located in the north. These water masses can mix together (mainly in the center of the Barents Sea), be cooled by the atmosphere and receive salt because of brine release; these processes generate dense water in winter, which then cascades into the Arctic Ocean to form the Arctic Intermediate Water. To study the interannual variability and evolution of the frontal zones and the corresponding variations of the water masses, we have merged data from the International Council for the Exploration of the Sea and the Arctic and Antarctic Research Institute and have built a new database, which covers the 1980-2011 period. The summer data were interpolated on a regular grid. A probability density function is used to show that the polar front splits into two branches east of 32 degrees E where the topographic constraint weakens. Two fronts can then be identified: the Northern Front is associated with strong salinity gradients and the Southern Front with temperature gradients. Both fronts enclose the denser Barents SeaWater. The interannual variability of the water masses is apparent in the observed data and is linked to that of the ice cover. The frontal zones variability is found by using data from a general circulation model. The link with the atmospheric variability, represented here by the Arctic Oscillation, is not clear. However, model results suggest that such a link could be validated if winter data were taken into account. A strong trend appears: the Atlantic Water (Arctic Water) occupies a larger (smaller) volume of the Barents Sea. This trend amplifies during the last decade and the model study suggests that this could be accompanied by a northwards displacement of the Southern Front in the eastern part of the Barents Sea. The results are less clear for the Northern Front. The observations show that the volume of the Barents SeaWater remains nearly unchanged, which suggests a northwards shift of the Northern Front to compensate for the northward shift of the Southern Front. Lastly, we noticed that the seasonal variability of the position of the front is small.</t>
  </si>
  <si>
    <t>[Oziel, L.; Sirven, J.; Gascard, J. -C.] Univ Paris 06, Sorbonne Univ, CNRS, IRD,MNHN,LOCEAN Lab,IPSL, F-75005 Paris, France</t>
  </si>
  <si>
    <t>Institut de Recherche pour le Developpement (IRD); Sorbonne Universite; Universite Paris Cite; Centre National de la Recherche Scientifique (CNRS); Museum National d'Histoire Naturelle (MNHN)</t>
  </si>
  <si>
    <t>Oziel, L (corresponding author), Univ Paris 06, Sorbonne Univ, CNRS, IRD,MNHN,LOCEAN Lab,IPSL, F-75005 Paris, France.</t>
  </si>
  <si>
    <t>laurent.oziel@locean-ipsl.upmc.fr</t>
  </si>
  <si>
    <t>Oziel, Laurent/0000-0001-7939-4011</t>
  </si>
  <si>
    <t>European Union within the Ocean of Tomorrow call of the European Commission Seventh Framework Programme [265863]; EU project ACCESS</t>
  </si>
  <si>
    <t>European Union within the Ocean of Tomorrow call of the European Commission Seventh Framework Programme; EU project ACCESS</t>
  </si>
  <si>
    <t>The research leading to these results has received funding from the European Union under Grant Agreement no. 265863 within the Ocean of Tomorrow call of the European Commission Seventh Framework Programme. The EU project ACCESS funded the 3-year PhD of the lead author. The authors thank the two anonymous reviewers for their valuable comments and suggestions. The authors are particularly grateful to Michel Crepon for his many reviews. We also want to thank Xavier Capet for his help in the construction of the PDF method, and Michael Field for improvements on the final manuscript. The Hydrographic data were provided by the ICES Data Centre (www.ices.dk) and the Arctic and Antarctic Research Institute, Russia. The SINMOD model was provided by Dag Slagstad from SINTEF fisheries in Trondheim, Norway. The ERA-Interim data were obtained from the European Centre for Medium-Range Weather Forecasts data server. Arctic Oscillation data were down-loaded from JISAO, Seattle, USA. Ice concentration were obtained from SSMI satellite, NSIDC, USA.</t>
  </si>
  <si>
    <t>10.5194/os-12-169-2016</t>
  </si>
  <si>
    <t>DC6PO</t>
  </si>
  <si>
    <t>WOS:000369342300013</t>
  </si>
  <si>
    <t>Jouanno, J; Capet, X; Madec, G; Roullet, G; Klein, P</t>
  </si>
  <si>
    <t>Jouanno, Julien; Capet, Xavier; Madec, Gurvan; Roullet, Guillaume; Klein, Patrice</t>
  </si>
  <si>
    <t>Dissipation of the energy imparted by mid-latitude storms in the Southern Ocean</t>
  </si>
  <si>
    <t>MERIDIONAL OVERTURNING CIRCULATION; ANTARCTIC CIRCUMPOLAR CURRENT; NEAR-INERTIAL ENERGY; INTERNAL WAVES; GENERAL-CIRCULATION; MOVING STORM; EDDY FIELD; PART I; WIND; MODEL</t>
  </si>
  <si>
    <t>The aim of this study is to clarify the role of the Southern Ocean storms on interior mixing and meridional overturning circulation. A periodic and idealized numerical model has been designed to represent the key physical processes of a zonal portion of the Southern Ocean located between 70 and 40A degrees S. It incorporates physical ingredients deemed essential for Southern Ocean functioning: rough topography, seasonally varying air-sea fluxes, and high-latitude storms with analytical form. The forcing strategy ensures that the time mean wind stress is the same between the different simulations, so the effect of the storms on the mean wind stress and resulting impacts on the Southern Ocean dynamics are not considered in this study. Level and distribution of mixing attributable to high-frequency winds are quantified and compared to those generated by eddy-topography interactions and dissipation of the balanced flow. Results suggest that (1) the synoptic atmospheric variability alone can generate the levels of mid-depth dissipation frequently observed in the Southern Ocean (10(-10) -10(-9) W kg(-1)) and (2) the storms strengthen the overturning, primarily through enhanced mixing in the upper 300 m, whereas deeper mixing has a minor effect. The sensitivity of the results to horizontal resolution (20, 5, 2 and 1 km), vertical resolution and numerical choices is evaluated. Challenging issues concerning how numerical models are able to represent interior mixing forced by high-frequency winds are exposed and discussed, particularly in the context of the overturning circulation. Overall, submesoscale-permitting ocean modeling exhibits important delicacies owing to a lack of convergence of key components of its energetics even when reaching Delta x = 1 km.</t>
  </si>
  <si>
    <t>[Jouanno, Julien] Univ Toulouse, LEGOS, IRD, CNRS,CNES,UPS, Toulouse, France; [Jouanno, Julien; Capet, Xavier; Madec, Gurvan] Univ Paris 04, UPMC, MNHN, CNRS,IRD,LOCEAN Lab, Paris, France; [Madec, Gurvan] Natl Oceanog Ctr, Southampton, Hants, England; [Roullet, Guillaume; Klein, Patrice] Univ Brest, CNRS, IRD, Ifremer,LOPS,IUEM, Brest, France</t>
  </si>
  <si>
    <t>Universite de Toulouse; Universite Toulouse III - Paul Sabatier; Centre National de la Recherche Scientifique (CNRS); Institut de Recherche pour le Developpement (IRD); Laboratoire d'Etudes en Geophysique et oceanographie spatiales; Institut de Recherche pour le Developpement (IRD); Sorbonne Universite; Centre National de la Recherche Scientifique (CNRS); Museum National d'Histoire Naturelle (MNHN); NERC National Oceanography Centre; Centre National de la Recherche Scientifique (CNRS); Ifremer; Institut de Recherche pour le Developpement (IRD); Universite de Bretagne Occidentale; Institut Universitaire Europeen de la Mer (IUEM)</t>
  </si>
  <si>
    <t>Jouanno, J (corresponding author), Univ Toulouse, LEGOS, IRD, CNRS,CNES,UPS, Toulouse, France.;Jouanno, J (corresponding author), Univ Paris 04, UPMC, MNHN, CNRS,IRD,LOCEAN Lab, Paris, France.</t>
  </si>
  <si>
    <t>jouanno@legos.obs-mip.fr</t>
  </si>
  <si>
    <t>Roullet, Guillaume/L-3998-2015; madec, gurvan/E-7825-2010; Klein, Patrice/M-4279-2015</t>
  </si>
  <si>
    <t>madec, gurvan/0000-0002-6447-4198; Klein, Patrice/0000-0002-3089-3896; Jouanno, Julien/0000-0001-7750-060X</t>
  </si>
  <si>
    <t>CNRS; French ANR project SMOC; PRACE [RA1616]; GENCI [GEN1140]; COMODO; ANR; Natural Environment Research Council [noc010010] Funding Source: researchfish; NERC [noc010010] Funding Source: UKRI</t>
  </si>
  <si>
    <t>CNRS(Centre National de la Recherche Scientifique (CNRS)); French ANR project SMOC(Agence Nationale de la Recherche (ANR)); PRACE; GENCI; COMODO; ANR(Agence Nationale de la Recherche (ANR)); Natural Environment Research Council(UK Research &amp; Innovation (UKRI)Natural Environment Research Council (NERC)); NERC(UK Research &amp; Innovation (UKRI)Natural Environment Research Council (NERC))</t>
  </si>
  <si>
    <t>This study has been supported by CNRS and has been founded by the French ANR project SMOC. Supercomputing facilities were provided by PRACE project RA1616 and GENCI project GEN1140. The authors wish to thank Y. Cuypers, E. Pallas-Sanz, L. Debreu, F. Lemarie and P. Marchesiello for useful discussions. A special thanks to S. Masson for his assistance in porting NEMO configurations to Tier0 systems. Interactions with the Communaute de Modelisation (COMODO, ANR funding) are also acknowledged. We are grateful to three anonymous reviewers for helpful comments on the manuscript.</t>
  </si>
  <si>
    <t>10.5194/os-12-743-2016</t>
  </si>
  <si>
    <t>DQ6WV</t>
  </si>
  <si>
    <t>WOS:000379347400009</t>
  </si>
  <si>
    <t>Ajani, PA; Hallegraeff, GM; Allen, D; Coughlan, A; Richardson, AJ; Armand, LK; Ingleton, T; Murray, SA</t>
  </si>
  <si>
    <t>Hughes, RN; Hughes, DJ; Smith, IP; Dale, AC</t>
  </si>
  <si>
    <t>Ajani, Penelope A.; Hallegraeff, Gustaaf M.; Allen, Drew; Coughlan, Alex; Richardson, Anthony J.; Armand, Leanne K.; Ingleton, Tim; Murray, Shauna A.</t>
  </si>
  <si>
    <t>ESTABLISHING BASELINES: EIGHTY YEARS OF PHYTOPLANKTON DIVERSITY AND BIOMASS IN SOUTH-EASTERN AUSTRALIA</t>
  </si>
  <si>
    <t>OCEANOGRAPHY AND MARINE BIOLOGY: AN ANNUAL REVIEW, VOL 54</t>
  </si>
  <si>
    <t>Oceanography and Marine Biology</t>
  </si>
  <si>
    <t>RED-TIDE DINOFLAGELLATE; SP-NOV GYMNODINIALES; PSEUDO-NITZSCHIA BACILLARIOPHYCEAE; GENUS PYRAMIMONAS PRASINOPHYCEAE; TASMANIAN COASTAL WATERS; PORT-HACKING STATION; NOCTILUCA-SCINTILLANS; SCALE-BEARING; CLIMATE-CHANGE; ALGAL BLOOMS</t>
  </si>
  <si>
    <t>Establishing trends in phytoplankton diversity and biomass, particularly in relation to climate change, is challenging and requires reference to baseline observations. Detecting changes over seasonal, inter annual, and interdecadal timescales requires the collection of long-term datasets. Australian marine ecosystems and their constituent phytoplankton have been studied only in the last approximately 100 years, focused on the south-eastern coast of Australia, as this is the site of the major population centres. The coastline of south-eastern Australia is dominated by the dynamic East Australian Current, as well as a diverse range of estuaries, each with its own distinct riverine inputs, tidal cycles, and flushing times. Warming of the East Australian Current over the past century at two to three times the global average, combined with increased nutrient loads and encroaching coastal urbanization, is likely to have had an impact on the coastal environment, ecosystems, and supported phytoplankton communities. Even though sporadic research has been undertaken into the diversity, distribution, and ecology of marine and estuarine phytoplankton over the past 80 years, the first long-term time-series investigations have only recently been completed. In this review, we conducted a meta-analysis of 90 phytoplankton studies from 1933 to 2015 and examined the major themes covered and methodologies used. We examined five datasets spanning the past 50 years from the long-term coastal station off shore from Port Hacking, Sydney. Whilst species composition and distribution appear to have changed over time, our knowledge of their systematics and identification has also expanded. Sixty-three species, 5 genera, and about 19 potentially harmful species have been described from south-eastern Australian waters over the past 30 years, and many represent first-time Australian records. The emerging use of next-generation sequencing and quantitative molecular methods for phytoplankton identification and enumeration is likely to enable us to identify significantly more diversity than previously considered present in these waters, as well as enable faster and more reliable enumeration methods. The baseline information presented in this review provides a valuable reference point to determine future research directions and assess future changes in phytoplankton communities in south-eastern Australia.</t>
  </si>
  <si>
    <t>[Ajani, Penelope A.; Murray, Shauna A.] Univ Technol, Climate Change Cluster C3, POB 123, Broadway, NSW 2007, Australia; [Hallegraeff, Gustaaf M.] Univ Tasmania, Inst Marine &amp; Antarctic Studies, Private Bag 129, Hobart, Tas 7001, Australia; [Allen, Drew; Armand, Leanne K.] Macquarie Univ, Dept Biol Sci, N Ryde, NSW 2109, Australia; [Coughlan, Alex; Richardson, Anthony J.] CSIRO Oceans &amp; Atmosphere Flagship, Ecosci Precinct, Brisbane, Qld 4102, Australia; [Richardson, Anthony J.] Univ Queensland, Sch Math &amp; Phys, Ctr Applicat Nat Resource Math, St Lucia, Qld 4072, Australia; [Ingleton, Tim] New South Wales Dept Off Environm &amp; Heritage, Dept Premier &amp; Cabinet, Waters &amp; Coastal Sci, POB A290, Sydney South 1232, Australia</t>
  </si>
  <si>
    <t>University of Technology Sydney; University of Tasmania; Macquarie University; Commonwealth Scientific &amp; Industrial Research Organisation (CSIRO); University of Queensland; Office of Environment &amp; Heritage - New South Wales</t>
  </si>
  <si>
    <t>Ajani, PA (corresponding author), Univ Technol, Climate Change Cluster C3, POB 123, Broadway, NSW 2007, Australia.</t>
  </si>
  <si>
    <t>penelope.ajani@uts.edu.au</t>
  </si>
  <si>
    <t>Allen, Andrew/B-8045-2011; Armand, Leanne K/C-9004-2009; Ajani, Penelope/K-9987-2019; Richardson, Anthony J/B-3649-2010; Hallegraeff, Gustaaf/C-8351-2013; Murray, Shauna A/K-5781-2015</t>
  </si>
  <si>
    <t>Richardson, Anthony J/0000-0002-9289-7366; Ajani, Penelope/0000-0001-5364-9936; Armand, Leanne/0000-0003-3995-308X; Hallegraeff, Gustaaf/0000-0001-8464-7343; Allen, Andrew/0000-0003-0304-7544; Murray, Shauna A/0000-0001-7096-1307</t>
  </si>
  <si>
    <t>0078-3218</t>
  </si>
  <si>
    <t>978-1-4987-4798-1</t>
  </si>
  <si>
    <t>OCEANOGR MAR BIOL</t>
  </si>
  <si>
    <t>Oceanogr. Mar. Biol.</t>
  </si>
  <si>
    <t>10.1201/9781315368597</t>
  </si>
  <si>
    <t>BH0YI</t>
  </si>
  <si>
    <t>WOS:000397060700008</t>
  </si>
  <si>
    <t>Ryabchenko, VA; Karlin, LN; Isaev, AV; Vankevich, RE; Eremina, TR; Molchanov, MS; Savchuk, OP</t>
  </si>
  <si>
    <t>Ryabchenko, V. A.; Karlin, L. N.; Isaev, A. V.; Vankevich, R. E.; Eremina, T. R.; Molchanov, M. S.; Savchuk, O. P.</t>
  </si>
  <si>
    <t>Model estimates of the eutrophication of the Baltic Sea in the contemporary and future climate</t>
  </si>
  <si>
    <t>COUPLED MODEL; NITROGEN</t>
  </si>
  <si>
    <t>The St. Petersburg Baltic eutrophication model (SPBEM) is used to assess the ecological condition of the sea under possible changes in climate and nutrient loads in the 21st century. According to model estimates, in the future climate water quality will worsen, compared to modern conditions. This deterioration is stronger in the climate warming scenario with a stronger change in future near-surface air temperature. In the considered scenarios of climate change, climate warming will lead to an increase in the area of anoxic and hypoxic zones. Reduction of nutrient loading, estimated in accordance with the Baltic Sea Action Plan, will only be able to partially compensate for the negative effects of global warming.</t>
  </si>
  <si>
    <t>[Ryabchenko, V. A.; Isaev, A. V.; Vankevich, R. E.] Russian Acad Sci, Shirshov Inst Oceanol, St Petersburg Branch, St Petersburg 196140, Russia; [Karlin, L. N.; Isaev, A. V.; Vankevich, R. E.; Eremina, T. R.] Russian State Hydrometeorol Univ, St Petersburg, Russia; [Molchanov, M. S.] Arctic &amp; Antarctic Res Inst, St Petersburg, Russia; [Savchuk, O. P.] St Petersburg State Univ, Inst Earth Sci, St Petersburg 199034, Russia; [Savchuk, O. P.] Stockholm Univ, Balt Sea Ctr, S-10691 Stockholm, Sweden</t>
  </si>
  <si>
    <t>Russian Academy of Sciences; Shirshov Institute of Oceanology; St. Petersburg Scientific Centre of the Russian Academy of Sciences; Russian State Hydrometeorological University; Arctic &amp; Antarctic Research Institute; Saint Petersburg State University; Stockholm University</t>
  </si>
  <si>
    <t>Ryabchenko, VA; Isaev, AV; Vankevich, RE (corresponding author), Russian Acad Sci, Shirshov Inst Oceanol, St Petersburg Branch, St Petersburg 196140, Russia.;Isaev, AV; Vankevich, RE (corresponding author), Russian State Hydrometeorol Univ, St Petersburg, Russia.;Molchanov, MS (corresponding author), Arctic &amp; Antarctic Res Inst, St Petersburg, Russia.;Savchuk, OP (corresponding author), St Petersburg State Univ, Inst Earth Sci, St Petersburg 199034, Russia.;Savchuk, OP (corresponding author), Stockholm Univ, Balt Sea Ctr, S-10691 Stockholm, Sweden.</t>
  </si>
  <si>
    <t>vla-ryabchenko@yandex.ru; isaev@rshu.ru; rvankevich@mail.ru; mms@aari.ru; oleg.savchuk@su.se</t>
  </si>
  <si>
    <t>Savchuk, Oleg/N-3414-2019; Ryabchenko, Vladimir Alexeevich/R-3877-2016; Vankevich, Roman e/M-3215-2013; Isaev, Alexey/C-1370-2014; Eremina, Tatjana/E-6467-2017</t>
  </si>
  <si>
    <t>Savchuk, Oleg/0000-0002-3873-4662; Ryabchenko, Vladimir Alexeevich/0000-0003-3909-537X; Isaev, Alexey/0000-0003-2005-4949; Eremina, Tatjana/0000-0001-5243-1804</t>
  </si>
  <si>
    <t>Ministry of Education and Science of the Russian Federation [2014/166]; Russian Scientific Foundation [14-50-00095]</t>
  </si>
  <si>
    <t>Ministry of Education and Science of the Russian Federation(Ministry of Education and Science, Russian Federation); Russian Scientific Foundation(Russian Science Foundation (RSF))</t>
  </si>
  <si>
    <t>The authors thank the referee for useful comments. A.V. Isaev and T.R. Eremina were supported by the Ministry of Education and Science of the Russian Federation as public work performers in the field of scientific activity in the framework of the base part of the state assignment no. 2014/166. V.A. Ryabchenko was supported by the Russian Scientific Foundation (the project no. 14-50-00095).</t>
  </si>
  <si>
    <t>10.1134/S0001437016010161</t>
  </si>
  <si>
    <t>WOS:000373643300006</t>
  </si>
  <si>
    <t>Barker, LDL; Kim, SL; Saenz, BT; Osborne, DJ; Daly, KL</t>
  </si>
  <si>
    <t>Barker, Laughlin D. L.; Kim, Stacy L.; Saenz, Benjamin T.; Osborne, D. J.; Daly, Kendra L.</t>
  </si>
  <si>
    <t>Towable Instrumentation for use with a hand-deployed Remotely Operated Vehicle</t>
  </si>
  <si>
    <t>BEHAVIOR; ICE</t>
  </si>
  <si>
    <t>A new class of small, hand-deployable underwater vehicles is playing an increasingly important role in oceanographic science. Due to the small nature of these vehicles, traditional incorporation of oceanographic instrumentation into a vehicle's body can result in a device too massive or cumbersome to deployed by hand. In this paper, we present a towed instrument package, FATTI, as an alternative means of sensor integration for small underwater vehicles, specifically for the Remotely Operated Vehicle (ROV) SCINI. The flexibly attached instrument package is comprised of a 120 kHz scientific echosounder and fluorometer, and was deployed in the McMurdo Sound, Antarctica to map the spatial and temporal dynamics of krill, fishes, and phytoplankton. The tow package proved modular and fieldable, and performed over 100 dives during the 2012/13 and 2014/15 Antarctic field seasons.</t>
  </si>
  <si>
    <t>[Barker, Laughlin D. L.] Johns Hopkins Univ, Dept Mech Engn, Baltimore, MD 21218 USA; [Barker, Laughlin D. L.; Kim, Stacy L.] Moss Landing Marine Labs, Benth Lab, Moss Landing, CA USA; [Saenz, Benjamin T.; Daly, Kendra L.] Univ S Florida, Coll Marine Sci, Tampa, FL 33620 USA; [Osborne, D. J.] Monterey Bay Aquarium Res Inst, Moss Landing, CA USA</t>
  </si>
  <si>
    <t>Johns Hopkins University; Moss Landing Marine Laboratories; State University System of Florida; University of South Florida; Monterey Bay Aquarium Research Institute</t>
  </si>
  <si>
    <t>Barker, LDL (corresponding author), Johns Hopkins Univ, Dept Mech Engn, Baltimore, MD 21218 USA.</t>
  </si>
  <si>
    <t>laughlin@jhu.edu</t>
  </si>
  <si>
    <t>National Science Foundation [ANT-0944747, 9044511, 1419937, 0944694]</t>
  </si>
  <si>
    <t>This material is based upon work supported by the National Science Foundation under Grant Nos. ANT-0944747 to Kim, 9044511 and 1419937 to Daly, and 0944694 to Ainley. Any opinions, findings, and conclusions or recommendations expressed in this material are those of the authors and do not necessarily reflect the views of the National Science Foundation.</t>
  </si>
  <si>
    <t>10.1109/OCEANS.2016.7761307</t>
  </si>
  <si>
    <t>WOS:000399929001153</t>
  </si>
  <si>
    <t>Kohut, J; Miles, T; Oliver, M; Cimino, M; Bernard, K; Winsor, P; Statscewich, H; Fraser, W; Patterson-Fraser, D; Fredj, E</t>
  </si>
  <si>
    <t>Kohut, Josh; Miles, Travis; Oliver, Matt; Cimino, Megan; Bernard, Kim; Winsor, Peter; Statscewich, Hank; Fraser, William; Patterson-Fraser, Donna; Fredj, Erick</t>
  </si>
  <si>
    <t>Project CONVERGE: Impacts of local oceanographic processes on Adelie penguin foraging ecology</t>
  </si>
  <si>
    <t>Ocean observing; Polar ecosystems; Physical oceanography</t>
  </si>
  <si>
    <t>The Palmer Deep submarine canyon on the Western Antarctic Peninsula provides a conduit for upwelling of relatively warm, nutrient rich waters which enhance local primary production and support a food web productive enough to sustain a large top predator biomass. In an analysis of ten years of satellite-tagged penguins, showed that circulation features associated with tidal flows may be a key driver of nearshore predator distributions. During diurnal tides, the penguins feed close to their breeding colonies and during semi-diurnal tides, the penguins make foraging trips to the more distant regions of Palmer Deep. It is hypothesized that convergent features act to concentrate primary producers and aggregate schools of krill that influence the behavior of predator species. The initial results from a six month deployment of a High Frequency Radar network in Palmer Deep are presented in an attempt to characterize and quantify convergent features. During a three month period from January through March 2015, we conducted in situ sampling consisting of multiple underwater glider deployments, small boat acoustic surveys of Antarctic krill, and penguin ARGOS-linked satellite telemetry and time-depth recorders (TDRs). The combination of real-time surface current maps with adaptive in situ sampling introduces High Frequency Radar to the Antarctic in a way that allows us to rigorously and efficiently test the influence of local tidal processes on top predator foraging ecology.</t>
  </si>
  <si>
    <t>[Kohut, Josh; Miles, Travis] Rutgers State Univ, New Brunswick, NJ 08901 USA; [Oliver, Matt; Cimino, Megan] Univ Delaware, Newark, DE 19716 USA; [Bernard, Kim] Oregon State Univ, Corvallis, OR 97331 USA; [Winsor, Peter; Statscewich, Hank] Univ Alaska, Fairbanks, AK 99701 USA; [Fraser, William; Patterson-Fraser, Donna] Polar Oceans Res Grp, Sheridan, MT USA; [Fredj, Erick] Jerusalem Coll Technol, Jerusalem, Israel</t>
  </si>
  <si>
    <t>Rutgers University System; Rutgers University New Brunswick; University of Delaware; Oregon State University; University of Alaska System; University of Alaska Fairbanks</t>
  </si>
  <si>
    <t>Kohut, J (corresponding author), Rutgers State Univ, New Brunswick, NJ 08901 USA.</t>
  </si>
  <si>
    <t>Fredj, Erick/AAR-7369-2021</t>
  </si>
  <si>
    <t>Fredj, Erick/0000-0002-7991-4942</t>
  </si>
  <si>
    <t>10.1109/OCEANS.2016.7761152</t>
  </si>
  <si>
    <t>WOS:000399929000158</t>
  </si>
  <si>
    <t>Ramesh, S; Sathianarayanan, D; Ramesh, R; Harikrishnan, G; Vadivelan, A; Ramadass, GA; Atmanand, MA</t>
  </si>
  <si>
    <t>Ramesh, S.; Sathianarayanan, D.; Ramesh, R.; Harikrishnan, G.; Vadivelan, A.; Ramadass, G. A.; Atmanand, M. A.</t>
  </si>
  <si>
    <t>Qualification of Polar Remotely Operated Vehicle at East Antarctica</t>
  </si>
  <si>
    <t>National Institute of Ocean Technology (NIOT) under the aegis of Ministry of Earth Sciences, Government of India has developed a Mini work class Polar Remotely Operated Vehicle (PROVe) for polar studies. PROVe is an unmanned, free swimming underwater vehicle. As part of the 34thIndian scientific expedition to Antarctica (ISEA) a team of six members from NIOT participated in the summer expedition in 2015 and carried out system functionality qualification in polar environment at a temperature range from -5 degrees C to -20-5 degrees C and scientific studies with connected scientific payloads using PROVe at Antarctica. PROVe was mobilized to Antarctica and deployed at Priyadarshini Lake near MAITRI station (Indian Base station at Antarctica) during February 2015. PROVe maneuverability with connected sensor were tested successfully and collected high resolution video images of algal mats covered over the glacial debris. All the operations were tested and the technology use in this epi-continental lake had been proved for further scientific studies in near future. After completion of the exploration at the lake, all the subsystems of PROVe were mobilized to ship by helicopter from Maitri station and reassembled onboard Ivan Papanin to study the Ice shelf at New Indian Barrier. ROV dived up to 62 m water depth successfully and during the dives the ice shelf continuity beyond 62 m depth was recorded. System functionality of all subsystems such as mini deck power converter, control console, umbilical cable, ROV thrusters, electronics and electrical components, poly-propylene frame, buoyancy module, O rings designed by NIOT for the low temperature polar environment was tested successfully. During the PROVe trial scientific data such as water temperature, salinity, irradiance, water sampling etc apart from color and black &amp; white camera footings were also successfully collected. This article explains underwater vehicle technology development and its outcome during the exploratory first step in the polar environment of East Antarctic.</t>
  </si>
  <si>
    <t>[Ramesh, S.; Sathianarayanan, D.; Ramesh, R.; Harikrishnan, G.; Vadivelan, A.; Ramadass, G. A.; Atmanand, M. A.] Govt India, Minist Earth Sci, Natl Inst Ocean Technol, Madras, Tamil Nadu, India</t>
  </si>
  <si>
    <t>Ministry of Earth Sciences (MoES) - India; National Centre for Coastal Research (NCCR); National Institute of Ocean Technology (NIOT)</t>
  </si>
  <si>
    <t>Ramadass, GA (corresponding author), Govt India, Minist Earth Sci, Natl Inst Ocean Technol, Madras, Tamil Nadu, India.</t>
  </si>
  <si>
    <t>ramadass@niot.res.in</t>
  </si>
  <si>
    <t>M A, Atmanand/A-1610-2016</t>
  </si>
  <si>
    <t>Narayanan, Sathia/0000-0002-5227-4025</t>
  </si>
  <si>
    <t>Ministry of Earth Science, Government of India</t>
  </si>
  <si>
    <t>The authors gratefully acknowledge the support extended by Ministry of Earth Science, Government of India, in funding this research. The authors also wish to thank other colleagues of deep sea technologies group, NIOT and NCAOR Antarctica logistics division for their contribution and support.</t>
  </si>
  <si>
    <t>10.1109/OCEANS.2016.7761382</t>
  </si>
  <si>
    <t>WOS:000399929002064</t>
  </si>
  <si>
    <t>Mauerer, M; Schubert, D; Zabel, P; Bamsey, M; Kohlberg, E; Mengedoht, D</t>
  </si>
  <si>
    <t>Mauerer, M.; Schubert, D.; Zabel, P.; Bamsey, M.; Kohlberg, E.; Mengedoht, D.</t>
  </si>
  <si>
    <t>Initial survey on fresh fruit and vegetable preferences of Neumayer Station crew members: Input to crop selection and psychological benefits of space-based plant production systems</t>
  </si>
  <si>
    <t>OPEN AGRICULTURE</t>
  </si>
  <si>
    <t>food acceptability; crop selection; bio-regenerative life support systems; space analogue environment; Antarctic plant production</t>
  </si>
  <si>
    <t>The inclusion of higher plants in bio-regenerative life support systems has been suggested to contribute to a nutritious menu, increase food acceptability and provide psychological benefits to the crew. In 2017, the EDEN ISS project will deploy a greenhouse module to the Neumayer Station III in Antarctica. This system will be used to advance bio-regenerative life support system technologies and operations. An initial survey was conducted to improve crop selection for the EDEN ISS greenhouse module by further investigating the aspects of food acceptability and psychological benefits of crop cultivation. Former members of the overwintering crews of the three Neumayer stations were asked about their fresh food and vegetable preferences and about further aspects concerning Antarctic plant production. Results confirm the benefits of growing higher plants in isolated and confined environments and offer insight on the importance of crop selection aspects like taste, texture, pungency and colour.</t>
  </si>
  <si>
    <t>[Mauerer, M.; Schubert, D.; Zabel, P.; Bamsey, M.] German Aerosp Ctr, Inst Space Syst, Bremen, Germany; [Kohlberg, E.; Mengedoht, D.] Alfred Wegener Inst, Bremerhaven, Germany</t>
  </si>
  <si>
    <t>Helmholtz Association; German Aerospace Centre (DLR); Helmholtz Association; Alfred Wegener Institute, Helmholtz Centre for Polar &amp; Marine Research</t>
  </si>
  <si>
    <t>Mauerer, M (corresponding author), German Aerosp Ctr, Inst Space Syst, Bremen, Germany.</t>
  </si>
  <si>
    <t>mareikemauerer89@gmail.com</t>
  </si>
  <si>
    <t>Zabel, Paul/HQZ-9029-2023</t>
  </si>
  <si>
    <t>Zabel, Paul/0000-0001-7907-9230; Mareike, Mauerer/0000-0001-7921-7031</t>
  </si>
  <si>
    <t>European Union [636501]</t>
  </si>
  <si>
    <t>European Union(European Union (EU))</t>
  </si>
  <si>
    <t>This project has received funding from the European Union's Horizon 2020 research and innovation programme under grant agreement No 636501.</t>
  </si>
  <si>
    <t>DE GRUYTER POLAND SP ZOO</t>
  </si>
  <si>
    <t>BOGUMILA ZUGA 32A STR., 01-811 WARSAW, POLAND</t>
  </si>
  <si>
    <t>2391-9531</t>
  </si>
  <si>
    <t>OPEN AGRIC</t>
  </si>
  <si>
    <t>Open Agric.</t>
  </si>
  <si>
    <t>10.1515/opag-2016-0023</t>
  </si>
  <si>
    <t>Agriculture, Multidisciplinary</t>
  </si>
  <si>
    <t>VF5LI</t>
  </si>
  <si>
    <t>WOS:000443084600023</t>
  </si>
  <si>
    <t>Flaig, PP; Hasiotis, ST; Jackson, AM</t>
  </si>
  <si>
    <t>Flaig, P. P.; Hasiotis, S. T.; Jackson, A. M.</t>
  </si>
  <si>
    <t>An Early Permian, paleopolar, postglacial, river-dominated deltaic succession in the Mackellar-Fairchild formations at Turnabout Ridge, Central Transantarctic Mountains, Antarctica</t>
  </si>
  <si>
    <t>Subaqueous terminal distributary channels; Hyperpycnites; Delta front; Icehouse-greenhouse; Epeiric seaway</t>
  </si>
  <si>
    <t>PRINCE CREEK FORMATION; TURONIAN FERRON SANDSTONE; NORTH SLOPE; SYDNEY BASIN; BOOK-CLIFFS; TURBIDITY CURRENTS; HYPERPYCNAL FLOWS; COASTAL-PLAIN; HIGH-LATITUDE; EVENT BEDS</t>
  </si>
  <si>
    <t>Turnabout Ridge, a remote outcrop belt in the Beardmore Glacier Region of the Central Transantarctic Mountains, comprises subglacial-glaciomarine deposits of the Pagoda Formation (Fm) overlain by a postglacial deltaic succession of the Mackellar-Fairchild formations (fms). Four depositional environments were identified in the Mackellar-Fairchild fms: 1) prodelta to distal-delta-front deposits that record the initial filling of a newly formed intracratonic basin; 2) an interval dominated by subaqueous terminal distributary channels and levees that signal the advancement of a delta into the region; 3) mouth bars and associated subaqueous terminal distributaries representing the proximal delta front; and 4) an overlying sand-dominated braidplain. A companion ichnologic study identified 30 ichnogenera in the Mackellar Fm that combine to form six ichnocoenoses. Twelve traces are known only from marine settings, 18 are found across marine, brackish, and freshwater systems, and none are known solely from freshwater systems. The ichnology refines paleoenvironmental and paleosalinity interpretations for the Mackellar Fm, and indicates a predominantly brackish water paleoenvironment Subaqueous terminal distributary channels record the highest energies, suspended sediment concentrations, and sediment loads, and are the conduits that delivered sediment to the delta front and prodelta. Abundant traction deposits (hyperpycnites) displaying only minor wave or tide modification suggest that the delta is best classified as river-flood dominated. The succession exhibits similarities to the Panther Tongue and Ferron Notom deltas of the Cretaceous Western Interior Seaway, USA, and a Late Ordovician proglacial delta from the Murzuq Basin in Libya. The combined ichnologic and sedimentologic evidence suggests that sediment-laden glacial outburst floods produced freshets that recurrently prepped a shallow-marine basin, reducing salinities and allowing for abundant channelization and hyperpycnite deposition along the delta front. Turnabout Ridge likely occupied a proximal and axial position relative to an Antarctic freshwater- and sedimentation-stressed, river-dominated marine deltaic system along the shoreline of an epeiric seaway during the Early Permian. (C) 2015 Elsevier B.V. All rights reserved.</t>
  </si>
  <si>
    <t>[Flaig, P. P.] Univ Texas Austin, Jackson Sch Geosci, Bur Econ Geol, Austin, TX 78712 USA; [Hasiotis, S. T.; Jackson, A. M.] Univ Kansas, Dept Geol, Lawrence, KS 66045 USA</t>
  </si>
  <si>
    <t>University of Texas System; University of Texas Austin; University of Kansas</t>
  </si>
  <si>
    <t>Flaig, PP (corresponding author), Univ Texas Austin, Jackson Sch Geosci, Bur Econ Geol, Austin, TX 78712 USA.</t>
  </si>
  <si>
    <t>peter.flaig@beg.utexas.edu; hasiotis@ku.edu; adam.jackson@ku.edu</t>
  </si>
  <si>
    <t>Flaig, Peter/B-7942-2011</t>
  </si>
  <si>
    <t>Flaig, Peter/0000-0002-4702-2157</t>
  </si>
  <si>
    <t>National Science Foundation Office of Polar Programs [OPP-0944282]</t>
  </si>
  <si>
    <t>National Science Foundation Office of Polar Programs(National Science Foundation (NSF)NSF - Directorate for Geosciences (GEO))</t>
  </si>
  <si>
    <t>We thank the National Science Foundation Office of Polar Programs grant OPP-0944282 to Stephen Hasiotis. We also thank the 109th Airlift Wing of the New York Air National Guard, Petroleum Helicopters International, Ken Borek Air, Brian McCullough, and the support staff at McMurdo Station and the Central Transantarctic Mountains Camp (Beardmore Camp). We thank John Isbell and David Elliot for sharing their wealth of experience and knowledge of Antarctic Geology, and for their invaluable advice in the field. We also thank Cornel Olariu, an anonymous reviewer, and associate editor Paul McCarthy for their suggestions to improve this article.</t>
  </si>
  <si>
    <t>10.1016/j.palaeo.2015.08.004</t>
  </si>
  <si>
    <t>CZ5AE</t>
  </si>
  <si>
    <t>WOS:000367113700003</t>
  </si>
  <si>
    <t>Miller, MF; Knepprath, NE; Cantrill, DJ; Francis, JE; Isbell, JL</t>
  </si>
  <si>
    <t>Miller, Molly F.; Knepprath, Nichole E.; Cantrill, David J.; Francis, Jane E.; Isbell, John L.</t>
  </si>
  <si>
    <t>Highly productive polar forests from the Permian of Antarctica</t>
  </si>
  <si>
    <t>Fossil forest; High paleolatitude; Antarctica; Permian</t>
  </si>
  <si>
    <t>CENTRAL TRANSANTARCTIC MOUNTAINS; NET PRIMARY PRODUCTION; TREE GROWTH; ALEXANDER ISLAND; LATITUDE FOREST; FOSSIL FORESTS; BIOMASS; RECONSTRUCTION; GREENHOUSE; CLIMATE</t>
  </si>
  <si>
    <t>Two stratigraphically closely spaced bedding planes exposed at Lamping Peak in the Upper Buckley Formation, Beardmore Glacier area, Antarctica contain abundant in situ stumps (n = 53, n = 21) and other plant fossils that allow reconstruction of forest structure and biomass of Glossopteris forests that thrived at similar to 75 degrees S paleolatitude in the Permian. Mean trunk diameter is 14 and 25 cm, corresponding to estimated mean maximum heights of 12 and 19 m. Basal areas are 65 and 80 m(2) ha(-1). The above ground biomass was calculated using allometric equations for Ginkgo biloba, yielding biomasses of 147 and 178 Mg ha(-1). Biomass estimates based on comparison with biomass of modern forests with equivalent basal areas are higher (225-400 Mg ha(-1)). The amount of above ground biomass added each year (annual net primary productivity), based on biomass estimates and growth rings in silicified plant material from the Buckley Formation nearby, is poorly constrained, ranging from similar to 100-2000 g m(-2) yr(-1). Compared to modern forests at all latitudes, the Permian forests have high basal areas and high biomass, exceeded in both only by forests of the U.S. Pacific northwest and Sequoia forests. The estimated range of productivity (ANPP) is within that of many very productive modem forests. The Lamping Peak forests' basal areas and calculated biomass are also larger than younger high paleolatitude fossil forests except for Arctic Cenozoic forests. The presence of these highly productive fossil forests at high paleolatitude is consistent with hothouse conditions during the Late Permian, prior to the eruption of the Siberian flood basalts. (C) 2015 Elsevier B.V. All rights reserved.</t>
  </si>
  <si>
    <t>[Miller, Molly F.] Vanderbilt Univ, Stevenson Ctr 5726, Dept Earth &amp; Environm Sci, Nashville, TN 37240 USA; [Knepprath, Nichole E.] Mt Isa Mines, Mt Isa, Qld 4825, Australia; [Cantrill, David J.] Royal Bot Gardens Victoria, Melbourne, Vic 3004, Australia; [Francis, Jane E.] British Antarctic Survey, Cambridge CB3 0ET, England; [Isbell, John L.] Univ Wisconsin, Dept Geosci, Milwaukee, WI 53201 USA</t>
  </si>
  <si>
    <t>Vanderbilt University; Melbourne Genomics Health Alliance; UK Research &amp; Innovation (UKRI); Natural Environment Research Council (NERC); NERC British Antarctic Survey; University of Wisconsin System; University of Wisconsin Milwaukee</t>
  </si>
  <si>
    <t>Miller, MF (corresponding author), Vanderbilt Univ, Stevenson Ctr 5726, Dept Earth &amp; Environm Sci, Nashville, TN 37240 USA.</t>
  </si>
  <si>
    <t>Molly.Miller@Vanderbilt.edu; nknep@yahoo.com; David.Cantrill@rbg.vic.gov.au; janefr@bas.ac.uk; jisbell@uwm.edu</t>
  </si>
  <si>
    <t>Cantrill, David/R-1415-2019</t>
  </si>
  <si>
    <t>Cantrill, David/0000-0002-1185-4015</t>
  </si>
  <si>
    <t>United States National Science Foundation [ANT 0126146, OPP 0440954, ANT 0126086, PLR 0943935]; NERC [bas010011] Funding Source: UKRI; Natural Environment Research Council [bas010011] Funding Source: researchfish; Directorate For Geosciences; Division Of Polar Programs [0943935] Funding Source: National Science Foundation</t>
  </si>
  <si>
    <t>United States National Science Foundation(National Science Foundation (NSF)); NERC(UK Research &amp; Innovation (UKRI)Natural Environment Research Council (NERC)); Natural Environment Research Council(UK Research &amp; Innovation (UKRI)Natural Environment Research Council (NERC)); Directorate For Geosciences; Division Of Polar Programs(National Science Foundation (NSF)NSF - Directorate for Geosciences (GEO))</t>
  </si>
  <si>
    <t>This study was supported by grants from the United States National Science Foundation, ANT 0126146 and OPP 0440954 to MFM and ANT 0126086 and PLR 0943935 to JLI. We thank Peter Flaig for assistance with fieldwork and for Fig. 2. Michael Huston gave valuable advice about modern forests and provided his original diagram that served as the basis for Fig. 8. Vanessa Bowman, Paul McCarthy, and an anonymous reviewer made valuable suggestions on an earlier version of this manuscript. Mary Parrish of the National Museum of Natural History, Smithsonian Institute produced Fig. 9.</t>
  </si>
  <si>
    <t>10.1016/j.palaeo.2015.06.016</t>
  </si>
  <si>
    <t>hybrid, Green Accepted</t>
  </si>
  <si>
    <t>WOS:000367113700005</t>
  </si>
  <si>
    <t>Egerton, VM; Williams, CJ; Lacovara, KJ</t>
  </si>
  <si>
    <t>Egerton, Victoria M.; Williams, Christopher J.; Lacovara, Kenneth J.</t>
  </si>
  <si>
    <t>A new Late Cretaceous (late Campanian to early Maastrichtian) wood flora from southern Patagonia</t>
  </si>
  <si>
    <t>Cretaceous; Wood; Argentina; Patagonia; Cerro Fortaleza Formation</t>
  </si>
  <si>
    <t>GONDWANAN POLAR FORESTS; SANTA-CRUZ PROVINCE; FOSSIL WOOD; 1ST RECORD; ANTARCTICA; ISLAND; CONIFERALES; SYSTEMATICS; EVOLUTION; CLIMATE</t>
  </si>
  <si>
    <t>The Cerro Fortaleza Formation, in southernmost Patagonia (Argentina), contains a unique Late Cretaceous (Campanian) flora and fauna. This formation is characterized by lithified fluvial sands, overbank mud deposits, and paleosols deposited in fluvial, fluvial-palustrine, and coastal plain environments from the northeastern margin of the Austral (Magellanes) Basin. The overlying and underlying formations have been dated as Campanian and Maastrichtian, respectively. Therefore, the Cerro Fortaleza Formation putatively falls within the late Campanian-Maastrichtian. This formation is known for its diverse fauna including dinosaurs, fishes, and turtles. Furthermore, poorly preserved leaf impressions from indeterminate conifers and cycads have also been discovered but not yet described. Fossil wood taxa from the Cerro Fortaleza Formation yields a diverse flora of gymnosperm wood but only two genera of angiosperm wood. Gymnosperm genera identified in this study include Agathoxylon, Planoxylon, Taxodioxylon, Cupressinoxylon, and Podocarpoxylon; and angiosperm genera identified include Hedycaryoxylon and Nothofagoxylon. This is the first record of Planoxylon, Taxodioxylon, Cupressinoxylon, and Hedycaryoxylon from Argentina. Additionally, this is the oldest occurrence of Nothofagoxylon in Argentina. Both the angiosperm and gymnosperm wood samples possess distinct growth rings, providing strong evidence for seasonal growth regimes in the region. All of the wood genera from the Cerro Fortaleza Formation, except Planoxylon, have also been described from Late Cretaceous sediments of the Antarctic Peninsula. Thus, the presence of these taxa in both regions supports Late Cretaceous plant dispersal between them. Despite sharing the same taxa, the floras from the Cerro Fortaleza Formation and the Antarctic Peninsula exhibit strikingly different relative abundances. The ratio of gymnosperm to angiosperm wood in the Cerro Fortaleza Formation is 75:25; whereas coeval floras from the Antarctic Peninsula are similar to 25:75. The floral differences between these locations may be a relict from a widespread older flora that included Antarctica, regional floristic variations or a result of different depositional and/or taphonomic controls in discrete paleoenvironments. (C) 2015 Elsevier B.V. All rights reserved.</t>
  </si>
  <si>
    <t>[Egerton, Victoria M.] Univ Manchester, Sch Earth Atmospher &amp; Environm Sci, Manchester M13 9PL, Lancs, England; [Egerton, Victoria M.; Lacovara, Kenneth J.] Drexel Univ, Dept Biodivers Earth &amp; Environm Sci, Philadelphia, PA 19104 USA; [Williams, Christopher J.] Franklin &amp; Marshall Coll, Dept Earth &amp; Environm, Lancaster, PA 17603 USA</t>
  </si>
  <si>
    <t>University of Manchester; Drexel University; Franklin &amp; Marshall College</t>
  </si>
  <si>
    <t>Egerton, VM (corresponding author), Univ Manchester, Sch Earth Atmospher &amp; Environm Sci, Oxford Rd, Manchester M13 9PL, Lancs, England.</t>
  </si>
  <si>
    <t>victoria.egerton@manchester.ac.uk</t>
  </si>
  <si>
    <t>Williams, Christopher/AAX-6843-2020</t>
  </si>
  <si>
    <t>Egerton, Victoria/0000-0002-0739-6533; Williams, Christopher/0000-0002-8819-6786</t>
  </si>
  <si>
    <t>National Science Foundation (EAR) [0603805]; Drexel University; Jurassic Foundation; Science and Technology Facilities Council; Directorate For Geosciences; Division Of Earth Sciences [0603805] Funding Source: National Science Foundation</t>
  </si>
  <si>
    <t>National Science Foundation (EAR); Drexel University; Jurassic Foundation; Science and Technology Facilities Council(UK Research &amp; Innovation (UKRI)Science &amp; Technology Facilities Council (STFC)); Directorate For Geosciences; Division Of Earth Sciences(National Science Foundation (NSF)NSF - Directorate for Geosciences (GEO))</t>
  </si>
  <si>
    <t>We would like to thank Dr. Fernando Novas (Museo Argentino de Ciencias Naturales) for help with permitting and logistics. We are grateful to Dr. Viviana Barreda (Museo Argentino de Ciencias Naturales) for providing microscopes; Dr. Roberto Pujana, Professor Hermann Pfefferkorn, Professor Phillip Manning, and Dr. Francisco Nullo for their valuable comments; and Ricardo Ponti (Museo Argentino de Ciencias Naturales) for the skillful preparation of the specimens. This work was supported by the National Science Foundation (EAR Award 0603805), Drexel University, and the Jurassic Foundation. Dr. Egerton also thanks the Science and Technology Facilities Council for funding at the University of Manchester.</t>
  </si>
  <si>
    <t>10.1016/j.palaeo.2015.07.011</t>
  </si>
  <si>
    <t>WOS:000367113700006</t>
  </si>
  <si>
    <t>Reichgelt, T; Kennedy, EM; Jones, WA; Jones, DT; Lee, DE</t>
  </si>
  <si>
    <t>Reichgelt, Tammo; Kennedy, Elizabeth M.; Jones, Wyn A.; Jones, David T.; Lee, Daphne E.</t>
  </si>
  <si>
    <t>Contrasting palaeoenvironments of the mid/late Miocene Dunedin Volcano, southern New Zealand: Climate or topography?</t>
  </si>
  <si>
    <t>Mid/late Miocene boundary; Palaeoclimate; Palaeotopography; Aspect; Mid-latitudes</t>
  </si>
  <si>
    <t>COEXISTENCE APPROACH; SHIELD VOLCANOS; MIDDLE MIOCENE; OTAGO; PALEOCLIMATE; HISTORY; EOCENE; MA; RECONSTRUCTIONS; NOTHOFAGUS</t>
  </si>
  <si>
    <t>At the mid/late Miocene boundary, a northward shift occurred in the Subtropical Front neighbouring the New Zealand continental landmass. The terrestrial palaeoenvironment of New Zealand concurrently underwent a period of cooling. The Dunedin Volcanic Group in southern New Zealand spans the mid/late Miocene boundary and the sedimentary deposits from Kaikorai Valley and Double Hill within this group contain diverse and well-preserved floral assemblages. We used terrestrial palaeoclimate proxies CLAMP (Climate Leaf Analysis Multivariate Program) and BA (Bioclimatic Analysis) to determine the paleoenvironment at southern mid-latitudes during the mid/late Miocene transition. Our results indicate that the mid/late Miocene climate of the Dunedin Volcano was warm-temperate to subtropical (mean annual temperature [MAT]: similar to 17-19 degrees C) at Double Hill, similar to modern coastal Queensland, and cool- to warm-temperate (MAT: similar to 12-14 degrees C) at Kaikorai Valley, similar to modern northern New Zealand. Winter temperatures at Kaikorai Valley were distinctly cooler (similar to 6-8 degrees C). Differing aspect (i.e. north vs south facing) may have played a part in determining solar radiation, particularly in an area of high relief, such as the Dunedin Volcano. Because Kaikorai Valley was situated facing south and Double Hill facing north, the two sites would have received differing radiative fluxes, particularly in winter, thereby possibly influencing the local environment, biota, and potentially also the palaeoclimate signal produced by floral proxies. This study provides evidence for the temperature decline in terrestrial palaeoenvironments at mid-latitudes caused by the northward movement of the Subtropical Front and strengthening of the Antarctic Circumpolar Current during the mid/late Miocene. (C) 2015 Elsevier B.V. All rights reserved.</t>
  </si>
  <si>
    <t>[Reichgelt, Tammo; Jones, Wyn A.; Jones, David T.; Lee, Daphne E.] Univ Otago, Dept Geol, Dunedin, New Zealand; [Reichgelt, Tammo] Columbia Univ, Lamont Doherty Earth Observ, Palisades, NY 10964 USA; [Kennedy, Elizabeth M.] GNS Sci, Lower Hutt, New Zealand</t>
  </si>
  <si>
    <t>University of Otago; Columbia University; GNS Science - New Zealand</t>
  </si>
  <si>
    <t>Reichgelt, T (corresponding author), Columbia Univ, Lamont Doherty Earth Observ, POB 1000, Palisades, NY 10964 USA.</t>
  </si>
  <si>
    <t>tammor@Ideo.columbia.edu</t>
  </si>
  <si>
    <t>Reichgelt, Tammo/0000-0001-8652-5489; Kennedy, Elizabeth/0000-0002-1989-779X</t>
  </si>
  <si>
    <t>Royal Society of New Zealand Marsden Grant [UOO1115]</t>
  </si>
  <si>
    <t>Royal Society of New Zealand Marsden Grant(Royal Society of New ZealandMarsden Fund (NZ))</t>
  </si>
  <si>
    <t>Many thanks to J. Allison for granting us field access to the Double Hill locality. Funding for this research was provided by a Royal Society of New Zealand Marsden Grant (UOO1115). William Lee, Chris Moy, Matt McGlone, John Conran, and Pratigya Polissar are acknowledged for providing comments on the manuscript. We thank two anonymous reviewers and editor Thieny Correge for their interest in this work and helpful comments.</t>
  </si>
  <si>
    <t>10.1016/j.palaeo.2015.10.029</t>
  </si>
  <si>
    <t>WOS:000367113900007</t>
  </si>
  <si>
    <t>Beddow, HM; Liebrand, D; Sluijs, A; Wade, BS; Lourens, LJ</t>
  </si>
  <si>
    <t>Beddow, Helen M.; Liebrand, Diederik; Sluijs, Appy; Wade, Bridget S.; Lourens, Lucas J.</t>
  </si>
  <si>
    <t>Global change across the Oligocene-Miocene transition: High-resolution stable isotope records from IODP Site U1334 (equatorial Pacific Ocean)</t>
  </si>
  <si>
    <t>stable isotopes; Oligocene-Miocene transition; benthic foraminfera</t>
  </si>
  <si>
    <t>SEDIMENTS ODP SITE-1218; DEEP-WATER CIRCULATION; BIOLOGICAL CARBONATES; BENTHIC FORAMINIFERA; ICE-SHEET; SOUTHERN-OCEAN; CLIMATE; OXYGEN; CALIBRATION; DELTA-O-18</t>
  </si>
  <si>
    <t>The Oligocene-Miocene transition (OMT) (similar to 23Ma) is interpreted as a transient global cooling event, associated with a large-scale Antarctic ice sheet expansion. Here we present a 2.23Myr long high-resolution (similar to 3kyr) benthic foraminiferal oxygen and carbon isotope (O-18 and C-13) record from Integrated Ocean Drilling Program Site U1334 (eastern equatorial Pacific Ocean), covering the interval from 21.91 to 24.14Ma. To date, five other high-resolution benthic foraminiferal stable isotope stratigraphies across this time interval have been published, showing a similar to 1 increase in benthic foraminiferal O-18 across the OMT. However, these records are still few and spatially limited and no clear understanding exists of the global versus local imprints. We show that trends and the amplitudes of change are similar at Site U1334 as in other high-resolution stable isotope records, suggesting that these represent global deep water signals. We create a benthic foraminiferal stable isotope stack across the OMT by combining Site U1334 with records from ODP Sites 926, 929, 1090, 1264, and 1218 to best approximate the global signal. We find that isotopic gradients between sites indicate interbasinal and intrabasinal variabilities in deep water masses and, in particular, note an offset between the equatorial Atlantic and the equatorial Pacific, suggesting that a distinct temperature gradient was present during the OMT between these deep water masses at low latitudes. A convergence in the O-18 values between infaunal and epifaunal species occurs between 22.8 and 23.2Ma, associated with the maximum O-18 excursion at the OMT, suggesting climatic changes associated with the OMT had an effect on interspecies offsets of benthic foraminifera. Our data indicate a maximum glacioeustatic sea level change of similar to 50m across the OMT.</t>
  </si>
  <si>
    <t>[Beddow, Helen M.; Sluijs, Appy; Lourens, Lucas J.] Univ Utrecht, Dept Earth Sci, Fac Geosci, Utrecht, Netherlands; [Liebrand, Diederik] Univ Southampton, Natl Oceanog Ctr, Ocean &amp; Earth Sci, Southampton, Hants, England; [Wade, Bridget S.] UCL, Fac Math &amp; Phys Sci, Dept Earth Sci, London, England</t>
  </si>
  <si>
    <t>Utrecht University; NERC National Oceanography Centre; University of Southampton; University of London; University College London</t>
  </si>
  <si>
    <t>Beddow, HM (corresponding author), Univ Utrecht, Dept Earth Sci, Fac Geosci, Utrecht, Netherlands.</t>
  </si>
  <si>
    <t>h.m.beddow-twigg@uu.nl</t>
  </si>
  <si>
    <t>Wade, Bridget S/F-4987-2014; Lieband, Diederik/AAT-2004-2021; Sluijs, Appy/B-3726-2009</t>
  </si>
  <si>
    <t>Wade, Bridget S/0000-0002-7245-8614; Lieband, Diederik/0000-0002-6925-7889; Sluijs, Appy/0000-0003-2382-0215</t>
  </si>
  <si>
    <t>NWO VICI grant [865.10.001]; European Research Council (ERC) under the European Union Seventh Framework Program for ERC Starting grant [259627]; Natural Environment Research Council [NE/G014817]; Natural Environment Research Council [NE/G014817/2] Funding Source: researchfish; NERC [NE/G014817/2] Funding Source: UKRI</t>
  </si>
  <si>
    <t>NWO VICI grant(Netherlands Organization for Scientific Research (NWO)); European Research Council (ERC) under the European Union Seventh Framework Program for ERC Starting grant(European Research Council (ERC));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</si>
  <si>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research used samples provided by the Integrated Ocean Drilling Program (IODP), collected by the staff, crew, and scientists of IODP Expedition 320/321. We thank Dominika Kasjanuk, Arnold van Dijk, Maxim Krasnoperov, and Jan Drenth for laboratory assistance and Vittoria Lauretano, Stefanie Kaboth, Frits Hilgen, Heiko Palike, and Steve Bohaty for useful discussions. We thank Ann Holbourn and two anonymous reviewers for constructive and helpful reviews. This research was supported by NWO VICI grant [865.10.001] awarded to L.J. Lourens. A. Sluijs thanks the European Research Council (ERC) under the European Union Seventh Framework Program for ERC Starting grant 259627. B. Wade was supported by the Natural Environment Research Council reference NE/G014817. This work was carried out under the program of the Netherlands Earth System Science Centre (NESSC). Data are available in the supporting information tables and online through Pangaea.</t>
  </si>
  <si>
    <t>10.1002/2015PA002820</t>
  </si>
  <si>
    <t>Bronze, Green Published, Green Accepted</t>
  </si>
  <si>
    <t>WOS:000370351800005</t>
  </si>
  <si>
    <t>Artamonov, YV; Skripaleva, EA</t>
  </si>
  <si>
    <t>Artamonov, Yu. V.; Skripaleva, E. A.</t>
  </si>
  <si>
    <t>Oceanographic Research of Marine Hydrophysical Institute in the Southern Ocean</t>
  </si>
  <si>
    <t>PHYSICAL OCEANOGRAPHY</t>
  </si>
  <si>
    <t>the Southern ocean; Antarctic expeditions; passing hydrometeorological measurements; thermohaline fields; fronts; temperature trends; the Antarctic Circumpolar current</t>
  </si>
  <si>
    <t>Basic stages of the oceanographic research carried out by Marine Hydrophysical Institute in the Southern ocean are considered. Each stage of the studies is illustrated by the schemes of expeditionary work; the most important results are presented. The oceanographic studies of Marine Hydrophysical Institute in the Southern ocean are shown to be developed in two basic directions: marine expeditionary research and analysis of the archival hydrometeorological data. Based on the results of expeditionary studies, the mechanisms of formation and variability of the water structure and circulation in the Antarctic coastal regions are described. Anomalies of hydrometeorological fields occurring along the route to Antarctica are assessed due to the measurements from the passing vessels. The archival hydrological and satellite data constitute a foundation for revealing the features of seasonal and interannual variability of the ocean surface temperature, fronts and sea ice in Antarctica. The effect of El Nino events on the interannual variation of the characteristics of Scotia Sea Front is revealed. It is shown that the formation of warm water positive anomaly areas in the tropical Pacific is caused by El Nino events. It's accompanied by an appreciable displacement of the front to the south, by the weakening of its intensity and the decrease of temperature on the front axes. It is shown that maximum seasonal variation of the ice concentration is observed in the Weddell and Lazarev Seas. The ice in the Weddell, Amundsen and Bellingshausen Sea are shown to be exposed to the highest interannual variability.</t>
  </si>
  <si>
    <t>[Artamonov, Yu. V.; Skripaleva, E. A.] Russian Acad Sci, Marine Hydrophys Inst, Sevastopol, Russia</t>
  </si>
  <si>
    <t>Marine Hydrophysical Institute of RAS; Russian Academy of Sciences</t>
  </si>
  <si>
    <t>Artamonov, YV (corresponding author), Russian Acad Sci, Marine Hydrophys Inst, Sevastopol, Russia.</t>
  </si>
  <si>
    <t>artam-ant@yandex.ru</t>
  </si>
  <si>
    <t>Skripaleva, Elena/AAC-6648-2020</t>
  </si>
  <si>
    <t>[0827-2015-0001]</t>
  </si>
  <si>
    <t>The research was carried out within the framework of State Order No. 0827-2015-0001 Fundamental research of the processes in the ocean - atmosphere - lithosphere system determining spatial-temporal variability of the global and regional scale environment and climate.</t>
  </si>
  <si>
    <t>FEDERAL STATE BUDGET SCIENTIFIC INST, MARINE HYDROPHYSICAL INST</t>
  </si>
  <si>
    <t>SEVASTOPOL</t>
  </si>
  <si>
    <t>pitanskaya Str., 2, SEVASTOPOL, 299011, CRIMEA</t>
  </si>
  <si>
    <t>0928-5105</t>
  </si>
  <si>
    <t>1573-160X</t>
  </si>
  <si>
    <t>PHYS OCEANOGR</t>
  </si>
  <si>
    <t>Phys. Oceanogr.</t>
  </si>
  <si>
    <t>10.22449/1573-160X-2016-6-56-66</t>
  </si>
  <si>
    <t>VH3FZ</t>
  </si>
  <si>
    <t>WOS:000452651400006</t>
  </si>
  <si>
    <t>Devor, DP; Kuhn, DE; O'Brien, KM; Crockett, EL</t>
  </si>
  <si>
    <t>Devor, Devin P.; Kuhn, Donald E.; O'Brien, Kristin M.; Crockett, Elizabeth L.</t>
  </si>
  <si>
    <t>Hyperoxia Does Not Extend Critical Thermal Maxima (CTmax) in White- or Red-Blooded Antarctic Notothenioid Fishes</t>
  </si>
  <si>
    <t>PHYSIOLOGICAL AND BIOCHEMICAL ZOOLOGY</t>
  </si>
  <si>
    <t>Antarctic fishes; thermal stress; hyperoxic treatment; critical thermal maximum</t>
  </si>
  <si>
    <t>TEMPERATURE-DEPENDENT BIOGEOGRAPHY; OXIDATIVE STRESS; GENE-EXPRESSION; CLIMATE-CHANGE; TREMATOMUS-BERNACCHII; CARDIAC-PERFORMANCE; DISSOLVED-OXYGEN; COMMON KILLIFISH; HEAT TOLERANCE; MESSENGER-RNA</t>
  </si>
  <si>
    <t>Understanding what limits the capacity of organisms to tolerate increasing temperatures is a critical objective in comparative biology. Using an experimental system of Antarctic notothenioid fishes, we sought to determine whether a mismatch between oxygen demand and oxygen supply was responsible for setting thermal tolerance limits. Previous studies have shown that Antarctic icefishes (family Channichthyidae), which lack hemoglobin, have lower critical thermal maxima (CTmax) than redblooded notothenioids collected from the same region of the Antarctic (Western Antarctic Peninsula). In addition, within the notothenioid fishes there exists a positive correlation between CTmax and hematocrit. We tested the hypothesis that the lower CTmax of icefishes is associated with reduced oxygen supply. We employed an experimental heat ramp (4 degrees C h(-1)) to determine CTmax under both normoxic and hyperoxic conditions and quantified correlates of oxygen limitation (lactate levels and expression of hypoxia-inducible factor-1 alpha) in white-blooded Chaenocephalus aceratus and red-blooded Notothenia coriiceps. Hyperoxia, corresponding to a three- to fourfold increase in seawater PO2, did not extend CTmax in either species despite an overall mitigation in the rise of plasma and muscle lactate compared with the normoxic treatment. Our results also indicate that cardiac HIF-1 alpha mRNA levels were insensitive to changes in both temperature and oxygen treatments. The absence of a change in CTmax with hyperoxia is likely to represent the contribution of factors beyond oxygen supply to physiological failure at elevated temperatures.</t>
  </si>
  <si>
    <t>[Devor, Devin P.; Kuhn, Donald E.; Crockett, Elizabeth L.] Ohio Univ, Dept Biol Sci, Athens, OH 45701 USA; [O'Brien, Kristin M.] Univ Alaska, Inst Arctic Biol, Fairbanks, AK 99775 USA</t>
  </si>
  <si>
    <t>University System of Ohio; Ohio University; University of Alaska System; University of Alaska Fairbanks</t>
  </si>
  <si>
    <t>Crockett, EL (corresponding author), Ohio Univ, Dept Biol Sci, Athens, OH 45701 USA.</t>
  </si>
  <si>
    <t>crockett@ohio.edu</t>
  </si>
  <si>
    <t>US National Science Foundation [ANT-0739637, ANT-0741301]</t>
  </si>
  <si>
    <t>US National Science Foundation(National Science Foundation (NSF))</t>
  </si>
  <si>
    <t>This study was conceived and designed by Dr. Bruce Sidell, who mentored and/or inspired many who are working in the field of Antarctic fish biology. Even though Bruce paved the way for this, his final project, without access to his red pen he would not have wanted us to include him as coauthor. We chose to respect that. We thank Drs. Stuart Egginton and Tony Farrell for helpful comments on an earlier draft of the manuscript. We also owe our thanks to the staff of Raytheon Polar Services at Palmer Station and the masters and crew of the ARSV Laurence M. Gould for their logistic support. This work was assisted in the field by Drs. Irina Mueller and Jeff Grim. Dr. Mueller and Patrik Sartz were also invaluable in helping with the polymerase chain reaction work, and Dr. Brian McCarthy advised us with the statistical analyses. Financial support for our research was provided by the US National Science Foundation (ANT-0739637 to E.L.C., ANT-0741301 to K.M.O and E.L.C.).</t>
  </si>
  <si>
    <t>1522-2152</t>
  </si>
  <si>
    <t>1537-5293</t>
  </si>
  <si>
    <t>PHYSIOL BIOCHEM ZOOL</t>
  </si>
  <si>
    <t>Physiol. Biochem. Zool.</t>
  </si>
  <si>
    <t>10.1086/684812</t>
  </si>
  <si>
    <t>DB5ND</t>
  </si>
  <si>
    <t>WOS:000368560000002</t>
  </si>
  <si>
    <t>Gili, JM; Zapata-Guardiola, R; Isla, E; Vaqué, D; Barbosa, A; García-Sancho, L; Quesada, A</t>
  </si>
  <si>
    <t>Gili, Josep-Maria; Zapata-Guardiola, Rebeca; Isla, Enrique; Vaque, Dolors; Barbosa, Andres; Garcia-Sancho, Leopoldo; Quesada, Antonio</t>
  </si>
  <si>
    <t>Introduction to the special issue on the Life in Antarctica: Boundaries and Gradients in a Changing Environment (XIth SCAR Biology Symposium)</t>
  </si>
  <si>
    <t>XIth SCAR Biology Symposium; Antarctic life; Antarctic biodiversity; Terrestrial biocomplexity; Human impacts; Physical and biogeochemical processes</t>
  </si>
  <si>
    <t>SOUTHERN-OCEAN; CLIMATE-CHANGE; BENTHIC COMMUNITIES; SEA-ICE; PHYTOPLANKTON; PENINSULA; IMPACT; SHELF; WEST; BACTERIOPLANKTON</t>
  </si>
  <si>
    <t>Scientific research in Antarctica has reached maturity in recent decades. The interest in issues related to knowledge about the southern polar regions has increased significantly among researchers from all scientific and technological disciplines. Among the various fields, biology comprises perhaps the highest concentration of related activities and encompasses the most diverse research topics. This increase in the research activity has to be translated in a greater coordination research efforts. The Scientific Committee of Antarctic Research has positioned itself as the focal point of this activity, with the organized symposiums being the best forum to share and report progress in various fields. This was the philosophy of XIth Scientific Committee on Antarctic Research Symposium held in Barcelona in July 2013. The different contributions of the symposium developed around a main topic: Life in Antarctica: Boundaries and Gradients in a Changing Environment. The symposium had the objective of linking the functional importance of land and water ecosystems with their bio-complexity under an ecosystem perspective. Such an approach will lead to a better understanding of Antarctic food webs, effects of human impacts (e.g., ozone hole, climate change, tourism), flexible boundaries and dynamic gradients in Antarctic ecosystems, as well as Antarctic marine biodiversity through its patterns, processes and trends.</t>
  </si>
  <si>
    <t>[Gili, Josep-Maria; Zapata-Guardiola, Rebeca; Isla, Enrique; Vaque, Dolors] CSIC, Inst Ciencias Mar, Passeig Maritim Barceloneta 37-49, E-08003 Barcelona, Spain; [Barbosa, Andres] CSIC, Museo Nacl Ciencias Nat, Dept Ecol Evolut, C Jose Gutierrez Abascal 2, E-28006 Madrid, Spain; [Garcia-Sancho, Leopoldo] Univ Complutense Madrid, Fac Farm, E-28040 Madrid, Spain; [Quesada, Antonio] Univ Autonoma Madrid, Dept Biol, E-28049 Madrid, Spain</t>
  </si>
  <si>
    <t>Consejo Superior de Investigaciones Cientificas (CSIC); CSIC - Centro Mediterraneo de Investigaciones Marinas y Ambientales (CMIMA); CSIC - Instituto de Ciencias del Mar (ICM); Consejo Superior de Investigaciones Cientificas (CSIC); CSIC - Museo Nacional de Ciencias Naturales (MNCN); Complutense University of Madrid; Autonomous University of Madrid</t>
  </si>
  <si>
    <t>Zapata-Guardiola, R (corresponding author), CSIC, Inst Ciencias Mar, Passeig Maritim Barceloneta 37-49, E-08003 Barcelona, Spain.</t>
  </si>
  <si>
    <t>zapata@icm.csic.es</t>
  </si>
  <si>
    <t>Barbosa, Andrés/C-3208-2008; Quesada, Antonio/L-2430-2013; SANCHO, LEOPOLDO/G-9120-2015; Vaque, Dolors/H-6973-2018</t>
  </si>
  <si>
    <t>Barbosa, Andrés/0000-0001-8434-3649; Quesada, Antonio/0000-0002-8913-5993; Isla, Enrique/0000-0003-4959-6936; SANCHO, LEOPOLDO/0000-0002-4751-7475; Vaque, Dolors/0000-0002-0420-5914</t>
  </si>
  <si>
    <t>10.1007/s00300-015-1852-3</t>
  </si>
  <si>
    <t>WOS:000369067100001</t>
  </si>
  <si>
    <t>Krishnan, A; Convey, P; Gonzalez-Rocha, G; Alias, SA</t>
  </si>
  <si>
    <t>Krishnan, Abiramy; Convey, Peter; Gonzalez-Rocha, Gerardo; Alias, Siti Aisyah</t>
  </si>
  <si>
    <t>Production of extracellular hydrolase enzymes by fungi from King George Island</t>
  </si>
  <si>
    <t>Extracellular enzymes; Secondary metabolites; Psychrophilic; Psychrotolerant; Mesophilic; Screening</t>
  </si>
  <si>
    <t>VICTORIA LAND; WINDMILL ISLANDS; BLACK FUNGI; ROSS ISLAND; DIVERSITY; MARITIME; MICROORGANISMS; ANTARCTICA; ECOSYSTEMS; MICROFUNGI</t>
  </si>
  <si>
    <t>Fungi are known to produce a range of extracellular enzymes and other secondary metabolites. Investment in extracellular enzyme production may be an important element of the survival strategy of these fungi in maritime Antarctic soils. This study focuses on fungi that were isolated from ornithogenic, undisturbed and human-impacted soils collected from the Fildes Peninsula, King George Island, Antarctica, during the austral summer in February 2007. We (1) describe fungal diversity based on molecular approaches, (2) describe the thermal characteristics of the fungal isolates, and (3) screen extracellular hydrolase enzyme production (amylase and cellulase) by the isolates. Soil samples were cultured using the Warcup soil plating technique and incubated at 4 and 25 degrees C to allow basic thermal classification. In total, 101 isolates were obtained. All the isolates were screened at culture temperatures of 4 and 25 degrees C in order to detect activity of extracellular hydrolase enzymes. At 25 degrees C, ornithogenic penguin rookery soils recorded the lowest diversity of fungi, with little difference in diversity apparent between the other soils examined. At 4 degrees C, an undisturbed site recorded the lowest and a human-impacted site the highest diversity of fungi. The majority of the fungi identified in this study were in the mesophilic thermal class. Six strains possessed significant activity for amylase and 13 for cellulase at 25 degrees C. At 4 degrees C, four strains showed significant amylase and 22 significant cellulase activity. The data presented increase our understanding of microbial responses to environmental temperature.</t>
  </si>
  <si>
    <t>[Krishnan, Abiramy; Convey, Peter; Alias, Siti Aisyah] Univ Malaya, Natl Antarctic Res Ctr, B303,Level 3,Block B, Kuala Lumpur 50603, Malaysia; [Convey, Peter] British Antarctic Survey, NERC, High Cross, Cambridge CB3 0ET, England; [Convey, Peter] Univ Canterbury, Gateway Antarctica, Private Bag 4800, Christchurch 8140, New Zealand; [Gonzalez-Rocha, Gerardo] Univ Concepcion, Fac Ciencias Biol, Concepcion, Chile</t>
  </si>
  <si>
    <t>Universiti Malaya; UK Research &amp; Innovation (UKRI); Natural Environment Research Council (NERC); NERC British Antarctic Survey; University of Canterbury; Universidad de Concepcion</t>
  </si>
  <si>
    <t>Alias, SA (corresponding author), Univ Malaya, Natl Antarctic Res Ctr, B303,Level 3,Block B, Kuala Lumpur 50603, Malaysia.</t>
  </si>
  <si>
    <t>siti.alias@gmail.com</t>
  </si>
  <si>
    <t>Gonzalez-Rocha, Gerardo/AAP-1793-2021; Convey, Peter/AAV-5728-2020; Krishnan, Abiramy/AAH-5411-2020; Gonzalez, Gerardo/KHE-5265-2024; FASc, SITI AISYAH A. HJ ALIAS/B-9785-2010</t>
  </si>
  <si>
    <t>Gonzalez-Rocha, Gerardo/0000-0003-2351-1236; Convey, Peter/0000-0001-8497-9903; FASc, SITI AISYAH A. HJ ALIAS/0000-0002-6759-5745</t>
  </si>
  <si>
    <t>Malaysian Antarctic Research Program; University of Malaya; Academy of Sciences Malaysia; Sultan Mizan Antarctica Research Award; Postgraduate Research Fund [PG041-2013A]; UMRG [RG007-2012C]; Instituto Antarctico Chileno; NERC; Natural Environment Research Council [bas0100025] Funding Source: researchfish; NERC [bas0100025] Funding Source: UKRI</t>
  </si>
  <si>
    <t>Malaysian Antarctic Research Program; University of Malaya(Universiti Malaya); Academy of Sciences Malaysia; Sultan Mizan Antarctica Research Award; Postgraduate Research Fund; UMRG; Instituto Antarctico Chileno; 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</si>
  <si>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Malaysian Antarctic Research Program and the University of Malaya for support and the provision of research facilities, and the Academy of Sciences Malaysia, Sultan Mizan Antarctica Research Award, Postgraduate Research Fund PG041-2013A, UMRG RG007-2012C and the Instituto Antarctico Chileno for logistics and support of the fieldwork. PC is supported by NERC core funding to the BAS core 'Ecosystems' programme and also by a Visiting Professorship to the University of Malaya. We thank anonymous reviewers for helpful comments and Peter Fretwell, British Antarctic Survey for providing South Shetland Islands map. This paper also contributes to the SCAR 'Antarctic Thresholds-Ecosystem Resilience and Adaptation' research programme.</t>
  </si>
  <si>
    <t>10.1007/s00300-014-1606-7</t>
  </si>
  <si>
    <t>WOS:000369067100007</t>
  </si>
  <si>
    <t>González-Wevar, CA; Chown, SL; Morley, S; Coria, N; Saucéde, T; Poulin, E</t>
  </si>
  <si>
    <t>Gonzalez-Wevar, Claudio A.; Chown, Steven L.; Morley, Simon; Coria, Nestor; Saucede, Thomas; Poulin, Elie</t>
  </si>
  <si>
    <t>Out of Antarctica: quaternary colonization of sub-Antarctic Marion Island by the limpet genus Nacella (Patellogastropoda: Nacellidae)</t>
  </si>
  <si>
    <t>Biogeography; Southern Ocean; Antarctic Polar Front; Long-distance dispersal; Marion Island; Bayesian skyline plot</t>
  </si>
  <si>
    <t>MIOCENE CLIMATIC TRANSITION; SOUTHERN-OCEAN ISLANDS; POLAR FRONT; MOLECULAR PHYLOGENY; GENETIC-STRUCTURE; TIME DEPENDENCY; DNA-SEQUENCES; SEA-ICE; BIOGEOGRAPHY; PHYLOGEOGRAPHY</t>
  </si>
  <si>
    <t>The distribution of the Southern Ocean near-shore marine benthic fauna is the consequence of major geologic, oceanographic, and climatic changes during the last 50 Ma. As a result, a main biogeographic principle in the Southern Ocean is the clear distinction of the Antarctic biota. The Antarctic Polar Front (APF) represents an important barrier between Antarctica and other sub-Antarctic provinces. However, the high degree of genetic affinity between populations of the Antarctic limpet Nacella concinna and its sub-Antarctic relative Nacella delesserti from Marion Island stands against this tenet. Here, we performed new phylogenetic reconstructions in Nacella with special emphasis on the relationship between N. concinna and N. delesserti. Similarly, we performed population-based analyses in N. concinna and N. delesserti to further understand the genetic legacy of the Quaternary glacial cycles. Phylogenetic reconstructions recognized N. concinna and N. delesserti as two closely but distinct monophyletic entities and therefore as valid evolutionary units. The cladogenetic process separating them occurred similar to 0.35 Ma and is consistent with the origin of Marion Island (similar to 0.45 Ma). Exceptional long-distance dispersal between provinces located inside and outside the APF, rather than revealing the permeability of the Antarctic Polar Front, seems to be related to latitudinal shift in the position of the APF during coldest periods of the Quaternary. Diversity indices, neutrality tests, haplotype networks, and demographic inference analysis showed that the demography of both species exhibits a clear signal of postglacial expansion.</t>
  </si>
  <si>
    <t>[Gonzalez-Wevar, Claudio A.] Univ Magallanes, GAIA Antartica, Ave Bulnes 01890, Punta Arenas 6210427, Chile; [Gonzalez-Wevar, Claudio A.; Poulin, Elie] Inst Ecol &amp; Biodiversidad, Lab Ecol Mol, Santiago 3425, Chile; [Chown, Steven L.] Monash Univ, Sch Biol Sci, Melbourne, Vic 3800, Australia; [Morley, Simon] British Antarctic Survey, Cambridge CB3 0ET, England; [Coria, Nestor] Inst Antartico Argentino, Dept Aves Marinas, Buenos Aires, DF, Argentina; [Saucede, Thomas] Univ Bourgogne, UMR CNRS 6282, Biogeosci, F-21000 Dijon, France</t>
  </si>
  <si>
    <t>Universidad de Magallanes; Monash University; UK Research &amp; Innovation (UKRI); Natural Environment Research Council (NERC); NERC British Antarctic Survey; Instituto Antartico Argentino; Universite de Bourgogne; Centre National de la Recherche Scientifique (CNRS); CNRS - Institute of Ecology &amp; Environment (INEE)</t>
  </si>
  <si>
    <t>González-Wevar, CA (corresponding author), Inst Ecol &amp; Biodiversidad, Lab Ecol Mol, Santiago 3425, Chile.</t>
  </si>
  <si>
    <t>omeuno01@hotmail.com</t>
  </si>
  <si>
    <t>González-Wevar, Claudio Alejandro/AAD-6513-2021; Poulin, Elie/C-2654-2012; Chown, Steven/ABD-7646-2021; Chown, Steven/H-3347-2011</t>
  </si>
  <si>
    <t>Poulin, Elie/0000-0001-7736-0969; Chown, Steven/0000-0001-6069-5105</t>
  </si>
  <si>
    <t>INACH Office [G_04_11]; project INACH [B_01-07, 02-02, 13-05]; project Conicyt [24090009]; project Ecos [C06B02]; British Antarctic Survey (BAS); British Antarctic Survey [JR230]; South African National Research Foundation [SNA2011110700005]; Census of Antarctic Marine Life (CAML); EBA-SCAR; PROSUL-Brazil; [3120075]; Natural Environment Research Council [bas0100025, dml011000] Funding Source: researchfish; NERC [dml011000, bas0100025] Funding Source: UKRI</t>
  </si>
  <si>
    <t>INACH Office; project INACH; project Conicyt; project Ecos; British Antarctic Survey (BAS); British Antarctic Survey; South African National Research Foundation(National Research Foundation - South Africa); Census of Antarctic Marine Life (CAML); EBA-SCAR; PROSUL-Brazil; ; Natural Environment Research Council(UK Research &amp; Innovation (UKRI)Natural Environment Research Council (NERC)); NERC(UK Research &amp; Innovation (UKRI)Natural Environment Research Council (NERC))</t>
  </si>
  <si>
    <t>INACH Office project G_04_11, PhD thesis projects INACH B_01-07, Conicyt 24090009 and postdoctorate fellowship 3120075 (C.G-W), projects INACH 02-02 &amp; 13-05 and Ecos C06B02 (E.P). Institute of Ecology and Biodiversity (IEB, Universidad de Chile) ICM-P05-002 &amp; PFB-023- CONICYT. Census of Antarctic Marine Life (CAML), EBA-SCAR and PROSUL-Brazil for encouraging and supporting Antarctic research in Evolution. Simon Morley was funded by the British Antarctic Survey (BAS). Program JR230 of the British Antarctic Survey (T.S). This work was supported by South African National Research Foundation Grant SNA2011110700005. Collections on Marion Island were made with the assistance of Aleks Terauds, Jennifer Lee, and Susana Clusella-Trullas.</t>
  </si>
  <si>
    <t>10.1007/s00300-014-1620-9</t>
  </si>
  <si>
    <t>WOS:000369067100008</t>
  </si>
  <si>
    <t>Zucconi, L; Onofri, S; Cecchini, C; Isola, D; Ripa, C; Fenice, M; Madonna, S; Reboleiro-Rivas, P; Selbmann, L</t>
  </si>
  <si>
    <t>Zucconi, Laura; Onofri, Silvano; Cecchini, Clarissa; Isola, Daniela; Ripa, Caterina; Fenice, Massimiliano; Madonna, Sergio; Reboleiro-Rivas, Patricia; Selbmann, Laura</t>
  </si>
  <si>
    <t>Mapping the lithic colonization at the boundaries of life in Northern Victoria Land, Antarctica</t>
  </si>
  <si>
    <t>Climate change; Extreme conditions; Endolithic communities; Lithobionths; Microbial colonization</t>
  </si>
  <si>
    <t>CRYPTOENDOLITHIC MICROBIAL ENVIRONMENT; ROSS DESERT; MICROORGANISMS; GRANITE; ECOLOGY</t>
  </si>
  <si>
    <t>The endolithic microbial communities of the Antarctic represent a borderline lifestyle in the most hostile ice-free areas of the continent. The extreme adaptation of microbes in these communities renders them very sensitive to environmental changes. To date, the actual distribution of these communities has never been investigated; yet, this information would define the geographic limits for life at present and supply a useful tool for monitoring any possible future variation related to climate change. In this study, most of the outcrops of Northern and of one site in Southern Victoria Land were recorded by altitudinal and sea distance gradients. The presence of endolithic life was determined by in situ observation, by microscopic observation of rock fragments in the laboratory, and, for doubtful samples, by culture experiment. Colonizers were present in more than 87 % of the visited sites. The presence of lithic life in Victoria Land appears to be wider than that reported 14 years earlier. The colonization trend follows climatic variation, with epiliths prevailing in coastal sites and decreasing towards the interior, while chasmoendoliths and cryptoendoliths increase and become predominant from the coast towards the inland sites. Typical cryptoendolithic colonization was exclusive on porous rocks as sandstone, chasmoendolithic colonization occurred even in less porous but translucent rocks as granite and quartz. Multivariate analysis of the combined results clearly indicates the pivotal role of the rock type in the colonization of endolithic micro-organisms; sandstone allows lithobionts to push themselves towards areas characterized by harsher conditions.</t>
  </si>
  <si>
    <t>[Zucconi, Laura; Onofri, Silvano; Cecchini, Clarissa; Isola, Daniela; Ripa, Caterina; Fenice, Massimiliano; Selbmann, Laura] Univ Tuscia, Dept Ecol &amp; Biol Sci DEB, Viterbo, Italy; [Madonna, Sergio] Univ Tuscia, Dept Sci &amp; Technol Agr Forestry Nat &amp; Energy DAFN, Viterbo, Italy; [Reboleiro-Rivas, Patricia] Univ Granada, Fac Pharm, Dept Microbiol, E-18071 Granada, Spain</t>
  </si>
  <si>
    <t>Tuscia University; Tuscia University; University of Granada</t>
  </si>
  <si>
    <t>Selbmann, L (corresponding author), Univ Tuscia, Dept Ecol &amp; Biol Sci DEB, Viterbo, Italy.</t>
  </si>
  <si>
    <t>Fenice, Massimiliano/L-9195-2014; Zucconi, L./U-9781-2018; Isola, Daniela/AAX-5814-2020; Madonna, Sergio/AAC-8278-2020</t>
  </si>
  <si>
    <t>Zucconi, L./0000-0001-9793-2303; Isola, Daniela/0000-0002-5069-6056; ONOFRI, Silvano/0000-0001-8872-1440</t>
  </si>
  <si>
    <t>Italian National Program of Antarctic Researches (PNRA)</t>
  </si>
  <si>
    <t>The authors thank the Italian National Program of Antarctic Researches (PNRA) for the financial support to the project. Climatic data were obtained from the server http://www.climantartide.it of the Italian National Research Program in Antarctica (PNRA Copyright-Italian National Research Program in Antarctica-all rights reserved); a special thank to Drs. Paolo Grigioni, Andrea Pellegrini, and Claudio Scarchilli (ENEA) for their support in retrieving Antarctic climate data. The authors are grateful to Dr. Steven Emslie (University of North Carolina Wilmington) for accurate English revision of the text. The authors also thank all the Antarctic colleagues participating in the XXVI Italian Antarctic expedition for their invaluable help and support in the collection activity: Dr. Fabrizio Balsamo and Gianluca Vignaroli (Dept. of Geological Sciences, University of Roma Tre); Prof. Roberto Guidetti (University of Modena and Reggio Emilia); the Alpine guides Giovanni Amort, Giancarlo Graziosi and Roberto Guadagnin; the Head of expedition Alberto Della Rovere.</t>
  </si>
  <si>
    <t>10.1007/s00300-014-1624-5</t>
  </si>
  <si>
    <t>WOS:000369067100009</t>
  </si>
  <si>
    <t>Garcia, MD; Hoffmeyer, MS; Abbate, MCL; de Cao, MSB; Pettigrosso, RE; Almandoz, GO; Hernando, MP; Schloss, IR</t>
  </si>
  <si>
    <t>Garcia, Maximiliano D.; Hoffmeyer, Monica S.; Lopez Abbate, Maria Celeste; Barria de Cao, Maria Sonia; Pettigrosso, Rosa E.; Almandoz, Gaston O.; Hernando, Marcelo P.; Schloss, Irene R.</t>
  </si>
  <si>
    <t>Micro- and mesozooplankton responses during two contrasting summers in a coastal Antarctic environment</t>
  </si>
  <si>
    <t>Western Antarctic Peninsula; Microzooplankton; Mesozooplankton; Biomass; Top-down/bottom-up</t>
  </si>
  <si>
    <t>EUPHAUSIA-SUPERBA DANA; CLIMATE-CHANGE; FEEDING RATES; POTTER COVE; ICE-ZONE; MICROZOOPLANKTON; CARBON; BIOMASS; GROWTH; COMMUNITIES</t>
  </si>
  <si>
    <t>Rapid climate-driven melting of coastal glaciers may control plankton dynamics in the Western Antarctic Peninsula. It is known that in Potter Cove, 25 de Mayo/King George Island, phytoplankton is tightly coupled to meltwater input. However, no information on zooplankton is available in this regard. The aim of this study was therefore to examine the structure and dynamics of microzooplankton and mesozooplankton in two zones (the inner and outer Potter Cove) differently impacted by glacier melting during two contrasting austral summers (2010 and 2011). Microzooplankton composition differed between the two zones and years analyzed, and its total biomass was observed to be highest far from the glacier influence and during 2010. Mesozooplankton composition and biomass were similar in the two zones and years analyzed. Colder than usual conditions in the summer of 2010 prevented glacier melting, thus favoring the development of an exceptional micro-sized diatom bloom (similar to 190 mu g C l(-1) and &gt;15 mu g l(-1) chlorophyll a), which was tightly followed by a maximum in large copepod abundance. After the bloom and in coincidence with intense glacier melting, large diatoms and large copepods were observed to be replaced by nanophytoplankton and microzooplankton (aloricate ciliates and dinoflagellates), respectively. In 2011, low phytoplankton abundance, probably controlled by high tintinnid biomass, was observed as a result of warmer temperatures than 2010 and low-salinity waters. Large copepods appeared to have exerted a high grazing pressure on aloricate ciliates and heterotrophic dinoflagellates in 2011. Our results suggest that whereas the joint effect of water temperature, salinity and phytoplankton availability as well as composition could be of primary relevance in structuring micro- and mesozooplankton community, zooplankton could be of secondary relevance in controlling phytoplankton biomass in Potter Cove during the two summers analyzed.</t>
  </si>
  <si>
    <t>[Garcia, Maximiliano D.; Hoffmeyer, Monica S.; Lopez Abbate, Maria Celeste; Barria de Cao, Maria Sonia] Consejo Nacl Invest Cient &amp; Tecn, Inst Argentino Oceanog IADO, Lab Ecol &amp; Taxon Zooplancton, CC 804,Camino Carrindanga Km 7,5,B8000FWB, Bahia Blanca, Buenos Aires, Argentina; [Garcia, Maximiliano D.; Hoffmeyer, Monica S.; Lopez Abbate, Maria Celeste; Barria de Cao, Maria Sonia; Almandoz, Gaston O.; Schloss, Irene R.] Consejo Nacl Invest Cient &amp; Tecn, Buenos Aires, DF, Argentina; [Hoffmeyer, Monica S.] Univ Tecnol Nacl, Fac Reg Bahia Blanca, Bahia Blanca, Buenos Aires, Argentina; [Pettigrosso, Rosa E.] Univ Tecnol Nacl, Dept Biol Bioquim &amp; Farm, Bahia Blanca, Buenos Aires, Argentina; [Almandoz, Gaston O.] Univ Nacl La Plata, Fac Ciencias Nat &amp; Museo, Div Ficol, La Plata, Argentina; [Hernando, Marcelo P.] Comis Nacl Energia Atom, Buenos Aires, DF, Argentina; [Schloss, Irene R.] Inst Antartico Argentino, Buenos Aires, DF, Argentina; [Schloss, Irene R.] Univ Quebec, Inst Sci Mer Rimouski, Rimouski, PQ G5L 3A1, Canada</t>
  </si>
  <si>
    <t>Consejo Nacional de Investigaciones Cientificas y Tecnicas (CONICET); Consejo Nacional de Investigaciones Cientificas y Tecnicas (CONICET); National University of La Plata; Museo La Plata; Comision Nacional de Energia Atomica (CNEA); Instituto Antartico Argentino; University of Quebec</t>
  </si>
  <si>
    <t>Garcia, MD (corresponding author), Consejo Nacl Invest Cient &amp; Tecn, Inst Argentino Oceanog IADO, Lab Ecol &amp; Taxon Zooplancton, CC 804,Camino Carrindanga Km 7,5,B8000FWB, Bahia Blanca, Buenos Aires, Argentina.;Garcia, MD (corresponding author), Consejo Nacl Invest Cient &amp; Tecn, Buenos Aires, DF, Argentina.</t>
  </si>
  <si>
    <t>maxidg6@yahoo.com.ar</t>
  </si>
  <si>
    <t>Schloss, Irene R./U-5411-2018; Garcia, Maximiliano D./AAB-2490-2022</t>
  </si>
  <si>
    <t>Schloss, Irene R./0000-0002-5917-8925; Garcia, Maximiliano D./0000-0001-6089-7612; Almandoz, Gaston O./0000-0001-7931-582X; Lopez-Abbate, Maria Celeste/0000-0003-0264-5833</t>
  </si>
  <si>
    <t>PICTO (Proyecto de Investigacion Cientifica y Tecnologica Orientados) [35562]; PICT (Proyecto de Investigacion Cientifica y Tecnologica) [2011 1320]; European Polar Consortium-European Research Area-Net of Jubany</t>
  </si>
  <si>
    <t>PICTO (Proyecto de Investigacion Cientifica y Tecnologica Orientados); PICT (Proyecto de Investigacion Cientifica y Tecnologica)(ANPCyT); European Polar Consortium-European Research Area-Net of Jubany</t>
  </si>
  <si>
    <t>This study was supported by PICTO (Proyecto de Investigacion Cientifica y Tecnologica Orientados) 35562 and PICT (Proyecto de Investigacion Cientifica y Tecnologica) 2011 1320 to I.R.S. It is also part of the Interdisciplinary Modelling of Climate Change in Coastal Western Antarctica-Network for Staff Exchange and Training (IMCONET; FP7-PEOPLE-2012-IRSES) supported by the European Polar Consortium-European Research Area-Net of Jubany. Authors want to particularly thank the personal members of Jubany (Carlini) Base and Dallmann Laboratory during 2010 and 2011 periods. Authors are also grateful to two anonymous reviewers of this manuscript for their valuable suggestions and to translator Viviana Soler who kindly improved the English style of the last version of this manuscript.</t>
  </si>
  <si>
    <t>10.1007/s00300-015-1678-z</t>
  </si>
  <si>
    <t>WOS:000369067100012</t>
  </si>
  <si>
    <t>Deregibus, D; Quartino, ML; Campana, GL; Momo, FR; Wiencke, C; Zacher, K</t>
  </si>
  <si>
    <t>Deregibus, D.; Quartino, M. L.; Campana, G. L.; Momo, F. R.; Wiencke, C.; Zacher, K.</t>
  </si>
  <si>
    <t>Photosynthetic light requirements and vertical distribution of macroalgae in newly ice-free areas in Potter Cove, South Shetland Islands, Antarctica</t>
  </si>
  <si>
    <t>Depth zonation; Glacial retreat; Global warming; Seaweeds; Sediment inflow</t>
  </si>
  <si>
    <t>KING-GEORGE ISLAND; EULITTORAL GREEN MACROALGAE; LONG-TERM CULTURE; MARINE MACROALGAE; DEPTH DISTRIBUTION; TEMPORAL VARIATION; SALINITY CHANGES; CARBON-DIOXIDE; CLIMATE-CHANGE; SEA-ICE</t>
  </si>
  <si>
    <t>In Potter Cove, Antarctica, newly ice-free areas appeared due to glacial retreat. Simultaneously, the inflow of sediment increased, reducing underwater photosynthetically active radiation (PAR, 400-700 nm). The aim of this study was to determine the photosynthetic characteristics of two macroalgal species colonizing three newly ice-free areas, A1, A2 and A3, with increasing degree of glacial influence from A1 to A3. Turbidity, salinity and temperature were measured, and light attenuation coefficients (K-d) calculated and considered as a proxy for glacial sediment input. The lower depth distribution of the red alga Palmaria decipiens and the brown alga Himantothallus grandifolius was 10 m in A3, 20 m in A2 and 30 m in A1. Both species were then collected, at 5 and 10 m at all areas. Photosynthetic parameters and the daily metabolic carbon balance (CB) were determined. K-d was significantly higher in A3 compared with A1 and A2. The CB of P. decipiens was significantly higher in A1 followed by A2 and A3, and significantly higher at shallower than at greater depth. For H. grandifolius CB was significantly lower in A3 and in A2 at deeper depths compared with the rest of areas and depths. The lower distribution limit of the algae was positively correlated to the light penetration. An increase in the sediment run-off due to global warming might lead to an elevation of the lower depth distribution limit but retreating glaciers can open new space for macroalgal colonization. These changes will probably affect macroalgal primary productivity in Potter Cove with consequences for the coastal ecosystem.</t>
  </si>
  <si>
    <t>[Deregibus, D.; Quartino, M. L.; Campana, G. L.] Inst Antartico Argentino, Dept Biol Costera, Cerrito 1248,1010AAZ Buenos Aires, Mar Del Plata, Buenos Aires, Argentina; [Quartino, M. L.] Museo Argentino Ciencias Nat Bernardino Rivadavia, Av A Gallardo 470,C1405DJR Buenos Aires, Mar Del Plata, Buenos Aires, Argentina; [Campana, G. L.; Momo, F. R.] Univ Nacl Lujan, Dept Ciencias Basicas, Ruta 5 &amp; Ave Constituc, RA-6700 Buenos Aires, DF, Argentina; [Momo, F. R.] Univ Nacl Gen Sarmiento, Inst Ciencias, JM Gutierrez 1150,B1613GSX Los Polvorines, Mar Del Plata, Buenos Aires, Argentina; [Wiencke, C.; Zacher, K.] Helmholtz Ctr Polar &amp; Marine Res, Alfred Wegener Inst, D-27570 Bremerhaven, Germany</t>
  </si>
  <si>
    <t>Instituto Antartico Argentino; Museo Argentino de Ciencias Naturales Bernardino Rivadavia (MACN); Universidad Nacional de Lujan; Helmholtz Association; Alfred Wegener Institute, Helmholtz Centre for Polar &amp; Marine Research</t>
  </si>
  <si>
    <t>Deregibus, D (corresponding author), Inst Antartico Argentino, Dept Biol Costera, Cerrito 1248,1010AAZ Buenos Aires, Mar Del Plata, Buenos Aires, Argentina.</t>
  </si>
  <si>
    <t>dderegibus@dna.gov.ar</t>
  </si>
  <si>
    <t>Momo, Fernando R/E-3426-2012</t>
  </si>
  <si>
    <t>Momo, Fernando R/0000-0003-0710-1149</t>
  </si>
  <si>
    <t>Alfred Wegener Institute for Polar and Marine Research, Germany, DAAD, MINCYT-BMBF; DNA-IAA [PICTA 7/2008-2011]; ANPCyT-DNA [PICTO 0116/2012-2015]; EU project IMCONet (FP7 IRSES) [319718]</t>
  </si>
  <si>
    <t>Alfred Wegener Institute for Polar and Marine Research, Germany, DAAD, MINCYT-BMBF; DNA-IAA; ANPCyT-DNA; EU project IMCONet (FP7 IRSES)</t>
  </si>
  <si>
    <t>The work has been performed at Dallmann Laboratory, annex to Carlini (formerly Jubany) Station, within the framework of the scientific collaboration existing between Instituto Antartico Argentino/Direccion Nacional del Antartico and Alfred Wegener Institute, Helmholtz Centre for Polar and Marine Research. We thank the Instituto Antartico Argentino-Direccion Nacional del Antartico. We are especially grateful to the scientific, logistic and diving groups of Carlini Station-Dallmann Laboratory for their technical assistance during the Antarctic expeditions. In addition, we thank J. Robert Waaland and Thomas Mumford for their comments which helped to improve the manuscript. We gratefully acknowledge financial support by the Alfred Wegener Institute for Polar and Marine Research, Germany, DAAD, MINCYT-BMBF. The research was also supported by Grants from DNA-IAA (PICTA 7/2008-2011) and ANPCyT-DNA (PICTO 0116/2012-2015). The present manuscript also presents an outcome of the EU project IMCONet (FP7 IRSES, Action No. 319718).</t>
  </si>
  <si>
    <t>10.1007/s00300-015-1679-y</t>
  </si>
  <si>
    <t>WOS:000369067100014</t>
  </si>
  <si>
    <t>Seco, J; Roberts, J; Ceia, FR; Baeta, A; Ramos, JA; Paiva, VH; Xavier, JC</t>
  </si>
  <si>
    <t>Seco, J.; Roberts, J.; Ceia, F. R.; Baeta, A.; Ramos, J. A.; Paiva, V. H.; Xavier, J. C.</t>
  </si>
  <si>
    <t>Distribution, habitat and trophic ecology of Antarctic squid Kondakovia longimana and Moroteuthis knipovitchi: inferences from predators and stable isotopes</t>
  </si>
  <si>
    <t>Dissostichus eleginoides; Dissostichus mawsoni; Cephalopod; South Sandwich Islands; Southern Ocean; delta C-13 and delta N-15</t>
  </si>
  <si>
    <t>SCOTIA SEA; DISSOSTICHUS-ELEGINOIDES; SOUTH GEORGIA; PATAGONIAN TOOTHFISH; STOMACH-CONTENTS; FORAGING AREAS; CEPHALOPODS; DIET; ONYCHOTEUTHIDAE; INFORMATION</t>
  </si>
  <si>
    <t>Cephalopods have a key role in the marine environment though knowledge of their distribution and trophic ecology is limited by a lack of observations. This is particularly true for Antarctic species. Toothfish species are key predators of cephalopods and may be viewed as ideal biological samplers of these species. A total of 256 cephalopod lower beaks were identified from the stomachs of Patagonian toothfish (Dissostichus eleginoides) and Antarctic toothfish (Dissostichus mawsoni), captured in fisheries of South Georgia and the South Sandwich Islands in the South Atlantic between March and April 2009. Long-armed octopus squid (Kondakovia longimana) and smooth-hooked squid (Moroteuthis knipovitchi) were the main cephalopod prey and both were predated upon wherever toothfish were captured, though this cephalopod species appear to inhabit deeper waters at the South Sandwich Islands than at South Georgia. Measurements of delta C-13 from beak material indicated a clear segregation of habitat use comparing adult and sub-adult sized K. longimana. Variation in delta N-15 with size indicated an ontogenetic shift in the diet of cephalopods and also suggested some trophic plasticity among years. This study provides new insights into the private life of some elusive Antarctic cephalopods in an underexplored region of the South Atlantic.</t>
  </si>
  <si>
    <t>[Seco, J.; Ceia, F. R.; Baeta, A.; Ramos, J. A.; Paiva, V. H.; Xavier, J. C.] Univ Coimbra, MARE Marine &amp; Environm Sci Ctr, P-3004517 Coimbra, Portugal; [Roberts, J.] Nat Inst Water &amp; Atmospher Res, 301 Evans Bay Parade,POB 14-901, Wellington, New Zealand; [Xavier, J. C.] British Antarctic Survey, NERC, High Cross, Cambridge CB3 0ET, England</t>
  </si>
  <si>
    <t>Universidade de Coimbra; UK Research &amp; Innovation (UKRI); Natural Environment Research Council (NERC); NERC British Antarctic Survey</t>
  </si>
  <si>
    <t>Seco, J (corresponding author), Univ Coimbra, MARE Marine &amp; Environm Sci Ctr, P-3004517 Coimbra, Portugal.</t>
  </si>
  <si>
    <t>joses.seco@gmail.com</t>
  </si>
  <si>
    <t>Ramos, Jaime A./B-6616-2018; Xavier, José/KFB-6739-2024; Paiva, Vitor Hugo/GRX-9179-2022; Seco, José/AAS-4612-2020; Paiva, Vitor H./J-1092-2019; Ceia, Filipe R./A-2196-2012; Baeta, Alexandra/Q-6704-2018</t>
  </si>
  <si>
    <t>Ramos, Jaime A./0000-0002-9533-987X; Seco, José/0000-0002-7957-6488; Paiva, Vitor H./0000-0001-6368-9579; Ceia, Filipe R./0000-0002-5470-5183; Baeta, Alexandra/0000-0001-9898-9096; /0000-0002-9621-6660</t>
  </si>
  <si>
    <t>Government of South Georgia and the South Sandwich Islands; Ministry of Science and Higher Education in Portugal (Fundacao para a Ciencia e a Tecnologia); British Antarctic Survey; Tinker Foundation, under the research program CEPH; Tinker Foundation, under the research program SCAR AnT-ERA; Tinker Foundation, under the research program PROPOLAR; Tinker Foundation, under the research program ICED; NERC [bas0100025] Funding Source: UKRI; Natural Environment Research Council [bas0100025] Funding Source: researchfish</t>
  </si>
  <si>
    <t>Government of South Georgia and the South Sandwich Islands; Ministry of Science and Higher Education in Portugal (Fundacao para a Ciencia e a Tecnologia); British Antarctic Survey; Tinker Foundation, under the research program CEPH; Tinker Foundation, under the research program SCAR AnT-ERA; Tinker Foundation, under the research program PROPOLAR; Tinker Foundation, under the research program ICED; NERC(UK Research &amp; Innovation (UKRI)Natural Environment Research Council (NERC)); Natural Environment Research Council(UK Research &amp; Innovation (UKRI)Natural Environment Research Council (NERC))</t>
  </si>
  <si>
    <t>The authors would like to thank the crew of the San Aspiring, particularly Jack Fenaughty, for assistance with the at-sea collection of samples. We also acknowledge the help of Cristina Docal, Miguel Guerreiro, Pedro Alvito for their help in the stable isotopic analyses as well as two anonymous referees and Yves Cherel for their useful comments on earlier versions of this manuscript and British Antarctic Survey for providing laboratory space and equipment for shore-based sample processing at South Georgia. This work has the support of the Government of South Georgia and the South Sandwich Islands and the Ministry of Science and Higher Education in Portugal (Fundacao para a Ciencia e a Tecnologia), the British Antarctic Survey and Tinker Foundation, under the research programs CEPH, SCAR AnT-ERA, PROPOLAR and ICED.</t>
  </si>
  <si>
    <t>10.1007/s00300-015-1675-2</t>
  </si>
  <si>
    <t>WOS:000369067100015</t>
  </si>
  <si>
    <t>Burton, R; King, JC</t>
  </si>
  <si>
    <t>Burton, Robert; King, John C.</t>
  </si>
  <si>
    <t>Robert Mossman, Endurance and the Weddell Sea ice</t>
  </si>
  <si>
    <t>Before Shackleton arrived at South Georgia aboard Endurance on 5 November 1914 he was aware that the vessel might meet bad pack-ice in the Weddell Sea. This had been forecast on the basis of climate analysis by Robert Mossman, the meteorologist on the Scottish National Antarctic Expedition (1902-1904), who was currently working at the Argentine Meteorological Office. Mossman was interested in teleconnections linking meteorological and oceanic conditions in widely separated places and had studied the links between the Weddell Sea and South America. Mossman's Antarctic data were mainly records from the Orcadas station in the South Orkneys which had operated continuously from 1903. He found a correlation between extensive pack-ice in the Weddell Sea and plentiful rain in a belt across South America that included Buenos Aires. The experiences of Endurance supported this. Modern studies of the El Nino-Southern Oscillation (ENSO) broadly confirm Mossman's conclusions.</t>
  </si>
  <si>
    <t>[King, John C.] British Antarctic Survey, Cambridge CB3 0ET, England</t>
  </si>
  <si>
    <t>Burton, R (corresponding author), 63 Common Lane, Huntingdon PE28 9AW, England.</t>
  </si>
  <si>
    <t>NERC [bas0100032] Funding Source: UKRI; Natural Environment Research Council [bas0100032] Funding Source: researchfish</t>
  </si>
  <si>
    <t>10.1017/S0032247415000285</t>
  </si>
  <si>
    <t>WOS:000367197200007</t>
  </si>
  <si>
    <t>Gray, AD; Hughes, KA</t>
  </si>
  <si>
    <t>Gray, Andrew D.; Hughes, Kevin A.</t>
  </si>
  <si>
    <t>Demonstration of substantial research activity to acquire consultative status under the Antarctic Treaty</t>
  </si>
  <si>
    <t>Environmental Protocol; scientific output; geopolitics; human impact; Antarctic infrastructure; bibliometric search</t>
  </si>
  <si>
    <t>CHALLENGES</t>
  </si>
  <si>
    <t>Antarctic Treaty Consultative Parties are entitled to participate in consensus-based governance of the continent through the annual Antarctic Treaty Consultative Meetings. To acquire consultative status, an interested Party must demonstrate substantial research activity, but no agreed mechanism exists to determine whether a Party has fulfilled this criterion. Parties have generally demonstrated substantial research activity with the construction of a research station, as suggested within the Treaty itself. However, this largely demonstrates logistical capacity, rather than research activity, and often results in major and persistent impacts on Antarctic terrestrial environments. Our study found that national investment in Antarctic infrastructure, estimated by the number of bed spaces at stations, was not a reliable indicator of scientific output. Therefore, we investigated metrics to evaluate research activity directly, and identified both the overall number of Antarctic papers and the proportion of national scientific output these represented as meaningful metrics. Such metrics could (1) demonstrate a nation's level of research activity in Antarctica or (2) help Consultative Parties assess the level of research activity undertaken by a Party seeking to acquire consultative status. Our data showed that, even without land-based Antarctic infrastructure, Canada, Denmark and Switzerland may have reasonable grounds to demonstrate substantial research activity on a level comparable with existing Consultative Parties. The use of these metrics may help dispel any perceived requirement for the establishment of a research station to reach consultative status, by putting a greater emphasis on generation of scientific research outputs rather than construction of Antarctic infrastructure.</t>
  </si>
  <si>
    <t>[Gray, Andrew D.; Hughes, Kevin A.] British Antarctic Survey, Nat Environm Res Council, High Cross,Madingley Rd, Cambridge CB3 0ET, England</t>
  </si>
  <si>
    <t>Hughes, KA (corresponding author), British Antarctic Survey, Nat Environm Res Council, High Cross,Madingley Rd, Cambridge CB3 0ET, England.</t>
  </si>
  <si>
    <t>kehu@bas.ac.uk</t>
  </si>
  <si>
    <t>Hughes, Kevin/JVZ-0793-2024; Gray, Andrew/N-8860-2019</t>
  </si>
  <si>
    <t>Gray, Andrew/0000-0002-2910-3033</t>
  </si>
  <si>
    <t>Natural Environment Research Council; NERC [bas010011] Funding Source: UKRI; Natural Environment Research Council [bas010011]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</si>
  <si>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</si>
  <si>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paper contributes to the BAS Polar Science for Planet Earth programme, the BAS Environment Office Long Term Monitoring and Survey project and SCAR's State of the Antarctic Ecosystem research programme. The authors are supported by Natural Environment Research Council core funding to BAS. The authors gratefully acknowledge the extremely helpful comments of John Dudeney and Yves Frenot during the review process.</t>
  </si>
  <si>
    <t>10.3402/polar.v35.34061</t>
  </si>
  <si>
    <t>EF5PW</t>
  </si>
  <si>
    <t>WOS:000390383100001</t>
  </si>
  <si>
    <t>Kim, HK; Choi, CY; Jeong, MS; Kang, HY; Lee, WS</t>
  </si>
  <si>
    <t>Kim, Han-Kyu; Choi, Chang-Yong; Jeong, Min-Su; Kang, Hwa-Yeon; Lee, Woo-Shin</t>
  </si>
  <si>
    <t>Regurgitation of the koilin layer in chinstrap penguins (Pygoscelis antarcticus) and its association with gastric parasites</t>
  </si>
  <si>
    <t>Cuticula gastris; host-parasite interaction; nematodes; parasitic load; regurgitation; Stegophorus macronectes</t>
  </si>
  <si>
    <t>GIZZARD EROSION; CHICKENS; DIET</t>
  </si>
  <si>
    <t>The koilin membrane, formed by the secretions of the ventricular and pyloric glands, functions as a protective layer in the gizzards of most bird species. However, the ecological functions of koilin have never been studied in free-ranging penguins. During the two austral summers from 2012 to 2014, we observed the regurgitated koilins of chinstrap penguins (Pygoscelis antarcticus) at Nare. bski Point on King George Island, South Shetland Islands, and we detected a significant difference in the daily accumulation of regurgitated koilins between the pre-hatching and post-hatching periods in the rookery. We also found 233 gastrointestinal parasites, all Stegophorus macronectes (Nematoda, Acuariidae), from 26 out of 45 koilins freshly regurgitated by chinstrap penguins. We suggest that the regurgitation of koilins may benefit adult chinstrap penguins in the wild by reducing parasitic loads when they fast during incubation; it may also help decrease the risk of parasite transmission to chicks. Our results present the first observations of regurgitated koilins among breeding chinstrap penguins. How koilin regurgitation functions in penguins requires further study. Among the gentoo penguins (P. papua) co-occurring at the study site, we observed no regurgitated koilin layers.</t>
  </si>
  <si>
    <t>[Kim, Han-Kyu; Choi, Chang-Yong; Jeong, Min-Su; Kang, Hwa-Yeon; Lee, Woo-Shin] Seoul Natl Univ, Dept Forest Sci, 1 Gwanak Ro, Seoul 151921, South Korea</t>
  </si>
  <si>
    <t>Choi, CY (corresponding author), Seoul Natl Univ, Dept Forest Sci, 1 Gwanak Ro, Seoul 151921, South Korea.</t>
  </si>
  <si>
    <t>subbuteo@hanmail.net</t>
  </si>
  <si>
    <t>Choi, Chang-Yong/Q-9577-2019; Kim, Hankyu/ABF-9703-2022</t>
  </si>
  <si>
    <t>Choi, Chang-Yong/0000-0002-4519-7957; Kim, Hankyu/0000-0001-8682-8535</t>
  </si>
  <si>
    <t>Korea Polar Research Institute; King Sejong Station; Ministry of Environment, Republic of Korea, as part of Antarctic Specially Protected Areas (ASPA) [171, PN13130]</t>
  </si>
  <si>
    <t>Korea Polar Research Institute(Korea Polar Research Institute of Marine Research Placement (KOPRI)); King Sejong Station; Ministry of Environment, Republic of Korea, as part of Antarctic Specially Protected Areas (ASPA)</t>
  </si>
  <si>
    <t>We thank the Korea Polar Research Institute and King Sejong Station for their support on our field studies in Antarctica. We thank especially to Mr. Jin-Woo Jeong for suggesting initial steps of this study. This study was funded by the Ministry of Environment, Republic of Korea, as part of a long-term ecosystem monitoring on the Antarctic Specially Protected Areas (ASPA) No. 171 on King George Island (PN13130). This study was performed with permissions (ILAD-2692 [2013.10.18]) from the Korean Ministry of Foreign Affairs and Trade, according to the Act on Antarctic Activities and Protection of Antarctic Environment.</t>
  </si>
  <si>
    <t>10.3402/polar.v35.25966</t>
  </si>
  <si>
    <t>DS8NU</t>
  </si>
  <si>
    <t>WOS:000381040900001</t>
  </si>
  <si>
    <t>Lei, RB; Heil, P; Wang, J; Zhang, ZH; Li, Q; Li, N</t>
  </si>
  <si>
    <t>Lei, Ruibo; Heil, Petra; Wang, Jia; Zhang, Zhanhai; Li, Qun; Li, Na</t>
  </si>
  <si>
    <t>Characterization of sea-ice kinematic in the Arctic outflow region using buoy data</t>
  </si>
  <si>
    <t>Sea ice; kinematics; dipole anomaly; transpolar drift stream; Arctic Ocean; Fram Strait</t>
  </si>
  <si>
    <t>WEDDELL SEA; DRIFT; CIRCULATION; OCEAN; DEFORMATION; OSCILLATION; ATMOSPHERE; SUMMER</t>
  </si>
  <si>
    <t>Data from four ice-tethered buoys deployed in 2010 were used to investigate sea-ice motion and deformation from the Central Arctic to Fram Strait. Seasonal and long-term changes in ice kinematics of the Arctic outflow region were further quantified using 42 ice-tethered buoys deployed between 1979 and 2011. Our results confirmed that the dynamic setting of the transpolar drift stream (TDS) and Fram Strait shaped the motion of the sea ice. Ice drift was closely aligned with surface winds, except during quiescent conditions, or during short-term reversal of the wind direction opposing the TDS. Meridional ice velocity south of 85 degrees N showed a distinct seasonal cycle, peaking between late autumn and early spring in agreement with the seasonality of surface winds. Inertia-induced ice motion was strengthened as ice concentration decreased in summer. As ice drifted southward into the Fram Strait, the meridional ice speed increased dramatically, while associated zonal ice convergence dominated the ice-field deformation. The Arctic atmospheric Dipole Anomaly (DA) influenced ice drift by accelerating the meridional ice velocity. Ice trajectories exhibited less meandering during the positive phase of DA and vice versa. From 2005 onwards, the buoy data exhibit high Arctic sea-ice outflow rates, closely related to persistent positive DA anomaly. However, the long-term data from 1979 to 2011 do not show any statistically significant trend for sea-ice outflow, but exhibit high year-to-year variability, associated with the change in the polarity of DA.</t>
  </si>
  <si>
    <t>[Lei, Ruibo; Zhang, Zhanhai; Li, Qun; Li, Na] Polar Res Inst China, State Ocean Adm Key Lab Polar Sci, 451 Jinqiao Rd, Shanghai 200136, Peoples R China; [Heil, Petra] Australian Antarctic Div, 203 Channel Highway, Kingston, Tas 7050, Australia; [Heil, Petra] Univ Tasmania, Antarctic Climate &amp; Ecosyst Cooperat Res Ctr, Private Bag 80, Hobart, Tas 7001, Australia; [Wang, Jia] NOAA, Great Lakes Environm Res Lab, 4840 S State Rd, Ann Arbor, MI 48108 USA</t>
  </si>
  <si>
    <t>Polar Research Institute of China; Australian Antarctic Division; Antarctic Climate &amp; Ecosystems Cooperative Research Centre (ACE CRC); University of Tasmania; National Oceanic Atmospheric Admin (NOAA) - USA</t>
  </si>
  <si>
    <t>Lei, RB (corresponding author), Polar Res Inst China, State Ocean Adm Key Lab Polar Sci, 451 Jinqiao Rd, Shanghai 200136, Peoples R China.</t>
  </si>
  <si>
    <t>leiruibo@pric.org.cn</t>
  </si>
  <si>
    <t>Heil, Petra/0000-0003-2078-0342</t>
  </si>
  <si>
    <t>National Natural Science Foundation of China [41476170]; Chinese Polar Environment Comprehensive Investigation and Assessment Programs [CHINARE 2015-04-03/04-04/03-01]; Marine Public Industry Research of China [201205007]; Australian Antarctic Science grant [4472]; Australian Government's Cooperative Research Centres Programme through the Antarctic Climate and Ecosystems Cooperative Research Centre; National Oceanic and Atmospheric Administration Office of Arctic Research [1755]</t>
  </si>
  <si>
    <t>National Natural Science Foundation of China(National Natural Science Foundation of China (NSFC)); Chinese Polar Environment Comprehensive Investigation and Assessment Programs; Marine Public Industry Research of China; Australian Antarctic Science grant; Australian Government's Cooperative Research Centres Programme through the Antarctic Climate and Ecosystems Cooperative Research Centre(Australian GovernmentDepartment of Industry, Innovation and ScienceCooperative Research Centres (CRC) Programme); National Oceanic and Atmospheric Administration Office of Arctic Research(National Oceanic Atmospheric Admin (NOAA) - USA)</t>
  </si>
  <si>
    <t>This work was financially supported by grants from the National Natural Science Foundation of China (no. 41476170), the Chinese Polar Environment Comprehensive Investigation and Assessment Programs (no. CHINARE 2015-04-03/04-04/03-01) and Marine Public Industry Research of China (no. 201205007). Sea-ice concentration was provided by the University of Bremen (www.iup.uni-bremen.de:8084/amsr/amsre.html). IABP and their contributors are thanked for sharing buoy data (www.iabp.apl.washington.edu/). PH was supported under an Australian Antarctic Science grant (no. 4472) and by the Australian Government's Cooperative Research Centres Programme through the Antarctic Climate and Ecosystems Cooperative Research Centre. JW was supported by the National Oceanic and Atmospheric Administration Office of Arctic Research (grant no. 1755). We also thank the anonymous reviewers for their comments, and S. Lake and C. Darnell for editing the manuscript.</t>
  </si>
  <si>
    <t>10.3402/polar.v35.22658</t>
  </si>
  <si>
    <t>DC3VL</t>
  </si>
  <si>
    <t>WOS:000369146900001</t>
  </si>
  <si>
    <t>Little, L; Eidesen, PB; Müller, E; Dickinson, KJM; Lord, JM</t>
  </si>
  <si>
    <t>Little, Lorna; Eidesen, Pernille Bronken; Mueller, Eike; Dickinson, Katharine J. M.; Lord, Janice M.</t>
  </si>
  <si>
    <t>Leaf and floral heating in cold climates: do sub-Antarctic megaherbs resemble tropical alpine giants?</t>
  </si>
  <si>
    <t>Campbell Island; flower colour; thermal imaging; Pleurophyllum speciosum</t>
  </si>
  <si>
    <t>HIGH ARCTIC FLOWERS; CAMPBELL ISLAND; NEW-ZEALAND; LIFE-FORMS; PLANT; ECOLOGY; POLLINATION; PUBESCENCE; VEGETATION; EVOLUTION</t>
  </si>
  <si>
    <t>High latitude and altitude floras are characterized by low-statured, small, wind-pollinated plants, which mainly reproduce by self-pollination or asexual reproduction. However, at odds with this are some sub-Antarctic islands that have plant species with giant growth forms and large, brightly coloured flowers which require insect visitation for pollination. The size, colour and shape of the inflorescences and leaves of these megaherbs suggest thermal benefits similar to giant tropical alpine plants of equatorial Africa, South America and Hawaii. We evaluated whether heating occurs in sub-Antarctic megaherbs, and to what extent it is related to environmental variables. We measured leaf and inflorescence temperature in six sub-Antarctic megaherb species on Campbell Island, latitude 52.3 degrees S, New Zealand Biological Region. Using thermal imaging techniques, in combination with measurement of solar radiation, ambient air temperature, wind speed, wind chill and humidity, we assessed environmental influences on leaf and floral heating. We found that leaf and inflorescence temperatures of all megaherbs were higher than simultaneously measured ambient temperatures. Greatest heating was seen in Pleurophyllum speciosum, with observed leaves 9 degrees C higher, and inflorescences nearly 11 degrees C higher, than ambient temperature. Heating was highly correlated with brief, unpredictable periods of solar radiation, and occurred most rapidly in species with hairy, corrugated leaves and darkly pigmented, densely packed inflorescences. This is the first evidence that floral and leaf heating occurs in sub-Antarctic megaherbs, and suggests that leaf hairiness, flower colour and shape could provide thermal benefits like those seen in tropical alpine megaherbs.</t>
  </si>
  <si>
    <t>[Little, Lorna; Dickinson, Katharine J. M.; Lord, Janice M.] Univ Otago, Dept Bot, POB 56, Dunedin 9054, New Zealand; [Little, Lorna; Eidesen, Pernille Bronken; Mueller, Eike] Univ Ctr Svalbard, Arctic Biol Dept, POB 156, NO-9171 Longyearbyen, Norway</t>
  </si>
  <si>
    <t>University of Otago; University Centre Svalbard (UNIS)</t>
  </si>
  <si>
    <t>Little, L (corresponding author), Univ Otago, Dept Bot, POB 56, Dunedin 9054, New Zealand.</t>
  </si>
  <si>
    <t>little.lorna5@gmail.com</t>
  </si>
  <si>
    <t>Lord, Janice Marjorie/A-8869-2012; Dickinson, Katharine/M-1728-2017</t>
  </si>
  <si>
    <t>Lord, Janice Marjorie/0000-0001-8314-0428; Dickinson, Katharine/0000-0001-6769-552X</t>
  </si>
  <si>
    <t>University of Otago Maori Doctoral Scholarship</t>
  </si>
  <si>
    <t>We thank the New Zealand Department of Conservation, South and Eastern South Island Region, for permits and logistic support on Campbell Island; Henk Haazen, Captain of Tiama and Captain and crew of HMNZS Otago for transport; Vickey Tomlinson and Lynne Huggins for help in the field; Chris Cornwall for commenting on the manuscript. We acknowledge the University of Otago Maori Doctoral Scholarship for financial support. All thermal image and probe data, environmental measurements and thermal information are archived in the PANGAEA information system, an Open Access library aimed at archiving, publishing and distributing georeferenced data from earth system research (https://doi.pangaea.de/10.1594/PANGAEA.862013).</t>
  </si>
  <si>
    <t>10.3402/polar.v35.26030</t>
  </si>
  <si>
    <t>DW4BJ</t>
  </si>
  <si>
    <t>WOS:000383586700001</t>
  </si>
  <si>
    <t>Lowther, AD; Lydersen, C; Kovacs, KM</t>
  </si>
  <si>
    <t>Lowther, Andrew D.; Lydersen, Christian; Kovacs, Kit M.</t>
  </si>
  <si>
    <t>The seasonal evolution of shelf water masses around Bouvetoya, a sub-Antarctic island in the mid-Atlantic sector of the Southern Ocean, determined from an instrumented southern elephant seal</t>
  </si>
  <si>
    <t>Biotelemetry; diving; elephant seal; oceanography; marine predators; CTD-SRDL</t>
  </si>
  <si>
    <t>NATURAL IRON FERTILIZATION; CIRCUMPOLAR CURRENT; MIXED-LAYER; FUR SEALS; BEHAVIOR; KRILL; VARIABILITY; PREDATORS; SYSTEM; BLOOM</t>
  </si>
  <si>
    <t>Our study makes use of a fortuitous oceanographic data set collected around the remote sub-Antarctic island of Bouvetoya by a conductivity - temperature - depth recorder (CTD) integrated with a satellite-relayed data logger deployed on an adult female southern elephant seal (Mirounga leonina) to describe the seasonal evolution of the western shelf waters. The instrumented seal remained in waters over the shelf for 259 days, collecting an average of 2.6 (+/-0.06) CTD profiles per day, providing hydrographic data encompassing the late austral summer and the entire winter. These data document the thermal stratification of the upper water layer due to summer surface heating of the previous year's Antarctic Surface Water, giving way to a cold subsurface layer at about 100 m as the austral winter progressed, with a concomitant increase in salinity of the upper layer. Upper Circumpolar Deep Water was detected at a depth of approximately 200 m along the western shelf of Bouvetoya throughout the year. These oceanographic data represent the only seasonal time series for this region and the second such animal - instrument oceanographic time series in the sub-Antarctic domain of the Southern Ocean.</t>
  </si>
  <si>
    <t>[Lowther, Andrew D.; Lydersen, Christian; Kovacs, Kit M.] Norwegian Polar Res Inst, Fram Ctr, POB 6606 Langnes, NO-9296 Tromso, Norway</t>
  </si>
  <si>
    <t>Lowther, AD (corresponding author), Norwegian Polar Res Inst, Fram Ctr, POB 6606 Langnes, NO-9296 Tromso, Norway.</t>
  </si>
  <si>
    <t>andrew.lowther@npolar.no</t>
  </si>
  <si>
    <t>Lowther, Andrew/T-2511-2019</t>
  </si>
  <si>
    <t>Lowther, Andrew/0000-0003-4294-3157</t>
  </si>
  <si>
    <t>Norwegian Antarctic Research Expedition</t>
  </si>
  <si>
    <t>This study is part of the International Polar Year MEOP (Norway) programme. Fieldwork was funded and carried out as part of the Norwegian Antarctic Research Expedition to Bouvetoya. The marine mammal data were collected and made freely available by the International MEOP Consortium and the national programmes that contribute to it (www.meop.net). We are greatly indebted to Martin Biuw who led the International Polar Year expedition and also to Greg Hofmeyr, Nico deBruyn, Petrus Kritzinger and Aline Arriola for their efforts during the 2007/08 fieldwork. We also acknowledge the comments from one anonymous reviewer and Fabien Roquet in refining this manuscript.</t>
  </si>
  <si>
    <t>10.3402/polar.v35.28278</t>
  </si>
  <si>
    <t>EB2IL</t>
  </si>
  <si>
    <t>WOS:000387182500001</t>
  </si>
  <si>
    <t>Watzl, R; Ayton, J</t>
  </si>
  <si>
    <t>Shephard, M</t>
  </si>
  <si>
    <t>Watzl, Roland; Ayton, Jeff</t>
  </si>
  <si>
    <t>Point-of-care testing and extreme environments - the Australian Antarctic Division</t>
  </si>
  <si>
    <t>PRACTICAL GUIDE TO GLOBAL POINT-OF-CARE TESTING</t>
  </si>
  <si>
    <t>APPENDICITIS; DIAGNOSIS</t>
  </si>
  <si>
    <t>Antarctica is one of the most remote places on Earth. Providing medical care, including point-of-care testing (POCT) services in such an extreme environment provides many unique challenges. The fact that each station in Antarctica has to be entirely self-sufficient for the 8 months of complete winter isolation dictates the complexity of the medical support model required. The Australian Antarctic Division (AAD) has nonetheless developed a robust and highly capable POCT diagnostic system to help with medical care in this extreme environment. Our system provides POCT capability on the ground at research stations, in the field, on ships and on aircraft. This POCT system has been field proven and consistently delivers high grade diagnostic information that will influence clinical decision making and decrease diagnostic uncertainty.</t>
  </si>
  <si>
    <t>[Watzl, Roland; Ayton, Jeff] Australian Antarctic Div, Kingston, Tas, Australia</t>
  </si>
  <si>
    <t>Australian Antarctic Division</t>
  </si>
  <si>
    <t>Watzl, R (corresponding author), Australian Antarctic Div, Kingston, Tas, Australia.</t>
  </si>
  <si>
    <t>978-1-4863-0518-6; 978-1-4863-0519-3</t>
  </si>
  <si>
    <t>Health Care Sciences &amp; Services; Medical Laboratory Technology</t>
  </si>
  <si>
    <t>BJ8TG</t>
  </si>
  <si>
    <t>WOS:000428768200033</t>
  </si>
  <si>
    <t>Feige, J; Breitschwerdt, D; Wallner, A; Schulreich, MM; Kinoshita, N; Paul, M; Dettbarn, C; Fifield, LK; Golser, R; Honda, M; Linnemann, U; Matsuzaki, H; Merchel, S; Rugel, G; Steier, P; Tims, SG; Winkler, SR; Yamagata, T</t>
  </si>
  <si>
    <t>Kubono, S</t>
  </si>
  <si>
    <t>Feige, Jenny; Breitschwerdt, Dieter; Wallner, Anton; Schulreich, Michael M.; Kinoshita, Norikazu; Paul, Michael; Dettbarn, Christian; Fifield, L. Keith; Golser, Robin; Honda, Maki; Linnemann, Ulf; Matsuzaki, Hiroyuki; Merchel, Silke; Rugel, Georg; Steier, Peter; Tims, Stephen G.; Winkler, Stephan R.; Yamagata, Takeyasu</t>
  </si>
  <si>
    <t>The Link Between the Local Bubble and Radioisotopic Signatures on Earth</t>
  </si>
  <si>
    <t>PROCEEDINGS OF THE 14TH INTERNATIONAL SYMPOSIUM ON NUCLEI IN THE COSMOS (NIC2016)</t>
  </si>
  <si>
    <t>14th International Symposium on Nuclei in the Cosmos (NIC)</t>
  </si>
  <si>
    <t>JUN 19-24, 2016</t>
  </si>
  <si>
    <t>Niigata, JAPAN</t>
  </si>
  <si>
    <t>Al-26; Fe-60; accelerator mass spectrometry; deep-sea samples; interstellar medium; Local Bubble; supernova</t>
  </si>
  <si>
    <t>SUPERNOVAE</t>
  </si>
  <si>
    <t>Traces of 2-3 Myr old Fe-60 were recently discovered in a manganese crust and in lunar samples. We have found that this signal is extended in time and is present in globally distributed deep-sea archives. A second 6.5-8.7 Myr old signature was revealed in a manganese crust. The existence of the Local Bubble hints to a recent nearby supernova-activity starting 13 Myr ago. With analytical and numerical models generating the Local Bubble, we explain the younger Fe-60-signature and thus link the evolution of the solar neighborhood to terrestrial anomalies.</t>
  </si>
  <si>
    <t>[Feige, Jenny; Breitschwerdt, Dieter; Schulreich, Michael M.] Berlin Inst Technol, Dept Astron &amp; Astrophys, Hardenbergstr 36, D-10623 Berlin, Germany; [Feige, Jenny; Golser, Robin; Steier, Peter; Winkler, Stephan R.] Univ Vienna, Fac Phys Isotope Res &amp; Nucl Phys, VERA Lab, Wahringerstr 17, A-1090 Vienna, Austria; [Wallner, Anton; Fifield, L. Keith; Tims, Stephen G.] Australian Natl Univ, Dept Nucl Phys, Canberra, ACT 2601, Australia; [Kinoshita, Norikazu] Shimizu Corp, Inst Technol, Tokyo 1358530, Japan; [Paul, Michael] Hebrew Univ Jerusalem, Racah Inst Phys, IL-91904 Jerusalem, Israel; [Dettbarn, Christian] Heidelberg Univ, Zentrum Astron, Astron Rechen Inst, Monchhofstr 12-14, D-69120 Heidelberg, Germany; [Honda, Maki] Univ Tsukuba, Grad Sch Pure &amp; Appl Sci, Tsukuba, Ibaraki 3058577, Japan; [Linnemann, Ulf] GeoPlasmaLab, Senckenberg Collect Nat Hist Dresden, Konigsbrucker Landstr 159, D-01109 Dresden, Germany; [Matsuzaki, Hiroyuki] Univ Tokyo, Univ Museum, MALT Micro Anal Lab, Tandem Accelerator, Tokyo 1130032, Japan; [Merchel, Silke; Rugel, Georg] Helmholtz Zentrum Dresden Rossendorf, Bautzner Landstr 400, D-01328 Dresden, Germany; [Yamagata, Takeyasu] Nihon Univ, Grad Sch Integrated Basic Sci, Tokyo 1568550, Japan</t>
  </si>
  <si>
    <t>Technical University of Berlin; University of Vienna; Australian National University; Shimizu Corporation; Hebrew University of Jerusalem; Ruprecht Karls University Heidelberg; University of Tsukuba; Senckenberg Gesellschaft fur Naturforschung (SGN); University of Tokyo; Helmholtz Association; Helmholtz-Zentrum Dresden-Rossendorf (HZDR); Nihon University</t>
  </si>
  <si>
    <t>Feige, J (corresponding author), Berlin Inst Technol, Dept Astron &amp; Astrophys, Hardenbergstr 36, D-10623 Berlin, Germany.;Feige, J (corresponding author), Univ Vienna, Fac Phys Isotope Res &amp; Nucl Phys, VERA Lab, Wahringerstr 17, A-1090 Vienna, Austria.</t>
  </si>
  <si>
    <t>feige@astro.physik.tu-berlin.de</t>
  </si>
  <si>
    <t>Wallner, Anton/G-1480-2011; Golser, Robin/D-7908-2019; Tims, Stephen G/P-6505-2015; Steier, Peter/AAZ-6043-2020; Park, Michael/HNJ-2201-2023</t>
  </si>
  <si>
    <t>Wallner, Anton/0000-0003-2804-3670; Golser, Robin/0000-0002-4934-6278; Kinoshita, Norikazu/0000-0001-9135-483X; Feige, Jenny/0000-0002-3187-7898; Merchel, Silke/0000-0002-8755-3980; Schulreich, Michael/0000-0001-7761-9766</t>
  </si>
  <si>
    <t>Austrian Science Fund (FWF) (ESF) [P20434, I428]; Australian Research Council (ARC) [DP14100136]; Japan Society for the Promotion of Science (JSPS) KAKENHI [26800161]; DFG priority program 1573; Abschlussstipendium 2014 of the University of Vienna; DAAD (Deutscher Akademischer Austauschdienst); Grants-in-Aid for Scientific Research [26800161] Funding Source: KAKEN; Austrian Science Fund (FWF) [P20434] Funding Source: Austrian Science Fund (FWF)</t>
  </si>
  <si>
    <t>Austrian Science Fund (FWF) (ESF)(Austrian Science Fund (FWF)); Australian Research Council (ARC)(Australian Research Council); Japan Society for the Promotion of Science (JSPS) KAKENHI(Ministry of Education, Culture, Sports, Science and Technology, Japan (MEXT)Japan Society for the Promotion of ScienceGrants-in-Aid for Scientific Research (KAKENHI)); DFG priority program 1573(German Research Foundation (DFG)); Abschlussstipendium 2014 of the University of Vienna; DAAD (Deutscher Akademischer Austauschdienst)(Deutscher Akademischer Austausch Dienst (DAAD)); Grants-in-Aid for Scientific Research(Ministry of Education, Culture, Sports, Science and Technology, Japan (MEXT)Japan Society for the Promotion of ScienceGrants-in-Aid for Scientific Research (KAKENHI)); Austrian Science Fund (FWF)(Austrian Science Fund (FWF))</t>
  </si>
  <si>
    <t>This work was funded by the Austrian Science Fund (FWF), Project P20434 and I428 (funded via the ESF), the Australian Research Council (ARC), project no. DP14100136, the Japan Society for the Promotion of Science (JSPS) KAKENHI Grant Number 26800161, the DFG priority program 1573 and the Abschlussstipendium 2014 of the University of Vienna. We thank the Antarctic Marine Geology Research Facility, Florida State University, for providing samples. JF thanks the DAAD (Deutscher Akademischer Austauschdienst) for travel funding to the NIC XIV.</t>
  </si>
  <si>
    <t>PHYSICAL SOCIETY JAPAN</t>
  </si>
  <si>
    <t>RM 211 KIKAI-SHINKO BLDG 3-5-8 SHIBA KOEN MINATO-KU, TOKYO, 105, JAPAN</t>
  </si>
  <si>
    <t>978-4-89027-118-4</t>
  </si>
  <si>
    <t>10.7566/JPSCP.14.010304</t>
  </si>
  <si>
    <t>BP8OD</t>
  </si>
  <si>
    <t>WOS:000566261100013</t>
  </si>
  <si>
    <t>Codevilla, F; Cruz, J; Radicchi, GD; Zarankin, A</t>
  </si>
  <si>
    <t>Lerma, JL; Cabrelles, M</t>
  </si>
  <si>
    <t>Codevilla, Fernanda; Cruz, Jimena; de Alkmim Radicchi, Gerusa; Zarankin, Andres</t>
  </si>
  <si>
    <t>THE TIP OF THE ICEBERG: ARCHAEOLOGY ANTARCTIC IN THE DIGITAL AGE</t>
  </si>
  <si>
    <t>PROCEEDINGS OF THE 8TH INTERNATIONAL CONGRESS ON ARCHAEOLOGY, COMPUTER GRAPHICS, CULTURAL HERITAGE AND INNOVATION ( ARQUEOLOGICA 2.0): ADVANCED 3D DOCUMENTATION, MODELLING AND RECONSTRUCTION OF CULTURAL HERITAGE OBJECTS, MONUMENTS AND SITES</t>
  </si>
  <si>
    <t>8th International Congress on Archaeology, Computer Graphics, Cultural Heritage and Innovation (ARQUEOLOGICA)</t>
  </si>
  <si>
    <t>SEP 05-07, 2016</t>
  </si>
  <si>
    <t>Univ Politecnica Valencia, Valencia, SPAIN</t>
  </si>
  <si>
    <t>Univ Politecnica Valencia</t>
  </si>
  <si>
    <t>Antarctic Archaeology; digital archaeology; documentation; 3D reconstruction; public archaeology</t>
  </si>
  <si>
    <t>This presentation seeks to discuss the use of digital technologies in the research conducted in the fieldwork and in the laboratory of the Antarctic Archaeological Project. This effort that is being done by the members of the LEACH tries to contribute to a better record of the information produced through the work carried out and also to elaborate new research and divulgation tools.</t>
  </si>
  <si>
    <t>[Codevilla, Fernanda; Cruz, Jimena; Zarankin, Andres] Univ Fed Minas Gerais, Dept Antropol &amp; Arqueol, Ave Pres Antonio Carlos 6627, BR-31270901 Belo Horizonte, MG, Brazil; [de Alkmim Radicchi, Gerusa] Univ Politecn Valencia, Escuela Doctorado, Campus Vera,Camino Vera S-N, E-46022 Valencia, Spain</t>
  </si>
  <si>
    <t>Universidade Federal de Minas Gerais; Universitat Politecnica de Valencia</t>
  </si>
  <si>
    <t>Radicchi, GD (corresponding author), Univ Politecn Valencia, Escuela Doctorado, Campus Vera,Camino Vera S-N, E-46022 Valencia, Spain.</t>
  </si>
  <si>
    <t>fernandacodevillasoares@gmail.com; jimenacrz@gmail.com; gerusaradicchi@hotmail.com; zarankin@yahoo.com</t>
  </si>
  <si>
    <t>Zarankin, Andres/AAI-3419-2020; cruz, maria jimena/HGC-4542-2022; de Alkmim Radicchi, Gerusa/JCD-5221-2023</t>
  </si>
  <si>
    <t>Zarankin, Andres/0000-0002-0020-0606; cruz, maria jimena/0000-0001-7133-0873; de Alkmim Radicchi, Gerusa/0000-0003-0819-8552</t>
  </si>
  <si>
    <t>UNIV POLITECNICA VALENCIA</t>
  </si>
  <si>
    <t>CAMINO VERA S-N, VALENCIA, 46022, SPAIN</t>
  </si>
  <si>
    <t>978-84-9048-455-5</t>
  </si>
  <si>
    <t>BK4KP</t>
  </si>
  <si>
    <t>WOS:000436783800078</t>
  </si>
  <si>
    <t>Jung, T; Matsueda, M</t>
  </si>
  <si>
    <t>Jung, Thomas; Matsueda, Mio</t>
  </si>
  <si>
    <t>Verification of global numerical weather forecasting systems in polar regions using TIGGE data</t>
  </si>
  <si>
    <t>polar prediction; deterministic predictability; probabilistic predictability; flow dependence; analysis uncertainty</t>
  </si>
  <si>
    <t>PERFORMANCE; PREDICTION; ENSEMBLE; ERRORS; SKILL; AMPS</t>
  </si>
  <si>
    <t>High-latitude climate change is expected to increase the demand for reliable weather and environmental forecasts in polar regions. In this study, a quantitative assessment of the skill of state-of-the-art global weather prediction systems in polar regions is given using data from the THORPEX Interactive Grand Global Ensemble (TIGGE) for the period 2006/2007-2012/2013. Forecast skill in the Arctic is comparable to that found in the Northern Hemisphere midlatitudes. However, relative differences in the quality between different forecasting systems appear to be amplified in the Arctic. Furthermore, analysis uncertainty in the Arctic is more of an issue than it is in the midlatitudes, especially when it comes to near-surface parameters over snow- and ice-covered surfaces. Using NOAA's reforecast dataset, it is shown that the changes in forecast skill during the 7-year period considered here can largely be explained by flow-dependent error growth, especially for the more skilful forecasting systems. Finally, a direct comparison between the Arctic and Antarctic suggests that predictions of mid-topospheric flow in the former region are more skilful.</t>
  </si>
  <si>
    <t>[Jung, Thomas] Alfred Wegener Inst, Helmholtz Ctr Polar &amp; Marine Res, Bussestr 24, D-27570 Bremerhaven, Germany; [Matsueda, Mio] Univ Tsukuba, Ctr Computat Sci, Tsukuba, Ibaraki 305, Japan; [Matsueda, Mio] Univ Oxford, Dept Phys, Oxford OX1 2JD, England</t>
  </si>
  <si>
    <t>Helmholtz Association; Alfred Wegener Institute, Helmholtz Centre for Polar &amp; Marine Research; University of Tsukuba; University of Oxford</t>
  </si>
  <si>
    <t>Jung, T (corresponding author), Alfred Wegener Inst, Helmholtz Ctr Polar &amp; Marine Res, Bussestr 24, D-27570 Bremerhaven, Germany.</t>
  </si>
  <si>
    <t>Thomas.Jung@awi.de</t>
  </si>
  <si>
    <t>Jung, Thomas/J-5239-2012</t>
  </si>
  <si>
    <t>Jung, Thomas/0000-0002-2651-1293; Matsueda, Mio/0000-0001-8913-1303</t>
  </si>
  <si>
    <t>10.1002/qj.2437</t>
  </si>
  <si>
    <t>hybrid, Green Published</t>
  </si>
  <si>
    <t>WOS:000372951300005</t>
  </si>
  <si>
    <t>Elvidge, AD; Renfrew, IA; King, JC; Orr, A; Lachlan-Cope, TA</t>
  </si>
  <si>
    <t>Elvidge, Andrew D.; Renfrew, Ian A.; King, John C.; Orr, Andrew; Lachlan-Cope, Tom A.</t>
  </si>
  <si>
    <t>Foehn warming distributions in nonlinear and linear flow regimes: a focus on the Antarctic Peninsula</t>
  </si>
  <si>
    <t>foehn; Larsen Ice Shelf; gravity wave breaking; hydraulic jump; Met Office Unified Model; melt rates</t>
  </si>
  <si>
    <t>HEMISPHERE ANNULAR MODE; ICE SHELVES; AIR-FLOW; LARSEN; IMPACT; WINDSTORMS; MOUNTAINS; AIRBORNE</t>
  </si>
  <si>
    <t>The structure of lee-side warming during foehn events is investigated as a function of cross-barrier flow regime linearity. Two contrasting cases of westerly flow over the Antarctic Peninsula (AP) are considered - one highly nonlinear, the other relatively linear. Westerly flow impinging on the AP provides one of the best natural laboratories in the world for the study of foehn, owing to its maritime setting and the Larsen C Ice Shelf (LCIS) providing an expansive, homogeneous and smooth surface on its east side. Numerical simulations with the Met Office Unified Model (at 1.5 km grid size) and aircraft observations are utilized. In case A, relatively weak southwesterly cross-Peninsula flow and an elevated upwind inversion dictate a highly nonlinear foehn event, with mountain wave breaking observed. The consequent strongly accelerated downslope flow leads to high-amplitude warming and ice-shelf melt in the immediate lee of the AP. However this foehn warming diminishes rapidly downwind due to upward ascent of the foehn flow via a hydraulic jump. In case C, strong northwesterly winds dictate a relatively linear flow regime. There is no hydraulic jump and strong foehn winds are able to flow at low levels across the entire ice shelf, mechanically mixing the near-surface flow, preventing the development of a strong surface inversion and delivering large fluxes of sensible heat to the ice shelf. Consequently, in case C ice-melt rates are considerably greater over the LCIS as a whole than in case A. Our results imply that although nonlinear foehn events cause intense warming in the immediate lee of mountains, linear foehn events will commonly cause more extensive lee-side warming and, over an ice surface, higher melt rates. This has major implications for the AP, where recent east-coast warming has led to the collapse of two ice shelves immediately north of the LCIS.</t>
  </si>
  <si>
    <t>[Elvidge, Andrew D.; Renfrew, Ian A.] Univ E Anglia, Sch Environm Sci, Norwich NR4 7TJ, Norfolk, England; [King, John C.; Orr, Andrew; Lachlan-Cope, Tom A.] British Antarctic Survey, Cambridge CB3 0ET, England</t>
  </si>
  <si>
    <t>University of East Anglia; UK Research &amp; Innovation (UKRI); Natural Environment Research Council (NERC); NERC British Antarctic Survey</t>
  </si>
  <si>
    <t>Elvidge, AD (corresponding author), Univ E Anglia, Sch Environm Sci, Ctr Ocean &amp; Atmospher Sci, Norwich NR4 7TJ, Norfolk, England.</t>
  </si>
  <si>
    <t>a.elvidge@uea.ac.uk</t>
  </si>
  <si>
    <t>Renfrew, Ian A/E-4057-2010</t>
  </si>
  <si>
    <t>Elvidge, Andrew/0000-0002-7099-902X; Renfrew, Ian/0000-0001-9379-8215</t>
  </si>
  <si>
    <t>NERC under the OFCAP project [NE/G014124/1]; NERC [NE/G013578/1, NE/G014124/1] Funding Source: UKRI; Natural Environment Research Council [NE/G014124/1, NE/G013578/1] Funding Source: researchfish</t>
  </si>
  <si>
    <t>NERC under the OFCAP project(UK Research &amp; Innovation (UKRI)Natural Environment Research Council (NERC)); NERC(UK Research &amp; Innovation (UKRI)Natural Environment Research Council (NERC)); Natural Environment Research Council(UK Research &amp; Innovation (UKRI)Natural Environment Research Council (NERC))</t>
  </si>
  <si>
    <t>This article was made possible by funding provided by NERC under the OFCAP project grant NE/G014124/1. All members of the OFCAP project, the Field Operations team and others at Rothera Research Station are to be acknowledged for valuable contributions towards the planning, technical and practical aspects of the observational data capture during the field campaign, and subsequent quality control and processing of data. We thank the NCAS team at the University of Reading, M. Weeks, S. Webster and S. Vosper for advice and assistance with running the MetUM, and T. Phillips for providing the orography data. We acknowledge use of the MONSooN system, a collaborative facility supplied under the Joint Weather and Climate Research Programme, which is a strategic partnership between the Met Office and the Natural Environment Research Council. A. Ross and A. Matthews provided useful discussion and comments during the first author's PhD Viva. We thank three reviewers for useful comments that have improved this article - in particular their encouragement to include the SEB analysis.</t>
  </si>
  <si>
    <t>10.1002/qj.2489</t>
  </si>
  <si>
    <t>WOS:000372951300009</t>
  </si>
  <si>
    <t>Nygård, T; Vihma, T; Birnbaum, G; Hartmann, J; King, J; Lachlan-Cope, T; Ladkin, R; Lüpkes, C; Weiss, A</t>
  </si>
  <si>
    <t>Nygard, Tiina; Vihma, Timo; Birnbaum, Gerit; Hartmann, Joerg; King, John; Lachlan-Cope, Tom; Ladkin, Russell; Luepkes, Christof; Weiss, Alexandra</t>
  </si>
  <si>
    <t>Validation of eight atmospheric reanalyses in the Antarctic Peninsula region</t>
  </si>
  <si>
    <t>reanalysis; validation; Antarctic Peninsula; vertical profile; research aircraft; spatial resolution</t>
  </si>
  <si>
    <t>SURFACE TEMPERATURES; LARSEN; ERA-40; BUDGET; TRENDS</t>
  </si>
  <si>
    <t>Eight atmospheric reanalyses were compared against observed vertical profiles of temperature, specific humidity and wind speed collected by two research aircraft in February-March 2010 in the Antarctic Peninsula region. These data offered a rare possibility to validate reanalyses against independent in situ data which have not been assimilated into the reanalyses. The reanalyses had generally too moist profiles with too low wind speeds, but otherwise the errors in the reanalyses had large spatial differences. On the eastern side of the peninsula, the near-surface temperatures were largely overestimated. None of the reanalyses outperformed the others in all variables, at all altitudes and on both sides of the peninsula. Generally, NCEP-CFSR and MERRA had the smallest errors in temperature profiles, JRA-55 had marginally the most accurate specific humidity profiles and NCEP-CFSR had the best wind profiles. The reanalyses were coherent, although biased, on the western side of the Antarctic Peninsula, but on the eastern side the spread was large. All the reanalyses underestimated the variability between the individual profiles of temperature and wind speed. The modern reanalyses with a sufficient spatial resolution and an adequate data assimilation method outperformed the others, especially on the eastern side.</t>
  </si>
  <si>
    <t>[Nygard, Tiina; Vihma, Timo] Finnish Meteorol Inst, FI-00101 Helsinki, Finland; [Birnbaum, Gerit; Hartmann, Joerg; Luepkes, Christof] Helmholtz Ctr Polar &amp; Marine Res, Alfred Wegener Inst, Bremerhaven, Germany; [King, John; Lachlan-Cope, Tom; Ladkin, Russell; Weiss, Alexandra] British Antarctic Survey, Cambridge CB3 0ET, England</t>
  </si>
  <si>
    <t>Finnish Meteorological Institute; Helmholtz Association; Alfred Wegener Institute, Helmholtz Centre for Polar &amp; Marine Research; UK Research &amp; Innovation (UKRI); Natural Environment Research Council (NERC); NERC British Antarctic Survey</t>
  </si>
  <si>
    <t>Nygård, T (corresponding author), Finnish Meteorol Inst, Meteorol Res, Erik Palmenin Aukio 1, FI-00101 Helsinki, Finland.</t>
  </si>
  <si>
    <t>tiina.nygard@fmi.fi</t>
  </si>
  <si>
    <t>Vihma, Timo/ABC-9771-2020; Birnbaum, Gerit/D-4350-2014; Nygård, Tiina/O-3904-2019; Lupkes, Christof/B-4897-2014</t>
  </si>
  <si>
    <t>Birnbaum, Gerit/0000-0002-0252-6781; Lupkes, Christof/0000-0001-6518-0717</t>
  </si>
  <si>
    <t>Academy of Finland [263918]; European Facility for Airborne Research (EUFAR); Natural Environment Research Council, UK through the British Antarctic Survey's core programme 'Polar Science for Planet Earth'; NERC [bas0100032] Funding Source: UKRI; Natural Environment Research Council [bas0100032] Funding Source: researchfish; Academy of Finland (AKA) [263918] Funding Source: Academy of Finland (AKA)</t>
  </si>
  <si>
    <t>Academy of Finland(Research Council of Finland); European Facility for Airborne Research (EUFAR); Natural Environment Research Council, UK through the British Antarctic Survey's core programme 'Polar Science for Planet Earth'; NERC(UK Research &amp; Innovation (UKRI)Natural Environment Research Council (NERC)); Natural Environment Research Council(UK Research &amp; Innovation (UKRI)Natural Environment Research Council (NERC)); Academy of Finland (AKA)(Research Council of Finland)</t>
  </si>
  <si>
    <t>This work was supported by the Academy of Finland (grant 263918) and the European Facility for Airborne Research (EUFAR). The Twin Otter flights were funded by the Natural Environment Research Council, UK through the British Antarctic Survey's core programme 'Polar Science for Planet Earth'. We acknowledge ECMWF for providing the ERA-Interim data, NCAR for providing NCEP/NCAR, NCEP/DOE, NCEP/CFSR, JCDAS, JRA-55 and 20CR data (http://rda.ucar.edu/), and NASA Goddard Earth Sciences Data and Information Services Center for MERRA data (http://disc.sci.gsfc.nasa.gov/mdisc/data-holdings). We are grateful to the anonymous reviewers for valuable comments on the manuscript.</t>
  </si>
  <si>
    <t>10.1002/qj.2691</t>
  </si>
  <si>
    <t>WOS:000372951300014</t>
  </si>
  <si>
    <t>Clement, AJH; Whitehouse, PL; Sloss, CR</t>
  </si>
  <si>
    <t>Clement, Alastair J. H.; Whitehouse, Pippa L.; Sloss, Craig R.</t>
  </si>
  <si>
    <t>An examination of spatial variability in the timing and magnitude of Holocene relative sea-level changes in the New Zealand archipelago</t>
  </si>
  <si>
    <t>Relative sea-level change; New Zealand; Holocene; Coastal geomorphology; Continental levering; Hydro-isostatic loading; Glacial isostatic adjustment</t>
  </si>
  <si>
    <t>GREAT BARRIER-ISLAND; GLACIAL ISOSTATIC-ADJUSTMENT; FIXED BIOLOGICAL INDICATORS; NORTH-ISLAND; WANGANUI BASIN; JUVENILE BIVALVES; RIVER ESTUARY; MANTLE VISCOSITY; LATE PLEISTOCENE; SOUTHEAST COAST</t>
  </si>
  <si>
    <t>Holocene relative sea-level (RSL) changes have been reconstructed for four regions within the New Zealand archipelago: the northern North Island (including Northland, Auckland, and the Coromandel Peninsula); the southwest coast of the North Island; the Canterbury coast (South Island); and the Otago coast (South Island). In the North Island the RSL highstand commenced c. 8100-7240 cal yr BP when present mean sea-level (PMSL) was first attained. This is c. 600-1400 years earlier than has been previously indicated for the New Zealand region as a whole, and is consistent with recent Holocene RSL reconstructions from Australia. In North Island locations the early-Holocene sea-level highstand was quite pronounced, with RSL up to 2.75 m higher than present. In the South Island the onset of highstand conditions was later, with the first attainment of PMSL being between 7000-6400 cal yr BP. In the mid-Holocene the northern North Island experienced the largest sea-level highstand, with RSL up to 3.00 m higher than present. This is demonstrably higher than the highstand recorded for the southwest North Island and Otago regions. A number of different drivers operating at a range of scales may be responsible for the spatial and temporal variation in the timing and magnitude of RSL changes within the New Zealand archipelago. One possible mechanism is the north-south gradient in RSL that would arise in the intermediate field around Antarctica in response to the reduced gravitational attraction of the Antarctic Ice Sheet (AIS) as it lost mass during the Holocene. This gradient would be enhanced by the predicted deformation of the lithosphere in the intermediate field of the Southern Ocean around Antarctica due to hydro-isostatic loading and mass loss of the AIS. However, no such long-wavelength signals in sea-surface height or solid Earth deformation are evident in glacial isostatic adjustment (GIA) model predictions for the New Zealand region, while research from Australia has suggested that north-south variations in Holocene RSL changes due to hydro-isostatic influences are limited or non-existent. At the regional-to local-scale, post-glacial meltwater loading on the continental shelf around New Zealand is predicted by GIA modelling to have a significant effect on the timing and magnitude of RSL changes through the phenomenon of continental levering. The spatial variation in continental levering is controlled by the configuration of the coast and the width of the adjacent continental shelf, with continental levering providing a robust explanation for the observed spatial and temporal variations in RSL changes. Further research is required to characterise the regional and local effects of different tectonic regimes, wave climates, and sediment regimes. These are potentially very significant drivers of RSL variability at the regional-to local-scale. However, the magnitude of their potential effects remains equivocal. (C) 2015 Elsevier Ltd. All rights reserved.</t>
  </si>
  <si>
    <t>[Clement, Alastair J. H.] Massey Univ, Inst Agr &amp; Environm, Phys Geog Grp, Palmerston North 4442, New Zealand; [Whitehouse, Pippa L.] Univ Durham, Dept Geog, Durham DH1 3LE, England; [Sloss, Craig R.] Queensland Univ Technol, Sch Earth &amp; Environm Sci, Brisbane Q 4001, Australia</t>
  </si>
  <si>
    <t>Massey University; Durham University; Queensland University of Technology (QUT)</t>
  </si>
  <si>
    <t>Clement, AJH (corresponding author), Massey Univ, Inst Agr &amp; Environm, Phys Geog Grp, Private Bag 11-222, Palmerston North 4442, New Zealand.</t>
  </si>
  <si>
    <t>a.clement@massey.ac.nz</t>
  </si>
  <si>
    <t>Clement, Alastair/0000-0003-3317-9345; Sloss, Craig/0000-0001-8694-6822; Whitehouse, Pippa/0000-0002-9092-3444</t>
  </si>
  <si>
    <t>Top Achievers' Doctoral Scholarship; Massey University Research Fund; Geoscience Society of New Zealand Wellman Research Award; Institute of Agriculture and Environment, Massey University; NERC Independent Research Fellowship [NE/K009958/1]; NERC [NE/K009958/1] Funding Source: UKRI; Natural Environment Research Council [NE/K009958/1] Funding Source: researchfish</t>
  </si>
  <si>
    <t>Top Achievers' Doctoral Scholarship; Massey University Research Fund; Geoscience Society of New Zealand Wellman Research Award; Institute of Agriculture and Environment, Massey University; NERC Independent Research Fellowship(UK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</si>
  <si>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was undertaken as part of a PhD by AJHC, supported by a Top Achievers' Doctoral Scholarship, the Massey University Research Fund, the Geoscience Society of New Zealand Wellman Research Award, and funding from the Institute of Agriculture and Environment, Massey University. PLW is supported by a NERC Independent Research Fellowship (grant ref: NE/K009958/1). Many people freely provided data, both published and unpublished, and information borne of their own expertise, which is gratefully acknowledged: Scott Nichol (Geoscience Australia), unpublished measurements of cores from Great Barrier Island; Christine Prior (GNS Science), advice on radiocarbon age determinations; Louise Chick (formerly University of Waikato), unpublished data on tectonic movements of the Kerepehi Fault; John Ogden (University of Auckland), unpublished information of cores recovered from Whangapaoa Estuary; John Oldman (NIWA), advice and information on cores recovered from Mahurangi Estuary; Alan Hogg (Waikato Radiocarbon Laboratory), advice regarding conventional radiocarbon ages; Fiona Petchley (Waikato Radiocarbon Laboratory), advice on marine reservoir age corrections and identification of fossil mollusc species; Helen Bostock (NIWA), advice on complications of the marine reservoir effect; Roland Gehrels (University of York), details of GIA model predictions for Pounawea. This manuscript benefitted from valuable discussions with Louise Callard, Natasha Barlow, Ed Garrett, and Ian Fuller, and reviews by Colin Murray-Wallace, Aron Meltzner, and an anonymous reviewer. This research is a contribution to the INQUA Commission for Coastal and Marine Processes.</t>
  </si>
  <si>
    <t>10.1016/j.quascirev.2015.09.025</t>
  </si>
  <si>
    <t>WOS:000367490200005</t>
  </si>
  <si>
    <t>Holloway, MD; Sime, LC; Singarayer, JS; Tindall, JC; Valdes, PJ</t>
  </si>
  <si>
    <t>Holloway, Max D.; Sime, Louise C.; Singarayer, Joy S.; Tindall, Julia C.; Valdes, Paul J.</t>
  </si>
  <si>
    <t>Reconstructing paleosalinity from δ18O: Coupled model simulations of the Last Glacial Maximum, Last Interglacial and Late Holocene</t>
  </si>
  <si>
    <t>Paleosalinity; Isotopes; Oxygen-18; Last Glacial Maximum; Last Interglacial; Paleoceanography</t>
  </si>
  <si>
    <t>OXYGEN ISOTOPIC COMPOSITION; SEA-SURFACE SALINITY; NORTH-ATLANTIC; PROBABILISTIC ASSESSMENT; ATMOSPHERIC CIRCULATION; TEMPERATURE-CHANGES; STABLE-ISOTOPES; WATER MASSES; FRESH-WATER; GLAMAP 2000</t>
  </si>
  <si>
    <t>Reconstructions of salinity are used to diagnose changes in the hydrological cycle and ocean circulation. A widely used method of determining past salinity uses oxygen isotope (Sow) residuals after the extraction of the global ice volume and temperature components. This method relies on a constant relationship between bow and salinity throughout time. Here we use the isotope-enabled fully coupled General Circulation Model (GCM) HadCM3 to test the application of spatially and time-independent relationships in the reconstruction of past ocean salinity. Simulations of the Late Holocene (LH), Last Glacial Maximum (LGM), and Last Interglacial (LIG) climates are performed and benchmarked against existing compilations of stable oxygen isotopes in carbonates (delta(0c)), which primarily reflect delta(0w) and temperature. We find that HadCM3 produces an accurate representation of the surface ocean delta(0c) distribution for the LH and LGM. Our simulations show considerable variability in spatial and temporal delta(0w)-salinity relationships. Spatial gradients are generally shallower but within similar to 50% of the actual simulated LH to LGM and LH to LIG temporal gradients and temporal gradients calculated from multi-decadal variability are generally shallower than both spatial and actual simulated gradients. The largest sources of uncertainty in salinity reconstructions are found to be caused by changes in regional freshwater budgets, ocean circulation, and sea ice regimes. These can cause errors in salinity estimates exceeding 4 psu. Our results suggest that paleosalinity reconstructions in the South Atlantic, Indian and Tropical Pacific Oceans should be most robust, since these regions exhibit relatively constant delta(0w)-salinity relationships across spatial and temporal scales. Largest uncertainties will affect North Atlantic and high latitude paleosalinity reconstructions. Finally, the results show that it is difficult to generate reliable salinity estimates for regions of dynamic oceanography, such as the North Atlantic, without additional constraints. (C) 2015 Elsevier Ltd. All rights reserved.</t>
  </si>
  <si>
    <t>[Holloway, Max D.; Sime, Louise C.] British Antarctic Survey, Cambridge CB3 0ET, England; [Holloway, Max D.; Valdes, Paul J.] Univ Bristol, Sch Geog Sci, Bristol BS8 1TH, Avon, England; [Singarayer, Joy S.] Univ Reading, Dept Meteorol, Reading RG6 2AH, Berks, England; [Tindall, Julia C.] Univ Leeds, Sch Earth &amp; Environm, Leeds LS2 9JT, W Yorkshire, England</t>
  </si>
  <si>
    <t>UK Research &amp; Innovation (UKRI); Natural Environment Research Council (NERC); NERC British Antarctic Survey; University of Bristol; University of Reading; University of Leeds</t>
  </si>
  <si>
    <t>Holloway, MD (corresponding author), British Antarctic Survey, Cambridge CB3 0ET, England.</t>
  </si>
  <si>
    <t>mh12534@bristol.ac.uk</t>
  </si>
  <si>
    <t>Sime, Louise/AAX-7730-2021; Valdes, Paul J/C-4129-2013; Valdes, Paul/T-2004-2019</t>
  </si>
  <si>
    <t>Sime, Louise/0000-0002-9093-7926; Valdes, Paul/0000-0002-1902-3283; Holloway, Max/0000-0003-0709-3644</t>
  </si>
  <si>
    <t>NERC; British Antarctic Survey; University of Bristol; European Research Council under the European Union [278636]; NERC [NE/J004804/1, NE/J012726/1, NE/P009271/1, bas0100034] Funding Source: UKRI; Natural Environment Research Council [bas0100034, NE/J004804/1, NE/J012726/1, 1246172, NE/P009271/1] Funding Source: researchfish</t>
  </si>
  <si>
    <t>NERC(UK Research &amp; Innovation (UKRI)Natural Environment Research Council (NERC)); British Antarctic Survey; University of Bristol; European Research Council under the European Union(European Research Council (ERC)); NERC(UK Research &amp; Innovation (UKRI)Natural Environment Research Council (NERC)); Natural Environment Research Council(UK Research &amp; Innovation (UKRI)Natural Environment Research Council (NERC))</t>
  </si>
  <si>
    <t>This work was supported by NERC. MDH is supported on a NERC studentship tied between the British Antarctic Survey and the University of Bristol. JCT has received funding from the European Research Council under the European Union's Seventh Framework Programme (FP7/2007-2013)/ERC grant number 278636. Two anonymous reviewers are thanked for their constructive comments that helped improve the manuscript through the review process.</t>
  </si>
  <si>
    <t>1873-457X</t>
  </si>
  <si>
    <t>10.1016/j.quascirev.2015.07.007</t>
  </si>
  <si>
    <t>DA0MO</t>
  </si>
  <si>
    <t>Green Submitted, Green Accepted</t>
  </si>
  <si>
    <t>WOS:000367491400010</t>
  </si>
  <si>
    <t>Borisova, TD; Blagoveshchenskaya, NF; Kalishin, AS; Rietveld, MT; Yeoman, TK; Hägström, I</t>
  </si>
  <si>
    <t>Borisova, T. D.; Blagoveshchenskaya, N. F.; Kalishin, A. S.; Rietveld, M. T.; Yeoman, T. K.; Hagstrom, I.</t>
  </si>
  <si>
    <t>MODIFICATION OF THE HIGH-LATITUDE IONOSPHERIC F REGION BY HIGH-POWER HF RADIO WAVES AT FREQUENCIES NEAR THE FIFTH AND SIXTH ELECTRON GYROHARMONICS</t>
  </si>
  <si>
    <t>RADIOPHYSICS AND QUANTUM ELECTRONICS</t>
  </si>
  <si>
    <t>IRREGULARITIES; FEATURES; SCATTER; TROMSO; EMISSIONS; PLASMA</t>
  </si>
  <si>
    <t>We study the modification effects of the high-latitude ionospheric F region induced by a high-power O-mode HF radio wave injected towards the magnetic zenith, at frequencies near the fifth and sixth electron gyroharmonics using the EISCAT/Heating facility. Multi-instrument diagnostics with the EISCAT incoherent scatter radar (930 MHz) at Tromso, Norway, the CUTLASS coherent radar at Hankasalmi, Finland, and stimulated electromagnetic emission (SEE) receiver at Tromso, has been used for analysis of the observed phenomena. The behavior of the ionospheric plasma parameters (electron's density and temperature), small-scale artificial field-aligned irregularities, plasma and ion-line spectra, and ionospheric SEE are analyzed in detail. Modification effects near the fifth and sixth electron gyroharmonics have been compared. The coexistence of the thermal (resonance) parametric instability, parametric decay (striction) instability, and/or oscillating two-stream instability was found at these frequencies. The excitation of instabilities occurred at altitudes close to the reflection altitude of the HF pump wave and at the altitudes of the upper-hybrid resonance.</t>
  </si>
  <si>
    <t>[Borisova, T. D.; Blagoveshchenskaya, N. F.; Kalishin, A. S.] Arctic &amp; Antarctic Res Inst, St Petersburg 199226, Russia; [Rietveld, M. T.] EISCAT Sci Assoc, Tromso, Norway; [Yeoman, T. K.] Univ Leicester, Leicester, Leics, England; [Hagstrom, I.] EISCAT Sci Assoc, Kiruna, Sweden</t>
  </si>
  <si>
    <t>Arctic &amp; Antarctic Research Institute; University of Leicester</t>
  </si>
  <si>
    <t>Borisova, TD (corresponding author), Arctic &amp; Antarctic Res Inst, St Petersburg 199226, Russia.</t>
  </si>
  <si>
    <t>borisova@aari.ru</t>
  </si>
  <si>
    <t>Yeoman, Timothy k/L-9105-2014; Blagoveshchenskaya, Nataly F./S-4342-2017; Borisova, Tatiana/AAK-7698-2020; Blagoveshchenskaya, Nataly/AAE-4093-2022</t>
  </si>
  <si>
    <t>Yeoman, Timothy k/0000-0002-8434-4825; Blagoveshchenskaya, Nataly F./0000-0003-1752-3273; Blagoveshchenskaya, Nataly/0000-0003-1752-3273; Borisova, Tatiana/0000-0003-1727-5310; Kalishin, Alexey/0000-0001-7299-6546</t>
  </si>
  <si>
    <t>Council for Science and Technology [PP/E007929/1]; Finnish Meteorological Institute; Swedish Institute of Space Physics; Council for Science and Technology of Great Britain [ST/H0022480/1]; NERC [NE/K011766/1] Funding Source: UKRI; STFC [ST/K001000/1] Funding Source: UKRI; Natural Environment Research Council [NE/K011766/1] Funding Source: researchfish; Science and Technology Facilities Council [ST/K001000/1] Funding Source: researchfish</t>
  </si>
  <si>
    <t>Council for Science and Technology; Finnish Meteorological Institute; Swedish Institute of Space Physics; Council for Science and Technology of Great Britain;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</si>
  <si>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The authors are grateful to the collaborators of the EISCAT Scientific Association for help with the experiments in Tromso(Norway). The system of CUTLASS radars in Finland and Iceland was supported by the Council for Science and Technology (project No. PP/E007929/1), the Finnish Meteorological Institute, and the Swedish Institute of Space Physics. The work of T.K. Yeoman was supported by the Council for Science and Technology of Great Britain (project No. ST/H0022480/1).</t>
  </si>
  <si>
    <t>0033-8443</t>
  </si>
  <si>
    <t>1573-9120</t>
  </si>
  <si>
    <t>RADIOPHYS QUANT EL+</t>
  </si>
  <si>
    <t>Radiophys. Quantum Electron.</t>
  </si>
  <si>
    <t>10.1007/s11141-016-9629-2</t>
  </si>
  <si>
    <t>Engineering, Electrical &amp; Electronic; Physics, Applied; Physics, Fluids &amp; Plasmas</t>
  </si>
  <si>
    <t>DI6LQ</t>
  </si>
  <si>
    <t>WOS:000373610800002</t>
  </si>
  <si>
    <t>Zhao, LL; Xu, JJ; Powell, AM; Jiang, ZH; Wang, DH</t>
  </si>
  <si>
    <t>Zhao, Lilong; Xu, Jianjun; Powell, Alfred M.; Jiang, Zhihong; Wang, Donghai</t>
  </si>
  <si>
    <t>Use of SSU/MSU Satellite Observations to Validate Upper Atmospheric Temperature Trends in CMIP5 Simulations</t>
  </si>
  <si>
    <t>REMOTE SENSING</t>
  </si>
  <si>
    <t>climate change; SSU; MSU satellite observation; upper atmospheric temperature; CMIP5 simulation</t>
  </si>
  <si>
    <t>BREWER-DOBSON CIRCULATION; LOW-TOP VERSIONS; AIR-TEMPERATURE; DATA RECORDS; CLIMATE; VARIABILITY; OZONE; MSU; CONSTRUCTION; STRATOSPHERE</t>
  </si>
  <si>
    <t>The tropospheric and stratospheric temperature trends and uncertainties in the fifth Coupled Model Intercomparison Project (CMIP5) model simulations in the period of 1979-2005 have been compared with satellite observations. The satellite data include those from the Stratospheric Sounding Units (SSU), Microwave Sounding Units (MSU), and the Advanced Microwave Sounding Unit-A (AMSU). The results show that the CMIP5 model simulations reproduced the common stratospheric cooling (-0.46--0.95 K/decade) and tropospheric warming (0.05-0.19 K/decade) features although a significant discrepancy was found among the individual models being selected. The changes of global mean temperature in CMIP5 simulations are highly consistent with the SSU measurements in the stratosphere, and the temporal correlation coefficients between observation and model simulations vary from 0.6-0.99 at the 99% confidence level. At the same time, the spread of temperature mean in CMIP5 simulations increased from stratosphere to troposphere. Multiple linear regression analysis indicates that the temperature variability in the stratosphere is dominated by radioactive gases, volcanic events and solar forcing. Generally, the high-top models show better agreement with observations than the low-top model, especially in the lower stratosphere. The CMIP5 simulations underestimated the stratospheric cooling in the tropics and overestimated the cooling over the Antarctic compared to the satellite observations. The largest spread of temperature trends in CMIP5 simulations is seen in both the Arctic and Antarctic areas, especially in the stratospheric Antarctic.</t>
  </si>
  <si>
    <t>[Zhao, Lilong; Jiang, Zhihong] Nanjing Univ Informat Sci &amp; Technol, Collaborat Innovat Ctr Forecast &amp; Evaluat Meteoro, Minist Educ, Key Lab Meteorol Disaster, Nanjing 210044, Jiangsu, Peoples R China; [Zhao, Lilong; Xu, Jianjun] George Mason Univ, Coll Sci, Global Environm &amp; Nat Resources Inst, Fairfax, VA 22030 USA; [Powell, Alfred M.] NOAA, NESDIS, STAR, College Pk, MD 20740 USA; [Wang, Donghai] Chinese Acad Meteorol Sci, China State Key Lab Severe Weather, Beijing 100081, Peoples R China</t>
  </si>
  <si>
    <t>Nanjing University of Information Science &amp; Technology; George Mason University; National Oceanic Atmospheric Admin (NOAA) - USA; China Meteorological Administration; Chinese Academy of Meteorological Sciences (CAMS)</t>
  </si>
  <si>
    <t>Xu, JJ (corresponding author), George Mason Univ, Coll Sci, Global Environm &amp; Nat Resources Inst, Fairfax, VA 22030 USA.</t>
  </si>
  <si>
    <t>zhaoyinuo8@gmail.com; jxu14@gmu.edu; al.powell@noaa.gov; zhjiang@nuist.edu.cn; d.wang@hotmail.com</t>
  </si>
  <si>
    <t>Xu, Jianjun/E-7941-2011</t>
  </si>
  <si>
    <t>National Natural Science Foundation of China [41230528, 41305039, 91537213, 41375047]; Postdoctoral Science Foundation of Jiangsu province [1402166C]; National Oceanic and Atmospheric Administration (NOAA), Center for Satellite Applications and Research (STAR)</t>
  </si>
  <si>
    <t>National Natural Science Foundation of China(National Natural Science Foundation of China (NSFC)); Postdoctoral Science Foundation of Jiangsu province(China Postdoctoral Science Foundation); National Oceanic and Atmospheric Administration (NOAA), Center for Satellite Applications and Research (STAR)</t>
  </si>
  <si>
    <t>The SSU and MSU data sets were obtained from the Center for Satellite Applications and Research (STAR). The first author was partially supported by a key program of the National Natural Science Foundation of China (Grant 41230528, 41305039, 91537213, 41375047) and Postdoctoral Science Foundation of Jiangsu province (1402166C). The authors would like to thank these agencies for providing the data and funding support. Thanks to the four anonymous reviewers giving the good suggestions to improve the presentation of manuscripts. This work was supported by the National Oceanic and Atmospheric Administration (NOAA), Center for Satellite Applications and Research (STAR). The views, opinions, and findings contained in this publication are those of the authors and should not be considered an official NOAA or U.S. Government position, policy, or decision.</t>
  </si>
  <si>
    <t>2072-4292</t>
  </si>
  <si>
    <t>REMOTE SENS-BASEL</t>
  </si>
  <si>
    <t>Remote Sens.</t>
  </si>
  <si>
    <t>10.3390/rs8010013</t>
  </si>
  <si>
    <t>Environmental Sciences; Geosciences, Multidisciplinary; Remote Sensing; Imaging Science &amp; Photographic Technology</t>
  </si>
  <si>
    <t>Environmental Sciences &amp; Ecology; Geology; Remote Sensing; Imaging Science &amp; Photographic Technology</t>
  </si>
  <si>
    <t>DC8US</t>
  </si>
  <si>
    <t>WOS:000369495800010</t>
  </si>
  <si>
    <t>Bryan, S; Ade, P; Amiri, M; Benton, S; Bihary, R; Bock, J; Bond, JR; Chiang, HC; Contaldi, C; Crill, B; Dore, O; Elder, B; Filippini, J; Fraisse, A; Gambrel, A; Gandilo, N; Gudmundsson, J; Hasselfield, M; Halpern, M; Hilton, G; Holmes, W; Hristov, V; Irwin, K; Jones, W; Kermish, Z; Lawrie, C; MacTavish, C; Mason, P; Megerian, K; Moncelsi, L; Montroy, T; Morford, T; Nagy, J; Netterfield, CB; Padilla, I; Rahlin, AS; Reintsema, C; Riley, DC; Ruhl, J; Runyan, M; Saliwanchik, B; Shariff, J; Soler, J; Trangsrud, A; Tucker, C; Tucker, R; Turner, A; Wen, S; Wiebe, D; Young, E</t>
  </si>
  <si>
    <t>Bryan, Sean; Ade, Peter; Amiri, Mandana; Benton, Steven; Bihary, Richard; Bock, James; Bond, J. Richard; Chiang, H. Cynthia; Contaldi, Carlo; Crill, Brendan; Dore, Olivier; Elder, Benjamin; Filippini, Jeffrey; Fraisse, Aurelien; Gambrel, Anne; Gandilo, Natalie; Gudmundsson, Jon; Hasselfield, Matthew; Halpern, Mark; Hilton, Gene; Holmes, Warren; Hristov, Viktor; Irwin, Kent; Jones, William; Kermish, Zigmund; Lawrie, Craig; MacTavish, Carrie; Mason, Peter; Megerian, Krikor; Moncelsi, Lorenzo; Montroy, Thomas; Morford, Tracy; Nagy, Johanna; Netterfield, C. Barth; Padilla, Ivan; Rahlin, Alexandra S.; Reintsema, Carl; Riley, Daniel C.; Ruhl, John; Runyan, Marcus; Saliwanchik, Benjamin; Shariff, Jamil; Soler, Juan; Trangsrud, Amy; Tucker, Carole; Tucker, Rebecca; Turner, Anthony; Wen, Shyang; Wiebe, Donald; Young, Edward</t>
  </si>
  <si>
    <t>A cryogenic rotation stage with a large clear aperture for the half-wave plates in the Spider instrument</t>
  </si>
  <si>
    <t>REVIEW OF SCIENTIFIC INSTRUMENTS</t>
  </si>
  <si>
    <t>POLARIMETRY; POLARIZATION; SYSTEMATICS</t>
  </si>
  <si>
    <t>We describe the cryogenic half-wave plate rotation mechanisms built for and used in SPIDER., a polarization-sensitive balloon-borne telescope array that observed the cosmic microwave background at 95 GHz and 150 GHz during a stratospheric balloon flight from Antarctica in January 2015. The mechanisms operate at liquid helium temperature in flight. A three-point contact design keeps the mechanical bearings relatively small but allows for a large (305 mm) diameter clear aperture. A worm gear driven by a cryogenic stepper motor allows for precise positioning and prevents undesired rotation when the motors are depowered. A custom-built optical encoder system monitors the bearing angle to an absolute accuracy of +/-0.1 degrees. The system performed well in SPIDER. during its successful 16 day flight. (C) 2016 AIP Publishing LLC.</t>
  </si>
  <si>
    <t>[Bryan, Sean] Arizona State Univ, Sch Earth &amp; Space Explorat, Tempe, AZ 85287 USA; [Ade, Peter; Tucker, Carole] Cardiff Univ, Sch Phys &amp; Astron, Cardiff CF10 3AX, S Glam, Wales; [Amiri, Mandana; Halpern, Mark; Wiebe, Donald] Univ British Columbia, Dept Phys &amp; Astron, Vancouver, BC V6T 1Z1, Canada; [Benton, Steven; Fraisse, Aurelien; Gambrel, Anne; Gudmundsson, Jon; Jones, William; Kermish, Zigmund; Rahlin, Alexandra S.; Young, Edward] Princeton Univ, Dept Phys, Princeton, NJ 08544 USA; [Benton, Steven; Netterfield, C. Barth; Padilla, Ivan; Shariff, Jamil] Univ Toronto, Dept Astron &amp; Astrophys, Toronto, ON M5S 3H4, Canada; [Bihary, Richard; Elder, Benjamin; Lawrie, Craig; Montroy, Thomas; Nagy, Johanna; Riley, Daniel C.; Ruhl, John; Saliwanchik, Benjamin; Shariff, Jamil; Wen, Shyang] Case Western Reserve Univ, Dept Phys, Cleveland, OH 44106 USA; [Bihary, Richard; Elder, Benjamin; Lawrie, Craig; Montroy, Thomas; Nagy, Johanna; Riley, Daniel C.; Ruhl, John; Saliwanchik, Benjamin; Shariff, Jamil; Wen, Shyang] Case Western Reserve Univ, CERCA, Cleveland, OH 44106 USA; [Bock, James; Crill, Brendan; Dore, Olivier; Hristov, Viktor; Mason, Peter; Moncelsi, Lorenzo; Morford, Tracy; Trangsrud, Amy; Tucker, Rebecca] CALTECH, Div Phys Math &amp; Astron, Pasadena, CA 91125 USA; [Bock, James; Crill, Brendan; Dore, Olivier; Holmes, Warren; Megerian, Krikor; Runyan, Marcus; Trangsrud, Amy; Turner, Anthony] CALTECH, Jet Prop Lab, 4800 Oak Grove Dr, Pasadena, CA 91109 USA; [Bond, J. Richard] Univ Toronto, Canadian Inst Theoret Astrophys, Toronto, ON M5S 3H8, Canada; [Chiang, H. Cynthia] Univ KwaZulu Natal, Sch Math Stat &amp; Comp Sci, Durban, South Africa; [Contaldi, Carlo] Univ London Imperial Coll Sci Technol &amp; Med, Blackett Lab, Theoret Phys, London, England; [Filippini, Jeffrey] Univ Illinois, Dept Phys, Urbana, IL 61801 USA; [Gandilo, Natalie; Netterfield, C. Barth] Univ Toronto, Dept Phys, 60 St George St, Toronto, ON M5S 1A7, Canada; [Hasselfield, Matthew] Princeton Univ, Dept Astrophys Sci, Princeton, NJ 08544 USA; [Hilton, Gene; Reintsema, Carl] Natl Inst Stand &amp; Technol, Boulder, CO 80305 USA; [Irwin, Kent] Stanford Univ, Dept Phys, Stanford, CA 94305 USA; [MacTavish, Carrie] Univ Cambridge, Kavli Inst Cosmol, Cambridge, England; [Netterfield, C. Barth] CIFAR Program Cosmol &amp; Grav, Canadian Inst Adv Res, Toronto, ON M5S 3H8, Canada; [Soler, Juan] Inst Astrophys Spatiale, Orsay, France</t>
  </si>
  <si>
    <t>Arizona State University; Arizona State University-Tempe; Cardiff University; University of British Columbia; Princeton University; University of Toronto; University System of Ohio; Case Western Reserve University; University System of Ohio; Case Western Reserve University; California Institute of Technology; California Institute of Technology; National Aeronautics &amp; Space Administration (NASA); NASA Jet Propulsion Laboratory (JPL); University of Toronto; University of Kwazulu Natal; Imperial College London; University of Illinois System; University of Illinois Urbana-Champaign; University of Toronto; Princeton University; National Institute of Standards &amp; Technology (NIST) - USA; Stanford University; University of Cambridge; Canadian Institute for Advanced Research (CIFAR); Universite Paris Saclay; Sorbonne Universite</t>
  </si>
  <si>
    <t>Bryan, S (corresponding author), Arizona State Univ, Sch Earth &amp; Space Explorat, Tempe, AZ 85287 USA.</t>
  </si>
  <si>
    <t>sean.a.bryan@asu.edu</t>
  </si>
  <si>
    <t>Bryan, Scott E/J-1297-2012; jones, william C/AGJ-6132-2022; Moncelsi, Lorenzo/AAU-1009-2020</t>
  </si>
  <si>
    <t>jones, william C/0000-0002-3636-1241; Moncelsi, Lorenzo/0000-0002-4242-3015; Contaldi, Carlo/0000-0001-7285-0707; Crill, Brendan/0000-0002-4650-8518; Ade, Peter/0000-0002-5127-0401; Bryan, Sean/0000-0003-4607-9562; Tucker, Carole/0000-0002-1851-3918; Ruhl, John/0000-0001-5875-4751; Soler, Juan Diego/0000-0002-0294-4465; Irwin, Kent/0000-0002-2998-9743; Nagy, Johanna/0000-0002-2036-7008; Chiang, Hsin/0000-0002-4098-9533; Saliwanchik, Benjamin/0000-0002-5089-7472</t>
  </si>
  <si>
    <t>U.S. by National Aeronautics and Space Administration through Science Mission Directorate [NNX07AL64G, NNX12AE95G]; NESSF [NNX10AM55H]; National Science Foundation [PLR-1043515]; David and Lucile Packard Foundation; National Sciences and Engineering Council; Canadian Space Agency; STFC [ST/L00044X/1, ST/K000926/1, ST/N000706/1] Funding Source: UKRI; NASA [NNX12AE95G, 75099] Funding Source: Federal RePORTER; Science and Technology Facilities Council [ST/N000706/1, ST/L00044X/1] Funding Source: researchfish</t>
  </si>
  <si>
    <t>U.S. by National Aeronautics and Space Administration through Science Mission Directorate; NESSF; National Science Foundation(National Science Foundation (NSF)); David and Lucile Packard Foundation(The David &amp; Lucile Packard Foundation); National Sciences and Engineering Council; Canadian Space Agency(Canadian Space Agency); STFC(UK Research &amp; Innovation (UKRI)Science &amp; Technology Facilities Council (STFC)); NASA(National Aeronautics &amp; Space Administration (NASA)); Science and Technology Facilities Council(UK Research &amp; Innovation (UKRI)Science &amp; Technology Facilities Council (STFC))</t>
  </si>
  <si>
    <t>SPIDER is supported in the U.S. by National Aeronautics and Space Administration under Grant Nos. NNX07AL64G and NNX12AE95G issued through the Science Mission Directorate, with support for A.S.R. from NESSF NNX10AM55H, and by the National Science Foundation through No. PLR-1043515. Logistical support for the Antarctic deployment and operations was provided by the NSF through the U.S. Antarctic Program. The collaboration is grateful for the generous support of the David and Lucile Packard Foundation, which has been crucial to the success of the project.; Support in Canada is provided by the National Sciences and Engineering Council and the Canadian Space Agency.</t>
  </si>
  <si>
    <t>AMER INST PHYSICS</t>
  </si>
  <si>
    <t>MELVILLE</t>
  </si>
  <si>
    <t>1305 WALT WHITMAN RD, STE 300, MELVILLE, NY 11747-4501 USA</t>
  </si>
  <si>
    <t>0034-6748</t>
  </si>
  <si>
    <t>1089-7623</t>
  </si>
  <si>
    <t>REV SCI INSTRUM</t>
  </si>
  <si>
    <t>Rev. Sci. Instrum.</t>
  </si>
  <si>
    <t>10.1063/1.4939435</t>
  </si>
  <si>
    <t>Instruments &amp; Instrumentation; Physics, Applied</t>
  </si>
  <si>
    <t>Instruments &amp; Instrumentation; Physics</t>
  </si>
  <si>
    <t>DC7WH</t>
  </si>
  <si>
    <t>Green Accepted, Bronze, Green Submitted</t>
  </si>
  <si>
    <t>WOS:000369430900033</t>
  </si>
  <si>
    <t>Odeyemi, OA; Stratev, D</t>
  </si>
  <si>
    <t>Odeyemi, O. A.; Stratev, D.</t>
  </si>
  <si>
    <t>Occurrence of antimicrobial resistant or pathogenic Vibrio parahaemolyticus in seafood. A mini review</t>
  </si>
  <si>
    <t>REVUE DE MEDECINE VETERINAIRE</t>
  </si>
  <si>
    <t>V. parahaemolyticus; occurrence; antimicrobial resistance; food safety</t>
  </si>
  <si>
    <t>OYSTERS CRASSOSTREA-GIGAS; POLYMERASE-CHAIN-REACTION; COCKLE ANADARA-GRANOSA; MOLECULAR CHARACTERIZATION; ANTIBIOTIC-RESISTANCE; DISEASE OUTBREAKS; UNITED-STATES; NEW-ZEALAND; FISH INTAKE; PREVALENCE</t>
  </si>
  <si>
    <t>Vibrio parahaemolyticus is a Gram-negative, non-sucrose fermenting marine halophilic bacterium. It is widely prevalent in the aquatic environment and is frequently isolated from seafood. Moreover, some V. parahaemolyticus strains isolated from seafood are pathogenic. V. parahaemolyticus is a human pathogen causing gastroenteritis after consumption of raw or undercooked seafood. Microbiological safety of seafood is of global concern in recent years due to outbreaks of seafood-borne pathogens such as V. parahaemolyticus. There has been recent increase of reports on antibiotic resistance among V. parahaemolyticus isolated from seafood. The emergence of antimicrobial resistant seafood-borne pathogens poses threat to human health. With regard to the increasing reports of V. parahaemolyticus food borne infections, we aimed to review occurrence of antibiotic resistant V. parahaemolyticus in selected seafood and its importance to consumers' health.</t>
  </si>
  <si>
    <t>[Odeyemi, O. A.] Univ Tasmania, Inst Marine &amp; Antarctic Studies, Ecol &amp; Biodivers, Hobart, Tas 7001, Australia; [Stratev, D.] Trakia Univ, Fac Vet Med, Dept Food Hyg &amp; Control Vet Legislat &amp; Management, Stara Zagora 6000, Bulgaria</t>
  </si>
  <si>
    <t>University of Tasmania; Trakia University</t>
  </si>
  <si>
    <t>Odeyemi, OA (corresponding author), Univ Tasmania, Inst Marine &amp; Antarctic Studies, Ecol &amp; Biodivers, Hobart, Tas 7001, Australia.</t>
  </si>
  <si>
    <t>olumide.odeyemi@utas.edu.au</t>
  </si>
  <si>
    <t>Stratev, Deyan/O-4564-2019; Стратев, гл.ас. д-р Деян/S-3455-2019; Odeyemi, Olumide A/ABE-3206-2021</t>
  </si>
  <si>
    <t>Stratev, Deyan/0000-0003-4907-1590; Odeyemi, Olumide A/0000-0002-6041-5027</t>
  </si>
  <si>
    <t>ECOLE NATIONALE VETERINAIRE TOULOUSE</t>
  </si>
  <si>
    <t>TOULOUSE CEDEX 3</t>
  </si>
  <si>
    <t>23 CHEMIN DES CAPELLES, 31076 TOULOUSE CEDEX 3, FRANCE</t>
  </si>
  <si>
    <t>0035-1555</t>
  </si>
  <si>
    <t>2258-0646</t>
  </si>
  <si>
    <t>REV MED VET-TOULOUSE</t>
  </si>
  <si>
    <t>Rev. Med. Vet.</t>
  </si>
  <si>
    <t>Veterinary Sciences</t>
  </si>
  <si>
    <t>DO4SE</t>
  </si>
  <si>
    <t>WOS:000377772600006</t>
  </si>
  <si>
    <t>Warner, Robin; Kaye, Stuart</t>
  </si>
  <si>
    <t>Routledge Handbook of Maritime Regulation and Enforcement Introduction</t>
  </si>
  <si>
    <t>[Warner, Robin] Australian Natl Ctr Ocean Resources &amp; Secur, Melbourne, Vic, Australia; [Warner, Robin] Commonwealth Attorney Gen Dept, Criminal Justice Div, Int Crime Branch, Melbourne, Vic, Australia; [Warner, Robin] Royal Australian Navy, Melbourne, Vic, Australia; [Warner, Robin] Australian Def Force, Int Law, Milan, Italy; [Warner, Robin] Naval Legal Serv, Norfolk, VA USA; [Kaye, Stuart] Univ Wollongong, Australian Natl Ctr Ocean Resources &amp; Secur ANCOR, Law, Wollongong, NSW 2522, Australia; [Kaye, Stuart] Univ Western Australia, Law, Nedlands, WA 6009, Australia; [Kaye, Stuart] Univ Melbourne, Law, Melbourne, Vic 3010, Australia; [Kaye, Stuart] Univ Wollongong, Law, Wollongong, NSW 2522, Australia; [Kaye, Stuart] Dalhousie Univ, Halifax, NS B3H 3J5, Canada; [Kaye, Stuart] Int Hydrog Org Panel Experts Maritime Boundary De, Yaounde, Cameroon; [Kaye, Stuart] Environm Protocol Antarctic Treaty, Madrid, Spain; [Kaye, Stuart] Australian Int Humanitarian Law Comm, Melbourne, Vic, Australia; [Kaye, Stuart] Royal Geog Soc, London, England; [Kaye, Stuart] Australian Acad Law, Melbourne, Vic, Australia</t>
  </si>
  <si>
    <t>Melbourne Genomics Health Alliance; Melbourne Genomics Health Alliance; Melbourne Genomics Health Alliance; University of Wollongong; University of Western Australia; University of Melbourne; Melbourne Genomics Health Alliance; University of Wollongong; Dalhousie University; Melbourne Genomics Health Alliance; Melbourne Genomics Health Alliance</t>
  </si>
  <si>
    <t>Warner, R (corresponding author), Australian Natl Ctr Ocean Resources &amp; Secur, Melbourne, Vic, Australia.</t>
  </si>
  <si>
    <t>Warner, Robin/AAB-8424-2020; Kaye, Stuart/AAA-1778-2019</t>
  </si>
  <si>
    <t>Warner, Robin/0000-0002-6453-6344; Kaye, Stuart/0000-0003-4498-5537</t>
  </si>
  <si>
    <t>XXVII</t>
  </si>
  <si>
    <t>XXXV</t>
  </si>
  <si>
    <t>WOS:000375578600002</t>
  </si>
  <si>
    <t>McInnes, JC; Emmerson, L; Southwell, C; Faux, C; Jarman, SN</t>
  </si>
  <si>
    <t>McInnes, Julie C.; Emmerson, Louise; Southwell, Colin; Faux, Cassandra; Jarman, Simon N.</t>
  </si>
  <si>
    <t>Simultaneous DNA-based diet analysis of breeding, non-breeding and chick Adelie penguins</t>
  </si>
  <si>
    <t>ROYAL SOCIETY OPEN SCIENCE</t>
  </si>
  <si>
    <t>faecal; molecular; food; next-generation sequencing</t>
  </si>
  <si>
    <t>STABLE-ISOTOPE ANALYSIS; PYGOSCELIS-ADELIAE; BECHERVAISE-ISLAND; TEMPORAL VARIATION; FORAGING EFFORT; SEABIRDS; PREY; JELLYFISH; ECOLOGY; SEA</t>
  </si>
  <si>
    <t>As central place foragers, breeding penguins are restricted in foraging range by the need to return to the colony to feed chicks. Furthermore, breeding birds must balance energetic gain from self-feeding with the costs of returning to provision young. Non-breeding birds, however, are likely to be less restricted in foraging range and lack the high energy demands of provisioning, therefore may consume different prey to breeders. We used DNA dietary analysis to determine whether there was a difference in provisioning and self-feeding diet by identifying prey DNA in scat samples from breeding and chick Adelie penguins at two locations in East Antarctica. We also investigated diet differences between breeders and non-breeders at one site. Although previous work shows changing foraging behaviour between chick provisioning and self-feeding, our results suggest no significant differences in the main prey groups consumed by chicks and breeders at either site or between breeding stages. This may reflect the inability of penguins to selectively forage when provisioning, or resources were sufficient for all foraging needs. Conversely, non-breeders were found to consume different prey groups to breeders, which may reflect less restricted foraging ranges, breeders actively selecting particular prey during breeding or reduced foraging experience of non-breeders.</t>
  </si>
  <si>
    <t>[McInnes, Julie C.; Emmerson, Louise; Southwell, Colin; Faux, Cassandra; Jarman, Simon N.] Australian Antarctic Div, Channel Highway, Kingston, Tas, Australia; [McInnes, Julie C.] Univ Tasmania, Inst Marine &amp; Antarctic Studies, Hobart, Tas, Australia</t>
  </si>
  <si>
    <t>McInnes, JC (corresponding author), Australian Antarctic Div, Channel Highway, Kingston, Tas, Australia.;McInnes, JC (corresponding author), Univ Tasmania, Inst Marine &amp; Antarctic Studies, Hobart, Tas, Australia.</t>
  </si>
  <si>
    <t>julie.mcinnes@aad.gov.au</t>
  </si>
  <si>
    <t>McInnes, Julie C/C-2865-2014; Jarman, Simon/H-9265-2016</t>
  </si>
  <si>
    <t>McInnes, Julie/0000-0001-8902-5199; Jarman, Simon/0000-0002-0792-9686</t>
  </si>
  <si>
    <t>Australian Antarctic Division [4088, 4014]</t>
  </si>
  <si>
    <t>This work was funded by the Australian Antarctic Division as part of Australian Antarctic Science project no. 4088 and laboratory processing was partially funded through project no. 4014.</t>
  </si>
  <si>
    <t>ROYAL SOC</t>
  </si>
  <si>
    <t>6-9 CARLTON HOUSE TERRACE, LONDON SW1Y 5AG, ENGLAND</t>
  </si>
  <si>
    <t>2054-5703</t>
  </si>
  <si>
    <t>ROY SOC OPEN SCI</t>
  </si>
  <si>
    <t>R. Soc. Open Sci.</t>
  </si>
  <si>
    <t>10.1098/rsos.150443</t>
  </si>
  <si>
    <t>DO7NF</t>
  </si>
  <si>
    <t>WOS:000377968600012</t>
  </si>
  <si>
    <t>Hu, Y; Shang, ZH; Ma, B; Hu, KL</t>
  </si>
  <si>
    <t>Chiozzi, G; Guzman, JC</t>
  </si>
  <si>
    <t>Hu, Yi; Shang, Zhaohui; Ma, Bin; Hu, Keliang</t>
  </si>
  <si>
    <t>The AST3 Controlling and Operating Software Suite for Automatic Sky Survey</t>
  </si>
  <si>
    <t>SOFTWARE AND CYBERINFRASTRUCTURE FOR ASTRONOMY IV</t>
  </si>
  <si>
    <t>Conference on Software and Cyberinfrastructure for Astronomy IV</t>
  </si>
  <si>
    <t>Autonomous sky survey; automatic control</t>
  </si>
  <si>
    <t>We have developed a specialized software package, called ast3suite, to achieve the remote control and automatic sky survey for AST3 (Antarctic Survey Telescope) from scratch. It includes several daemon servers and many basic commands. Each program does only one single task, and they work together to make AST3 a robotic telescope. A survey script calls basic commands to carry out automatic sky survey. Ast3suite was carefully tested in Mohe, China in 2013 and has been used at Dome, Antarctica in 2015 and 2016 with the real hardware for practical sky survey. Both test results and practical using showed that ast3suite had worked very well without any manual auxiliary as we expected.</t>
  </si>
  <si>
    <t>[Hu, Yi; Shang, Zhaohui; Ma, Bin; Hu, Keliang] Chinese Acad Sci, Natl Astron Observ, Beijing, Peoples R China; [Shang, Zhaohui] Tianjin Normal Univ, Tianjin, Peoples R China</t>
  </si>
  <si>
    <t>Chinese Academy of Sciences; National Astronomical Observatory, CAS; Tianjin Normal University</t>
  </si>
  <si>
    <t>978-1-5106-0205-2; 978-1-5106-0206-9</t>
  </si>
  <si>
    <t>99130M</t>
  </si>
  <si>
    <t>10.1117/12.2231851</t>
  </si>
  <si>
    <t>Astronomy &amp; Astrophysics; Engineering, Electrical &amp; Electronic; Optics</t>
  </si>
  <si>
    <t>Astronomy &amp; Astrophysics; Engineering; Optics</t>
  </si>
  <si>
    <t>BG4GJ</t>
  </si>
  <si>
    <t>WOS:000388804600020</t>
  </si>
  <si>
    <t>Kurita, N; Hirasawa, N; Koga, S; Matsushita, J; Steen-Larsen, HC; Masson-Delmotte, V; Fujiyoshi, Y</t>
  </si>
  <si>
    <t>Kurita, Naoyuki; Hirasawa, Naohiko; Koga, Seizi; Matsushita, Junji; Steen-Larsen, Hans Christian; Masson-Delmotte, Valerie; Fujiyoshi, Yasushi</t>
  </si>
  <si>
    <t>Identification of Air Masses Responsible for Warm Events on the East Antarctic Coast</t>
  </si>
  <si>
    <t>MESOSCALE PREDICTION SYSTEM; DATA ASSIMILATION SYSTEM; AMUNDSEN SEA EMBAYMENT; MCMURDO DRY VALLEYS; WATER-VAPOR; ISOTOPIC COMPOSITION; WEST ANTARCTICA; STABLE-ISOTOPES; SURFACE SNOW; FOEHN WINDS</t>
  </si>
  <si>
    <t>Warm events, periods when rising surface air temperatures can trigger surface melt, have been recorded during the austral summer at Syowa station on the East Antarctic coast. This study identifies air masses responsible for summer warm events at Syowa. Air masses arriving at Syowa are classified into marine and glacial sources based on their isotopic characteristics. Warm events are not associated with moist marine air intrusion, but with the downward flow of dry glacial air along the west side slope of the mountains in Enderby Land (EL). We use simulations from the Antarctic Mesoscale Prediction System (AMPS) to explore the atmospheric process responsible for the warmest event at Syowa. The model output illustrates several foehn-associated features such as low-level blocking, precipitation on the mountain's windward side, and mountain wave activity, with warm air ascending on the upstream slope and descending to Syowa. The foehn warming is caused by an easterly cross-mountain flow associated with a low-pressure system to the north of the EL coast. Future changes in synoptic cyclonic activity off the EL coast may have a significant impact on the frequency and intensity of foehn events at Syowa and the associated coastal warm events.</t>
  </si>
  <si>
    <t>[Kurita, Naoyuki] Nagoya Univ, Inst Space Earth Environm Res, Nagoya, Aichi, Japan; [Hirasawa, Naohiko; Matsushita, Junji] Natl Inst Polar Res, Tachikawa, Tokyo, Japan; [Koga, Seizi] Natl Inst Adv Ind Sci &amp; Technol, Tsukuba, Ibaraki, Japan; [Steen-Larsen, Hans Christian] Univ Copenhagen, Ctr Ice &amp; Climate, Niels Bohr Inst, Copenhagen, Denmark; [Masson-Delmotte, Valerie] LSCE Lab Sci Climat &amp; Environm, Gif sur Yvette, Ile De France, France; [Fujiyoshi, Yasushi] Hokkaido Univ, Inst Low Temp Sci, Sapporo, Hokkaido, Japan; [Kurita, Naoyuki] Nagoya Univ, Inst Space Earth Environm Res, Chikusa Ku, Furo Cho, Nagoya, Aichi 4648601, Japan</t>
  </si>
  <si>
    <t>Nagoya University; Research Organization of Information &amp; Systems (ROIS); National Institute of Polar Research (NIPR) - Japan; National Institute of Advanced Industrial Science &amp; Technology (AIST); University of Copenhagen; Niels Bohr Institute; CEA; Centre National de la Recherche Scientifique (CNRS); Universite Paris Saclay; Hokkaido University; Nagoya University</t>
  </si>
  <si>
    <t>Kurita, N (corresponding author), Nagoya Univ, Inst Space Earth Environm Res, Chikusa Ku, Furo Cho, Nagoya, Aichi 4648601, Japan.</t>
  </si>
  <si>
    <t>kurita.naoyuki@e.mbox.nagoya-u.ac.jp</t>
  </si>
  <si>
    <t>Masson-Delmotte, Valerie L/G-1995-2011; Kurita, Naoyuki/C-6120-2014; Koga, Seizi/L-5695-2018; Steen-Larsen, Hans Christian/F-9927-2013</t>
  </si>
  <si>
    <t>Masson-Delmotte, Valerie L/0000-0001-8296-381X; Koga, Seizi/0000-0001-6742-0403; Steen-Larsen, Hans Christian/0000-0002-7202-5907</t>
  </si>
  <si>
    <t>JSPS KAKENHI [25550022]; grant for Joint Research Program of the Institute of Low Temperature Science, Hokkaido University; Grants-in-Aid for Scientific Research [25550022, 16H01770, 15H02807] Funding Source: KAKEN</t>
  </si>
  <si>
    <t>JSPS KAKENHI(Ministry of Education, Culture, Sports, Science and Technology, Japan (MEXT)Japan Society for the Promotion of ScienceGrants-in-Aid for Scientific Research (KAKENHI)); grant for Joint Research Program of the Institute of Low Temperature Science, Hokkaido University; Grants-in-Aid for Scientific Research(Ministry of Education, Culture, Sports, Science and Technology, Japan (MEXT)Japan Society for the Promotion of ScienceGrants-in-Aid for Scientific Research (KAKENHI))</t>
  </si>
  <si>
    <t>This study was supported by JSPS KAKENHI grant 25550022 and grant for Joint Research Program of the Institute of Low Temperature Science, Hokkaido University. The authors gratefully acknowledge the NOAA Air Resources Laboratory (ARL) for the provision of the HYSPLIT transport and dispersion model and the relevant input files for generation of backward trajectories. The ERI-data are available via the ECMWF data portal (http://apps.ecmwf.int/datasets/data/interim-full-daily). AMPS forecast products are available from the National Center for Atmosphere (https://www.earthsystemgrid.org/dataset/ucar.mmm.amps.wrf_30.201412.html). We also thank two anonymous reviewers for constructive comments on the manuscript.</t>
  </si>
  <si>
    <t>10.2151/sola.2016-060</t>
  </si>
  <si>
    <t>EE2WR</t>
  </si>
  <si>
    <t>WOS:000389446400002</t>
  </si>
  <si>
    <t>Kozyreya, OV; Pilipenko, VA; Engebretson, MJ; Klimushkin, DY; Mager, PN</t>
  </si>
  <si>
    <t>Kozyreya, O. V.; Pilipenko, V. A.; Engebretson, M. J.; Klimushkin, D. Yu.; Mager, P. N.</t>
  </si>
  <si>
    <t>CORRESPONDENCE BETWEEN THE ULF WAVE POWER SPATIAL DISTRIBUTION AND AURORAL OVAL BOUNDARIES</t>
  </si>
  <si>
    <t>SOLAR-TERRESTRIAL PHYSICS</t>
  </si>
  <si>
    <t>Magnetic storms; Pc5 pulsations; auroral oval</t>
  </si>
  <si>
    <t>The world-wide spatial distribution of the wave power in the Pc5 band during magnetic storms has been compared with auroral oval boundaries. The poleward and equatorward auroral oval boundaries are estimated using either the British Antarctic Survey database containing IMAGE satellite UV observations of the aurora or the OVATION model based on the DMSP particle data. The epicenter of the spectral power of broadband Pc5 fluctuations during the storm growth phase is mapped inside the auroral oval. During the storm recovery phase, the spectral power of narrowband Pc5 waves, both in the dawn and dusk sectors, is mapped inside the auroral oval or around its equatorward boundary. This observational result confirms previously reported effects: the spatial/temporal variations of the Pc5 wave power in the morning/pre-noon sector are closely related to the dynamics of the auroral electrojet and magnetospheric field-aligned currents. At the same time, narrowband Pc5 waves demonstrate typical resonant features in the amplitude phase latitudinal structure. Thus, the location of the auroral oval or its equatorward boundary is the preferred latitude for magnetospheric field-line Alfven resonator excitation. This effect is not taken into account by modern theories of ULF Pc5 waves, but it could be significant for the development of more adequate models.</t>
  </si>
  <si>
    <t>[Kozyreya, O. V.; Pilipenko, V. A.] RAS, Schmidt Inst Phys Earth, Moscow, Russia; [Kozyreya, O. V.; Pilipenko, V. A.] RAS, Geophys Ctr, Moscow, Russia; [Engebretson, M. J.] Augsburg Coll, Minneapolis, MN USA; [Klimushkin, D. Yu.; Mager, P. N.] Inst Solar Terr Phys, Irkutsk, Russia</t>
  </si>
  <si>
    <t>Russian Academy of Sciences; Schmidt Institute of Physics of the Earth of the Russian Academy of Sciences; Russian Academy of Sciences; Geophysical Center of the Russian Academy of Sciences; Augsburg University; Irkutsk Science Centre of the Russian Academy of Sciences; Russian Academy of Sciences; Institute of Solar-Terrestrial Physics of the Siberian Branch of the Russian Academy of Sciences</t>
  </si>
  <si>
    <t>Kozyreya, OV (corresponding author), RAS, Schmidt Inst Phys Earth, Moscow, Russia.;Kozyreya, OV (corresponding author), RAS, Geophys Ctr, Moscow, Russia.</t>
  </si>
  <si>
    <t>kozyreva@ifz.ru; pilipenko_va@mail.ru; engebret@augsburg.edu; klimush@iszf.irk.ru; p.mager@iszf.irk.ru</t>
  </si>
  <si>
    <t>Klimushkin, Dmitri Yu/H-7090-2012; Mager, Pavel N./S-5456-2017; Mager, Pavel/AAF-9552-2019</t>
  </si>
  <si>
    <t>Klimushkin, Dmitri Yu/0000-0002-3278-6250; Mager, Pavel N./0000-0002-5450-3397; Mager, Pavel/0000-0002-5450-3397</t>
  </si>
  <si>
    <t>Russian Science Foundation [16-17-00121]; Russian Fundation for Basic Research [14-05-00588, 15-45-05108]; NSF [AGS-1264146]; Canadian Space Agency; Russian Science Foundation [16-17-00121] Funding Source: Russian Science Foundation</t>
  </si>
  <si>
    <t>Russian Science Foundation(Russian Science Foundation (RSF)); Russian Fundation for Basic Research(Russian Foundation for Basic Research (RFBR)); NSF(National Science Foundation (NSF)); Canadian Space Agency(Canadian Space Agency); Russian Science Foundation(Russian Science Foundation (RSF))</t>
  </si>
  <si>
    <t>This study is supported by the Russian Science Foundation grant. 16-17-00121 (OK), Russian Fundation for Basic Research grants 14-05-00588 (DK, PM) and 15-45-05108 (VP), and NSF grant AGS-1264146 (ME). The auroral boundary data were derived and provided by the British Antarctic Survey based on IMAGE satellite data [http://www.antarctica.ac.uk]. The authors thank I.R. Mann, D.K. Milling and the rest of the CARISMA team for data. CARISMA is operated by the University of Alberta, funded by the Canadian Space Agency. We thank the national institutes that support high standard INTERMAGNET observatories [http://www.intermagnet.org] and maintain the IMAGE magnetometer array [http://www.geo.fmi.fi]. Coastal stations in Greenland are operated by the Danish Technical University [http://www.space.dtu.dk]. The MAGDAS station data provided by the Kyushu University [http://magdas.serc.kyushu-u.ac.jp] are appreciated. We appreciate data from the OMNI website [http://omniweb.gsfc.nasa.gov] and from NOAA GOES satellites [http://www.ngdc.noaa.gov/stp/satellite/goes/]. We thank the reviewer for thorough editing.</t>
  </si>
  <si>
    <t>NAUCNO-IZDATELSKIJ CENTR INFRAM</t>
  </si>
  <si>
    <t>MOSKVA</t>
  </si>
  <si>
    <t>NAUCNO-IZDATELSKIJ CENTR INFRAM, MOSKVA, 00000, RUSSIA</t>
  </si>
  <si>
    <t>2500-0535</t>
  </si>
  <si>
    <t>SOL-TERR PHYS</t>
  </si>
  <si>
    <t>Sol.-Terr. Phys.</t>
  </si>
  <si>
    <t>10.12737/20999</t>
  </si>
  <si>
    <t>VE4EO</t>
  </si>
  <si>
    <t>WOS:000439269300005</t>
  </si>
  <si>
    <t>Kobelev, PG; Abunin, AA; Abunina, MA; Preobrazhensky, MS; Smirnov, DV; Lukovnikova, AA</t>
  </si>
  <si>
    <t>Kobelev, P. G.; Abunin, A. A.; Abunina, M. A.; Preobrazhensky, M. S.; Smirnov, D., V; Lukovnikova, A. A.</t>
  </si>
  <si>
    <t>BAROMETRIC EFFECT OF NEUTRON COMPONENT OF COSMIC RAYS AT ANTARCTIC STATION MIRNY</t>
  </si>
  <si>
    <t>galactic cosmic ray variations; barometric effect; neutron monitors</t>
  </si>
  <si>
    <t>The barometric effect of cosmic ray neutron component was estimated on the example of the Antarctic station Mirny. We used hourly data from continuous monitoring of neutron component and data from a local weather station for 2007-2014. Wind speed at the station Mirny reaches 20-40 m/s in winter that corresponds to the dynamic pressure 5-6 mbar and leads to a 5 % error in variations of neutron component because of dynamic effects in the atmosphere. The results can be applied to detectors located in high-latitude and high-mountain regions where the wind speed can be significant.</t>
  </si>
  <si>
    <t>[Kobelev, P. G.; Abunin, A. A.; Abunina, M. A.; Preobrazhensky, M. S.; Smirnov, D., V] RAS, Pushkov Inst Terr Magnetism Ionosphere &amp; Radio Wa, Moscow, Russia; [Lukovnikova, A. A.] Inst Solar Terr Phys SB RAS, Irkutsk, Russia</t>
  </si>
  <si>
    <t>Russian Academy of Sciences; Pushkov Institute of Terrestrial Magnetism, Ionosphere &amp; Radio Wave Propagation; Russian Academy of Sciences; Irkutsk Science Centre of the Russian Academy of Sciences; Institute of Solar-Terrestrial Physics of the Siberian Branch of the Russian Academy of Sciences</t>
  </si>
  <si>
    <t>Kobelev, PG (corresponding author), RAS, Pushkov Inst Terr Magnetism Ionosphere &amp; Radio Wa, Moscow, Russia.</t>
  </si>
  <si>
    <t>kosmos061986@yandex.ru</t>
  </si>
  <si>
    <t>Abunina, Maria/R-8739-2019</t>
  </si>
  <si>
    <t>Abunina, Maria/0000-0002-2152-6541</t>
  </si>
  <si>
    <t>10.12737/19882</t>
  </si>
  <si>
    <t>VE4EM</t>
  </si>
  <si>
    <t>WOS:000439269100009</t>
  </si>
  <si>
    <t>Beylich, Achim A.; Dixon, John C.; Zwolinski, Zbigniew</t>
  </si>
  <si>
    <t>Summary of key findings from Arctic, Antarctic, and mountain environments</t>
  </si>
  <si>
    <t>[Beylich, Achim A.] Geol Survey Norway NGU, Geoenvironm Div, Trondheim, Norway; [Dixon, John C.] Univ Arkansas, Dept Geosci, Fayetteville, AR 72701 USA; [Zwolinski, Zbigniew] Adam Mickiewicz Univ, Inst Geoecol &amp; Geoinformat, Poznan, Poland</t>
  </si>
  <si>
    <t>Geological Survey of Norway; University of Arkansas System; University of Arkansas Fayetteville; Adam Mickiewicz University</t>
  </si>
  <si>
    <t>Beylich, AA (corresponding author), Geol Survey Norway NGU, Geoenvironm Div, Trondheim, Norway.</t>
  </si>
  <si>
    <t>Beylich, Achim A./JUV-1673-2023; Zwolinski, Zbigniew/D-5583-2011</t>
  </si>
  <si>
    <t>Beylich, Achim A./0000-0003-3382-5394; Zwolinski, Zbigniew/0000-0002-3252-3143</t>
  </si>
  <si>
    <t>WOS:000387347000029</t>
  </si>
  <si>
    <t>Peckt, LS</t>
  </si>
  <si>
    <t>Peck, Lloyd S.</t>
  </si>
  <si>
    <t>A Cold Limit to Adaptation in the Sea</t>
  </si>
  <si>
    <t>TRENDS IN ECOLOGY &amp; EVOLUTION</t>
  </si>
  <si>
    <t>HEAT-SHOCK RESPONSE; GAMETOGENIC ECOLOGY; OXYGEN-CONSUMPTION; ARM REGENERATION; ANTARCTIC LIMPET; TEMPERATURE; GROWTH; METABOLISM; LARVAE; SLOW</t>
  </si>
  <si>
    <t>Temperature affects biological functions by altering reaction rates. Physiological rates usually double to treble for every 10 degrees C rise, and 1-4 fold encompasses normal biological functions. However, in polar marine species inhabiting temperatures around 0 degrees C many processes are slowed beyond the Arrhenius relationships for warmer water species. Growth, embryonic development, Specific dynamic action (SDA) duration, and time to acclimate to altered temperature, are all 5-12 fold slower in species living near 0 degrees C than at 10 degrees C. This cold marine physiological transition to slower states is absent, however, in oxygen consumption and SDA factorial scope; processes where capacity is related to aerobic scope. My opinion is that processes involving significant protein modification are impacted, and protein synthesis or folding problems cause the slowing of rates beyond expected temperature effects.</t>
  </si>
  <si>
    <t>[Peck, Lloyd S.] British Antarctic Survey, Cambridge CB3 0ET, England</t>
  </si>
  <si>
    <t>Peckt, LS (corresponding author), British Antarctic Survey, Madingley Rd, Cambridge CB3 0ET, England.</t>
  </si>
  <si>
    <t>l.peck@bas.ac.uk</t>
  </si>
  <si>
    <t>Natural Environment Research Council [dml011000, bas0100036] Funding Source: researchfish; NERC [bas0100036, dml011000] Funding Source: UKRI</t>
  </si>
  <si>
    <t>0169-5347</t>
  </si>
  <si>
    <t>1872-8383</t>
  </si>
  <si>
    <t>TRENDS ECOL EVOL</t>
  </si>
  <si>
    <t>Trends Ecol. Evol.</t>
  </si>
  <si>
    <t>10.1016/j.tree.2015.09.014</t>
  </si>
  <si>
    <t>DB0OA</t>
  </si>
  <si>
    <t>WOS:000368206200006</t>
  </si>
  <si>
    <t>Sutherland, WJ; Broad, S; Caine, J; Clout, M; Dicks, LV; Doran, H; Entwistle, AC; Fleishman, E; Gibbons, DW; Keim, B; LeAnstey, B; Lickorish, FA; Markillie, P; Monk, KA; Mortimer, D; Ockendon, N; Pearce-Higgins, JW; Peck, LS; Pretty, J; Rockström, J; Spalding, MD; Tonneijck, FH; Wintle, BC; Wright, KE</t>
  </si>
  <si>
    <t>Sutherland, William J.; Broad, Steven; Caine, Jacqueline; Clout, Mick; Dicks, Lynn V.; Doran, Helen; Entwistle, Abigail C.; Fleishman, Erica; Gibbons, David W.; Keim, Brandon; LeAnstey, Becky; Lickorish, Fiona A.; Markillie, Paul; Monk, Kathryn A.; Mortimer, Diana; Ockendon, Nancy; Pearce-Higgins, James W.; Peck, Lloyd S.; Pretty, Jules; Rockstrom, Johan; Spalding, Mark D.; Tonneijck, Femke H.; Wintle, Bonnie C.; Wright, Katherine E.</t>
  </si>
  <si>
    <t>A Horizon Scan of Global Conservation Issues for 2016</t>
  </si>
  <si>
    <t>ARTIFICIAL-INTELLIGENCE; GENETIC DIVERSITY; LOST; MEN</t>
  </si>
  <si>
    <t>This paper presents the results of our seventh annual horizon scan, in which we aimed to identify issues that could have substantial effects on global biological diversity in the future, but are not currently widely well known or understood within the conservation community. Fifteen issues were identified by a team that included researchers, practitioners, professional horizon scanners, and journalists. The topics include use of managed bees as transporters of biological control agents, artificial superintelligence, electric pulse trawling, testosterone in the aquatic environment, building artificial oceanic islands, and the incorporation of ecological civilization principles into government policies in China.</t>
  </si>
  <si>
    <t>[Sutherland, William J.; Dicks, Lynn V.; Ockendon, Nancy] Univ Cambridge, Dept Zool, Conservat Sci Grp, Cambridge CB2 3EJ, England; [Broad, Steven] TRAFFIC Int, Cambridge CB2 3QZ, England; [Caine, Jacqueline] British Ecol Soc, London WC1N 2JL, England; [Clout, Mick] Univ Auckland, Sch Biol Sci, Ctr Biodivers &amp; Biosecur, Auckland 1, New Zealand; [Doran, Helen] Nat England, Cambridge CB2 8DR, England; [Entwistle, Abigail C.] Fauna &amp; Flora Int, Cambridge CB2 3QZ, England; [Fleishman, Erica] Univ Calif Davis, John Muir Inst Environm, Davis, CA 95616 USA; [Gibbons, David W.] Royal Soc Protect Birds, RSPB Ctr Conservat Sci, Sandy SG19 2DL, Beds, England; [LeAnstey, Becky] Environm Agcy, Bristol BS1 5AH, Avon, England; [Lickorish, Fiona A.] Cranfield Univ, Inst Environm Hlth Risks &amp; Futures, Cranfield MK43 0AL, Beds, England; [Markillie, Paul] Economist, London SW1A 1HG, England; [Monk, Kathryn A.] Nat Resources Wales, Cardiff CF24 0TP, S Glam, Wales; [Mortimer, Diana] JNCC, Peterborough PE1 1UA, Cambs, England; [Pearce-Higgins, James W.] BTO, Thetford IP24 2PU, Norfolk, England; [Peck, Lloyd S.] British Antarctic Survey, Nat Environm Res Council, Cambridge CB3 0ET, England; [Pretty, Jules] Univ Essex, Dept Biol Sci, Colchester CO4 3SQ, Essex, England; [Rockstrom, Johan] Stockholm Univ, Stockholm Resilience Ctr, SE-10619 Stockholm, Sweden; [Spalding, Mark D.] Univ Siena, Dept Phys Earth &amp; Environm Sci, Nat Conservancy, Global Marine Team, I-53100 Siena, Italy; [Tonneijck, Femke H.] Wetlands Int, NL-6700 AL Wageningen, Netherlands; [Wintle, Bonnie C.] Univ Melbourne, Sch BioSci, Ctr Excellence Biosecur Risk Anal, Quantitat &amp; Appl Ecol Grp, Melbourne, Vic 3010, Australia; [Wright, Katherine E.] NERC, Swindon SN2 1EU, Wilts, England</t>
  </si>
  <si>
    <t>University of Cambridge; University of Auckland; University of California System; University of California Davis; Royal Society for Protection of Birds; Cranfield University; British Trust for Ornithology; UK Research &amp; Innovation (UKRI); Natural Environment Research Council (NERC); NERC British Antarctic Survey; University of Essex; Stockholm University; University of Siena; Melbourne Genomics Health Alliance; University of Melbourne; UK Research &amp; Innovation (UKRI); Natural Environment Research Council (NERC)</t>
  </si>
  <si>
    <t>Sutherland, WJ (corresponding author), Univ Cambridge, Dept Zool, Conservat Sci Grp, Downing St, Cambridge CB2 3EJ, England.</t>
  </si>
  <si>
    <t>w.sutherland@zoo.cam.ac.uk</t>
  </si>
  <si>
    <t>Sutherland, William/B-1291-2013; Dicks, Lynn V./AFH-5289-2022; Pretty, Jules/D-4071-2012; Spalding, Mark/GVU-0739-2022; Monk, Kathryn/GRR-2773-2022</t>
  </si>
  <si>
    <t>Dicks, Lynn V./0000-0002-8304-4468; Lickorish, Fiona/0000-0002-0696-202X; Sutherland, William/0000-0002-6498-0437; Ockendon, Nancy/0000-0001-5055-1079; Rockstrom, Johan/0000-0001-8988-2983; Pretty, Jules/0000-0002-3897-6581; Spalding, Mark/0000-0001-9456-4533; Wintle, Bonnie/0000-0003-0236-6906</t>
  </si>
  <si>
    <t>UK Natural Environment Research Council; Royal Society for the Protection of Birds; Arcadia; NERC [bas0100036, NE/K015419/1] Funding Source: UKRI; Natural Environment Research Council [NE/K015419/1, bas0100036] Funding Source: researchfish</t>
  </si>
  <si>
    <t>UK Natural Environment Research Council(UK Research &amp; Innovation (UKRI)Natural Environment Research Council (NERC)); Royal Society for the Protection of Birds; Arcadia; NERC(UK Research &amp; Innovation (UKRI)Natural Environment Research Council (NERC)); Natural Environment Research Council(UK Research &amp; Innovation (UKRI)Natural Environment Research Council (NERC))</t>
  </si>
  <si>
    <t>This is an exercise of the Cambridge Conservation Initiative and was funded by the UK Natural Environment Research Council and the Royal Society for the Protection of Birds. We thank the large number of individuals who suggested issues or responded to questions. For suggesting issues that in some form are included in this paper, we thank Jeremy Clifford (changing costs of energy storage and consumption models), Jason Dinsdale (increasing aquatic concentrations of testosterone), Annewieke Vroom (the idea on which ecological civilization policies in China was based), Victoria Price (passive acoustic monitoring), Jean-Louis Ecochard (one of those who suggested artificial superintelligence), and Jennifer Wickens and Victoria Wickens (use of managed bees as vectors). Nibedita Mukherjee documented and made useful contributions to the meeting discussion. W.J.S. is funded by Arcadia.</t>
  </si>
  <si>
    <t>10.1016/j.tree.2015.11.007</t>
  </si>
  <si>
    <t>WOS:000368206200009</t>
  </si>
  <si>
    <t>Horne, RB; Meredith, NP; Glauert, SA; Kersten, T</t>
  </si>
  <si>
    <t>Balasis, G; Daglis, IA; Mann, IR</t>
  </si>
  <si>
    <t>Horne, Richard B.; Meredith, Nigel P.; Glauert, Sarah A.; Kersten, Tobias</t>
  </si>
  <si>
    <t>Wave-Driven Diffusion in Radiation Belt Dynamics</t>
  </si>
  <si>
    <t>WAVES, PARTICLES, AND STORMS IN GEOSPACE: A COMPLEX INTERPLAY</t>
  </si>
  <si>
    <t>ION-CYCLOTRON WAVES; EARTHS INNER MAGNETOSPHERE; ELECTRON-SCATTERING LOSS; PITCH-ANGLE DIFFUSION; WHISTLER-MODE CHORUS; RELATIVISTIC ELECTRONS; PLASMASPHERIC HISS; RESONANT DIFFUSION; EMBRYONIC SOURCE; SOLAR-WIND</t>
  </si>
  <si>
    <t>The discovery of the van Allen radiation belts in 1958 posed two important problems: how can charged particles be accelerated to energies of several MeV or more, and what is responsible for the variability of the belts? Here we discuss the electron radiation belts. It has now been established that electron acceleration to form the belts must occur inside geostationary orbit by a local acceleration process. We describe electron acceleration and loss as a diffusion process driven by wave-particle interactions and present some of the most important types of magnetospheric plasma wave that can contribute to radiation belt variations. We present the results of simulations which solve the 3-d Fokker Planck equation where the diffusion rates are based on careful modelling of satellite wave data. The results show that radial diffusion alone cannot reproduce the variability of electron radiation belts, but losses due to plasmaspheric hiss and lightning generated whistlers are also required. Even so, the flux is too low. We show that whistler mode chorus waves increase the electron flux much closer to the observed levels and are a very important local electron acceleration process. We also show that EMIC waves cause electron loss at energies of several MeV and predict that EMIC waves should result in an anisotropic pitch angle distribution peaked at large pitch angles at energies of several MeV. Finally we describe our current understanding in terms of a conceptual model for the formation of the Earth's electron radiation belts where local acceleration is provided by wave-particle interactions.</t>
  </si>
  <si>
    <t>[Horne, Richard B.; Meredith, Nigel P.; Glauert, Sarah A.; Kersten, Tobias] British Antarctic Survey, Cambridge, England</t>
  </si>
  <si>
    <t>Horne, RB (corresponding author), British Antarctic Survey, Cambridge, England.</t>
  </si>
  <si>
    <t>rh@bas.ac.uk; nmer@bas.ac.uk; sagl@bas.ac.uk; tobker@bas.ac.uk</t>
  </si>
  <si>
    <t>Horne, Richard B/U-3764-2019</t>
  </si>
  <si>
    <t>Horne, Richard B/0000-0002-0412-6407</t>
  </si>
  <si>
    <t>978-0-19-870524-6</t>
  </si>
  <si>
    <t>10.1093/acprof:oso/9780198705246.001.0001</t>
  </si>
  <si>
    <t>Astronomy &amp; Astrophysics; Geochemistry &amp; Geophysics</t>
  </si>
  <si>
    <t>BJ8WD</t>
  </si>
  <si>
    <t>WOS:000428855400011</t>
  </si>
  <si>
    <t>Clilverd, MA; Rodger, CJ; Andersson, ME; Seppälä, A; Verronen, PT</t>
  </si>
  <si>
    <t>Clilverd, M. A.; Rodger, C. J.; Andersson, M. E.; Seppala, A.; Verronen, P. T.</t>
  </si>
  <si>
    <t>Linkages Between the Radiation Belts, Polar Atmosphere and Climate: Electron Precipitation Through Wave Particle Interactions</t>
  </si>
  <si>
    <t>PITCH-ANGLE SCATTERING; NITRIC-OXIDE; GEOMAGNETIC STORMS; MIDDLE ATMOSPHERE; SOLAR; ACCELERATION; OZONE; STRATOSPHERE; TEMPERATURE; SURFACE</t>
  </si>
  <si>
    <t>In this chapter we report on the processes by which plasma waves occurring in geospace drives electron precipitation, generating excess ionization at altitudes of 40-100 km, thereby affecting the polar atmosphere and ultimately coupling to surface climate. Excess ionization is created through wave-particle interaction processes in the outer radiation belt which can scatter energetic electrons into the atmosphere. The processes define the electron energies involved, the location of the wave-particle interaction regions, and the strength of the pitch-angle diffusion taking place. The ionization produced in the upper atmosphere results in the generation of odd nitrogen and odd hydrogen species, which can catalytically destroy ozone. Through the coupling of chemical and dynamical changes in the middle and upper atmosphere, changes in atmospheric dynamics can propagate down into the troposphere. There they have been observed to modulate the large scale wintertime temperature patterns in the med- to high-latitude northern and southern hemispheres.</t>
  </si>
  <si>
    <t>[Clilverd, M. A.] British Antarctic Survey NERC, Cambridge, England; [Rodger, C. J.] Univ Otago, Dept Phys, Dunedin, New Zealand; [Andersson, M. E.; Seppala, A.; Verronen, P. T.] Finnish Meteorol Inst, Helsinki, Finland</t>
  </si>
  <si>
    <t>UK Research &amp; Innovation (UKRI); Natural Environment Research Council (NERC); NERC British Antarctic Survey; University of Otago; Finnish Meteorological Institute</t>
  </si>
  <si>
    <t>Clilverd, MA (corresponding author), British Antarctic Survey NERC, Cambridge, England.</t>
  </si>
  <si>
    <t>macl@bas.ac.uk; craig.rodger@otago.ac.nz; Monika.Andersson@fmi.fi; Annika.Seppala@fmi.fi; Pekka.Verronen@fmi.fi</t>
  </si>
  <si>
    <t>Seppälä, Annika/C-8031-2014; Szelag, Monika Ewa/AAH-3529-2019; Rodger, Craig/A-1501-2011; Verronen, Pekka T/G-6658-2014</t>
  </si>
  <si>
    <t>Seppälä, Annika/0000-0002-5028-8220; Szelag, Monika Ewa/0000-0002-8501-3366; Rodger, Craig J./0000-0002-6770-2707</t>
  </si>
  <si>
    <t>WOS:000428855400016</t>
  </si>
  <si>
    <t>Wall-Palmer, D; Burridge, AK; Peijnenburg, KTCA</t>
  </si>
  <si>
    <t>Wall-Palmer, Deborah; Burridge, Alice K.; Peijnenburg, Katja T. C. A.</t>
  </si>
  <si>
    <t>Atlanta ariejansseni, a new species of shelled heteropod from the Southern Subtropical Convergence Zone (Gastropoda, Pterotracheoidea)</t>
  </si>
  <si>
    <t>ZOOKEYS</t>
  </si>
  <si>
    <t>Atlantidae; biogeography; DNA barcoding; shelled heteropod; southern subtropical convergence zone</t>
  </si>
  <si>
    <t>OCEAN ACIDIFICATION; PTEROPODS</t>
  </si>
  <si>
    <t>The Atlantidae (shelled heteropods) is a family of microscopic aragonite shelled holoplanktonic gastropods with a wide biogeographical distribution in tropical, sub-tropical and temperate waters. The aragonite shell and surface ocean habitat of the atlantids makes them particularly susceptible to ocean acidification and ocean warming, and atlantids are likely to be useful indicators of these changes. However, we still lack fundamental information on their taxonomy and biogeography, which is essential for monitoring the effects of a changing ocean. Integrated morphological and molecular approaches to taxonomy have been employed to improve the assessment of species boundaries, which give a more accurate picture of species distributions. Here a new species of atlantid heteropod is described based on shell morphology, DNA barcoding of the Cytochrome Oxidase I gene, and biogeography. All specimens of Atlanta ariejansseni sp. n. were collected from the Southern Subtropical Convergence Zone of the Atlantic and Indo-Pacific oceans suggesting that this species has a very narrow latitudinal distribution (37-48 degrees S). Atlanta ariejansseni sp. n. was found to be relatively abundant (up to 2.3 specimens per 1000 m(3) water) within this narrow latitudinal range, implying that this species has adapted to the specific conditions of the Southern Subtropical Convergence Zone and has a high tolerance to the varying ocean parameters in this region.</t>
  </si>
  <si>
    <t>[Wall-Palmer, Deborah] Univ Plymouth, Sch Geog Earth &amp; Environm Sci, Plymouth PL4 8AA, Devon, England; [Wall-Palmer, Deborah; Burridge, Alice K.; Peijnenburg, Katja T. C. A.] Nat Biodivers Ctr, Darwinweg 2, NL-2333 CR Leiden, Netherlands; [Burridge, Alice K.; Peijnenburg, Katja T. C. A.] Univ Amsterdam, IBED, POB 94248, NL-1090 GE Amsterdam, Netherlands</t>
  </si>
  <si>
    <t>University of Plymouth; Naturalis Biodiversity Center; University of Amsterdam</t>
  </si>
  <si>
    <t>Wall-Palmer, D (corresponding author), Univ Plymouth, Sch Geog Earth &amp; Environm Sci, Plymouth PL4 8AA, Devon, England.;Wall-Palmer, D (corresponding author), Nat Biodivers Ctr, Darwinweg 2, NL-2333 CR Leiden, Netherlands.</t>
  </si>
  <si>
    <t>deborah.wall-palmer@plymouth.ac.uk</t>
  </si>
  <si>
    <t>Wall-Palmer, Deborah/0000-0003-2356-6122</t>
  </si>
  <si>
    <t>Australian Antarctic Division [1156]; UK Natural Environment Research Council; National Oceanography Centre, Southampton; AMT programme [302]; Leverhulme Trust [RPG-2013-363]; Naturalis Biodiversity Center, Leiden</t>
  </si>
  <si>
    <t>Australian Antarctic Division; UK Natural Environment Research Council(UK Research &amp; Innovation (UKRI)Natural Environment Research Council (NERC)); National Oceanography Centre, Southampton; AMT programme; Leverhulme Trust(Leverhulme Trust); Naturalis Biodiversity Center, Leiden</t>
  </si>
  <si>
    <t>We are grateful to Donna Roberts (University of Tasmania) for providing specimens from sediment traps from off-shore of Tasmania. The Australian Antarctic Division supports this ongoing sediment trap program (AAS # 1156). We would like to thank Elaine Fileman and Rachel Harmer (Plymouth Marine Laboratory) for providing specimens from AMT20. We are grateful to Aline Nieman, Kevin Beentjes and Frank Stokvis (Naturalis Biodiversity Center) for help with DNA barcoding of specimens and Erica Goetze and Rachel Harmer for plankton collection on cruises AMT20, AMT24 and DRFT. We would like to acknowledge the Plymouth Electron Microscopy Centre and Glenn Harper for help with SEM imaging, the scientists and crew who took part in cruises AMT20, AMT24 and DRFT, and the Atlantic Meridional Transect (AMT) programme. This study is a contribution to the international IMBER project and was supported by the UK Natural Environment Research Council National Capability funding to Plymouth Marine Laboratory and the National Oceanography Centre, Southampton. This is contribution number 302 of the AMT programme. We acknowledge Diamond Light Source for time on Beamline/Lab I13-2 under Proposal MT12300-1 and Christophe Rau and Andrew Bodey for help with x-ray tomography. We are extremely grateful to Maria Moreno-Alcantara and Nathalie Yonow for reviewing our manuscript and for their constructive comments. DW-P was funded by the Leverhulme Trust (RPG-2013-363, 2014-2017, PA Christopher Smart, Plymouth University, Co-A Richard Kirby, Marine Biological Association, Plymouth) and a Martin-Fellowship from the Naturalis Biodiversity Center, Leiden (2015).</t>
  </si>
  <si>
    <t>PENSOFT PUBLISHERS</t>
  </si>
  <si>
    <t>12 PROF GEORGI ZLATARSKI ST, SOFIA, 1700, BULGARIA</t>
  </si>
  <si>
    <t>1313-2989</t>
  </si>
  <si>
    <t>1313-2970</t>
  </si>
  <si>
    <t>ZooKeys</t>
  </si>
  <si>
    <t>10.3897/zookeys.604.8976</t>
  </si>
  <si>
    <t>DQ9UP</t>
  </si>
  <si>
    <t>WOS:000379555100002</t>
  </si>
  <si>
    <t>Ashworth, AC; Erwin, TL</t>
  </si>
  <si>
    <t>Ashworth, Allan C.; Erwin, Terry L.</t>
  </si>
  <si>
    <t>Antarctotrechus balli sp n. (Carabidae, Trechini): the first ground beetle from Antarctica</t>
  </si>
  <si>
    <t>Trechini; Carabidae; Antarctica; Miocene</t>
  </si>
  <si>
    <t>PLIOCENE SIRIUS GROUP; TRANSANTARCTIC MOUNTAINS; COLEOPTERA; MARINE; RANGE</t>
  </si>
  <si>
    <t>Fossil elytra of a small trechine carabid are reported from the Oliver Bluffs on the Beardmore Glacier at lat. 85 degrees S. They were compared with counterparts from the extant genera Trechisibus, Tasmanorites, Oxytrechus and Pseudocnides. The fossils share some characters but are sufficiently different to be described as a new genus and species. We named the new species Antarctotrechus balli in honour of George E. Ball who made major contributions to the study of carabids through his own research and the training of students while at the University of Alberta, Edmonton, Alberta, Canada. The closest extant relatives to the extinct A. balli are species of Trechisibus, which inhabit South America, the Falkland Islands and South Georgia, and Tasmanorites, which inhabit Tasmania, Australia. Plant fossils associated with A. balli included Nothofagus (southern beech), Ranunculus (buttercup), moss mats and cushion plants that were part of a tundra biome. Collectively, the stratigraphic relationships and the growth characteristics of the fossil plants indicate that A. balli inhabited the sparsely-vegetated banks of a stream that was part of an outwash plain at the head of a fjord in the Transantarctic Mountains. Other insects represented by fossils in the tundra biome include a listroderine weevil and a cyclorrhaphan fly. The age of the fossils, based on comparison of associated pollen with 40Ar/39Ar dated pollen assemblages from the McMurdo Dry Valleys, is probably Early to Mid-Miocene in the range 14-20 Ma. The tundra biome, including A. balli, became extinct in the interior of Antarctica about 14 Ma and on the margins of the continent by 10-13 Ma. A. balli confirms that trechines were once widely distributed in Gondwana. For A. balli and other elements of the tundra biome it appears they continued to inhabit a warmer Antarctica for many millions of years after rifting of Tasmania (45 Ma) and southern South America (31 Ma).</t>
  </si>
  <si>
    <t>[Ashworth, Allan C.] North Dakota State Univ, Dept Geosci, Quaternary Entomol Lab, Fargo, ND 58108 USA; [Erwin, Terry L.] Natl Museum Nat Hist, Smithsonian Inst, Hyper Divers Grp, Dept Entomol, MRC 187,POB 37012, Washington, DC 20013 USA</t>
  </si>
  <si>
    <t>North Dakota State University Fargo; Smithsonian Institution; Smithsonian National Museum of Natural History</t>
  </si>
  <si>
    <t>Ashworth, AC (corresponding author), North Dakota State Univ, Dept Geosci, Quaternary Entomol Lab, Fargo, ND 58108 USA.</t>
  </si>
  <si>
    <t>allan.ashworth@ndsu.edu</t>
  </si>
  <si>
    <t>NSF [9615252, 0947821]; Directorate For Geosciences; Office of Polar Programs (OPP) [9615252] Funding Source: National Science Foundation; Office of Polar Programs (OPP); Directorate For Geosciences [0947821] Funding Source: National Science Foundation</t>
  </si>
  <si>
    <t>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</si>
  <si>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extend hearty thanks to Karolyn Darrow of the Department of Entomology at the Smithsonian Institution for elytron images and outline drawings of adults of extant three species of Trechisibus. We also warmly thank David Maddison for assistance in understanding the southern trechine complexity. ACA acknowledges the logistics support of the US Antarctic program for the field study on the Beardmore Glacier and colleagues who assisted in the field study: David Cantrill, Jane Francis, Forrest McCarthy, Marty Reed and Steve Roof. The research was supported by NSF grants 9615252 and 0947821.</t>
  </si>
  <si>
    <t>10.3897/zookeys.635.10535</t>
  </si>
  <si>
    <t>ED0BV</t>
  </si>
  <si>
    <t>WOS:000388508900006</t>
  </si>
  <si>
    <t>Shi, WJ; Xiao, ZN; Xue, JJ</t>
  </si>
  <si>
    <t>Shi, Wenjing; Xiao, Ziniu; Xue, Jianjun</t>
  </si>
  <si>
    <t>Teleconnected influence of the boreal winter Antarctic Oscillation on the Somali Jet: Bridging role of sea surface temperature in southern high and middle latitudes</t>
  </si>
  <si>
    <t>ADVANCES IN ATMOSPHERIC SCIENCES</t>
  </si>
  <si>
    <t>Antarctic Oscillation; Somali Jet intensity; teleconnection influence; sea surface temperature; longwave radiation flux</t>
  </si>
  <si>
    <t>ASIAN SUMMER MONSOON; HEMISPHERE ANNULAR MODE; DATA ASSIMILATION ANALYSIS; CROSS-EQUATORIAL FLOWS; UPPER OCEAN 1950-95; INDIAN-OCEAN; INTERANNUAL VARIABILITY; RIVER VALLEY; PART II; PRECIPITATION</t>
  </si>
  <si>
    <t>The teleconnection impact of the boreal winter Antarctic Oscillation (AAO) on the Somali Jet (SMJ) intensity in the following spring and summer is examined in this paper. The variability of the boreal winter AAO is positively related to the SMJ intensity in both spring and summer. The analyses show that the SST in southern high and middle latitudes seems to serve as a bridge linking these two systems. When the AAO is in strong positive phase, SST over the Southern Ocean cools in the high latitudes and warms in the middle latitudes, which persists into summer; however, the variability of SST in southern high and middle latitudes is also closely correlated to SMJ intensity. A possible mechanism that links SST variability with the AAO-SMJ relationship is also discussed. The AAO in boreal winter produces an SST anomaly pattern in southern high and middle latitudes through the air-sea coupling. This AAOrelated SST anomaly pattern modulates the local Ferrel cell anomaly in summer, followed by the regional Hadley cell anomaly in tropics. The anomalous vertical motion in tropics then changes the land-sea thermal contrast between the tropical Indian Ocean and the Asian continent through the variability of low cloud cover and downward surface longwave radiation flux. Finally, the land-sea thermal contrast anomaly between the tropical Indian Ocean and the Asian continent changes the SMJ intensity. The results from Community Atmosphere Model experiments forced by the SST anomaly in southern high and middle latitudes also confirm this diagnostic physical process to some extent.</t>
  </si>
  <si>
    <t>[Shi, Wenjing; Xiao, Ziniu] Nanjing Univ Informat Sci &amp; Technol, Dept Atmospher Sci, Nanjing 210044, Jiangsu, Peoples R China; [Shi, Wenjing; Xiao, Ziniu] Chinese Acad Sci, Inst Atmospher Phys, State Key Lab Numer Modeling Atmospher Sci &amp; Geop, Beijing 100029, Peoples R China; [Xue, Jianjun] China Metrol Adm, Training Ctr, Beijing 100081, Peoples R China; [Shi, Wenjing] Univ Wisconsin, Cooperat Inst Meteorol Satellite Studies, Madison, WI 53706 USA</t>
  </si>
  <si>
    <t>Nanjing University of Information Science &amp; Technology; Chinese Academy of Sciences; Institute of Atmospheric Physics, CAS; China Meteorological Administration; University of Wisconsin System; University of Wisconsin Madison</t>
  </si>
  <si>
    <t>Xiao, ZN (corresponding author), Nanjing Univ Informat Sci &amp; Technol, Dept Atmospher Sci, Nanjing 210044, Jiangsu, Peoples R China.</t>
  </si>
  <si>
    <t>xiaozn@lasg.iap.ac.cn</t>
  </si>
  <si>
    <t>XIAO, ZINIU/AAL-3046-2020; shi, wenjing/JWO-9770-2024</t>
  </si>
  <si>
    <t>Xue, Jianjun/0000-0001-5677-1507</t>
  </si>
  <si>
    <t>National Natural Science Foundation of China [41175051, 41490642]; National Basic Research and Development (973) Program of China [2012CB957804]; Postgraduate Science and Technology Innovation Project of Jiangsu Province [CXZZ13_0517]; China Scholarship Council (CSC); Center for Climatic Research at the University of Wisconsin-Madison, USA</t>
  </si>
  <si>
    <t>National Natural Science Foundation of China(National Natural Science Foundation of China (NSFC)); National Basic Research and Development (973) Program of China(National Basic Research Program of China); Postgraduate Science and Technology Innovation Project of Jiangsu Province; China Scholarship Council (CSC)(China Scholarship Council); Center for Climatic Research at the University of Wisconsin-Madison, USA</t>
  </si>
  <si>
    <t>We would like to thank the editor and two anonymous reviewers for improving the original manuscript. This work was jointly supported by the National Natural Science Foundation of China (Grant Nos. 41175051 and 41490642), the National Basic Research and Development (973) Program of China (Grant No. 2012CB957804), and the Postgraduate Science and Technology Innovation Project of Jiangsu Province (Grant No. CXZZ13_0517). SHI Wenjing also acknowledges the financial support of the China Scholarship Council (CSC) and constructive suggestions from Drs. Jun LI and Yun LIU, who work at the Cooperative Institute for Meteorological Satellite Studies and the Center for Climatic Research at the University of Wisconsin-Madison, USA, respectively.</t>
  </si>
  <si>
    <t>0256-1530</t>
  </si>
  <si>
    <t>1861-9533</t>
  </si>
  <si>
    <t>ADV ATMOS SCI</t>
  </si>
  <si>
    <t>Adv. Atmos. Sci.</t>
  </si>
  <si>
    <t>10.1007/s00376-015-5094-7</t>
  </si>
  <si>
    <t>CX4XK</t>
  </si>
  <si>
    <t>WOS:000365703700005</t>
  </si>
  <si>
    <t>Buchanan, PJ; Beckley, LE</t>
  </si>
  <si>
    <t>Buchanan, P. J.; Beckley, L. E.</t>
  </si>
  <si>
    <t>Chaetognaths of the Leeuwin Current system: oceanographic conditions drive epi-pelagic zoogeography in the south-east Indian Ocean</t>
  </si>
  <si>
    <t>Zooplankton; Ocean current; Marine zoogeography; Bioregion; Australian marine communities</t>
  </si>
  <si>
    <t>WESTERN-AUSTRALIA; SHELF WATERS; NUTRIENT DYNAMICS; BOUNDARY CURRENT; LARVAL FISHES; COAST; EDDIES; COMMUNITY; ASSEMBLAGES; VARIABILITY</t>
  </si>
  <si>
    <t>Chaetognaths are ubiquitous marine zooplankton strongly influenced by oceanographic conditions. Epi-pelagic plankton samples taken across the Leeuwin Current system, the poleward flowing eastern boundary current of the Indian Ocean, were examined for chaetognath diversity and distribution. Sampling occurred at shelf, shelf break, and oceanic environments at each degree of latitude from 22 to 34 degrees S. Nineteen species were identified, of which six are new records for the region with one an undescribed species. Low-moderate abundances (19.0 +/- 2.4 individuals m(-3)) were observed compared with other eastern boundary currents and can be attributed to the unique oligotrophic nature of the system. The anomalous oceanography of the Leeuwin Current resulted in two distinct zoogeographic regions with distributions of tropical and temperate species separated around 28 degrees S. Here, tropical waters transitioned to cooler, saltier waters and multivariate analyses identified temperature and salinity as the best indicators of community change. Community variation across the continental shelf was largely driven by one species, Flaccisagittaenflata, which was numerically dominant. Despite spatial variations, widely distributed species caused high overall community similarity. As the first system-wide investigation of Leeuwin Current Chaetognatha, this study provides benchmark biological information and highlights an unusual oceanography that produces a distinct planktonic zoogeography.</t>
  </si>
  <si>
    <t>[Buchanan, P. J.; Beckley, L. E.] Murdoch Univ, Sch Vet &amp; Life Sci, Murdoch, WA 6150, Australia</t>
  </si>
  <si>
    <t>Murdoch University</t>
  </si>
  <si>
    <t>Buchanan, PJ (corresponding author), Univ Tasmania, Inst Marine &amp; Antarctic Studies, Hobart, Tas 7005, Australia.</t>
  </si>
  <si>
    <t>pearse.buchanan@utas.edu.au</t>
  </si>
  <si>
    <t>Buchanan, Pearse/O-1242-2019; Buchanan, Pearse/JZE-1421-2024</t>
  </si>
  <si>
    <t>Buchanan, Pearse/0000-0001-7142-882X;</t>
  </si>
  <si>
    <t>Commonwealth Scientific and Industrial Research Organization (CSIRO) Wealth from Oceans Flagship, the Western Australian Marine Science Institution and Murdoch University</t>
  </si>
  <si>
    <t>We thank the officers, crew and scientific complement of the RV Southern Surveyor, especially the voyage leader Dr Peter Thompson, for their contributions during the voyage, without which these plankton samples would not have been available for investigation. We are grateful to Dr Fiona Valesini for her advice regarding data analysis. The research voyage was made possible with support from the Marine National Facility (MNF) for vessel time, the Commonwealth Scientific and Industrial Research Organization (CSIRO) Wealth from Oceans Flagship, the Western Australian Marine Science Institution and Murdoch University.</t>
  </si>
  <si>
    <t>10.1007/s10750-015-2364-4</t>
  </si>
  <si>
    <t>CX5FD</t>
  </si>
  <si>
    <t>WOS:000365726600007</t>
  </si>
  <si>
    <t>González, L</t>
  </si>
  <si>
    <t>Gonzalez, Laura</t>
  </si>
  <si>
    <t>Spatial and temporal distribution of Neoparamoeba perurans in a tank recirculation system during experimental AGD challenge</t>
  </si>
  <si>
    <t>AQUACULTURE</t>
  </si>
  <si>
    <t>Neoparamoeba perurans; Experimental infection; Water recirculation systems; Quantitative real-time PCR</t>
  </si>
  <si>
    <t>AMEBIC-GILL-DISEASE; SALMO-SALAR L.; ATLANTIC SALMON; AGENT; PCR; INFECTION; PAGE</t>
  </si>
  <si>
    <t>Amoebic gill disease (AGD) is the major disease negatively impacting Atlantic salmon aquaculture in Tasmania, Australia. From an epidemiological perspective, it is essential to determine the reservoirs of AGD etiological agent Neoparamoeba perurans. During tank-based experimental infections it was demonstrated that the concentration of N. perurans was significantly higher in the water column (13 +/- 7 cells/L after 22 days) than on the interface surface air-water-tank (0.01 +/- 0.1 cells/L) in a recirculation system with Atlantic salmon in a stocking density of 7.5 kg/m(3) and weekly water changes. These are lower numbers compared to those found on farmed Atlantic salmon chronically affected with AGD that can reach 100 times more cells/swab. This suggests that fish themselves and not water are reservoirs of this pathogen. A similar concentration was observed in a different system, the recirculating seawater system where N. perurans infection is perpetuated with 1.7 kg/m(3) stocking density of Atlantic salmon but no water changes. This suggests that a critical maximum concentration of the amoeba in seawater and time exposure for fish are what need to be corroborated in field studies. Statement of relevance Reservoirs of the pathogenic N. perurans in recirculation systems. (C) 2015 Elsevier B.V. All rights reserved.</t>
  </si>
  <si>
    <t>Univ Tasmania, Inst Marine &amp; Antarctic Studies, Launceston, Tas 7250, Australia</t>
  </si>
  <si>
    <t>González, L (corresponding author), Univ Tasmania, Inst Marine &amp; Antarctic Studies, Launceston, Tas 7250, Australia.</t>
  </si>
  <si>
    <t>l.laura.gonzalez@gmail.com</t>
  </si>
  <si>
    <t>; Nowak, Barbara/J-7261-2014</t>
  </si>
  <si>
    <t>Gonzalez-Poblete, Laura/0000-0001-9964-2721; Nowak, Barbara/0000-0002-0347-643X</t>
  </si>
  <si>
    <t>BecasChile scholarship [72090099]</t>
  </si>
  <si>
    <t>BecasChile scholarship</t>
  </si>
  <si>
    <t>This research was part of LG's PhD study at the University of Tasmania, Launceston Campus, Australia supported by BecasChile scholarship (Grant 72090099).</t>
  </si>
  <si>
    <t>0044-8486</t>
  </si>
  <si>
    <t>1873-5622</t>
  </si>
  <si>
    <t>Aquaculture</t>
  </si>
  <si>
    <t>10.1016/j.aquaculture.2015.08.020</t>
  </si>
  <si>
    <t>CW2WO</t>
  </si>
  <si>
    <t>WOS:000364854000050</t>
  </si>
  <si>
    <t>Rozadilla, S; Agnolin, FL; Novas, FE; Rolando, AMA; Motta, MJ; Lirio, JM; Isasi, MP</t>
  </si>
  <si>
    <t>Rozadilla, Sebastian; Agnolin, Federico L.; Novas, Fernando E.; Aranciaga Rolando, Alexis M.; Motta, Matias J.; Lirio, Juan M.; Isasi, Marcelo P.</t>
  </si>
  <si>
    <t>A new ornithopod (Dinosauria, Ornithischia) from the Upper Cretaceous of Antarctica and its palaeobiogeographical implications</t>
  </si>
  <si>
    <t>CRETACEOUS RESEARCH</t>
  </si>
  <si>
    <t>Ornithopoda; Euiguanodontia; Palaeobiogeography; Antarctica; Gondwana; Weddelian Province</t>
  </si>
  <si>
    <t>JAMES-ROSS-ISLAND; MAIASAURA-PEEBLESORUM; THEROPOD DINOSAUR; PATAGONIA; REAPPRAISAL; AUSTRALIA; EVOLUTION; NEUQUEN; BASIN</t>
  </si>
  <si>
    <t>A new ornithopod dinosaur from the Upper Cretaceous (Maastrichtian) Snow Hill Island Formation, at James Ross Island, Antarctica is here described. This new taxon, named as Morrosaurus antarcticus gen. et sp. nov., is represented by a fragmentary right hind limb belonging to a medium-sized individual. Our phylogenetic analysis nests the new taxon in a monophyletic clade of Southern Hemisphere omithopods that includes most Patagonian and Antarctic ornithopods. Several members of this group share a slender and bunched foot with narrow metatarsal IV, expanded chevrons, and bowed humerus without deltopectoral crest. Several features indicate that these omithopods exhibit adaptations for a specialized cursorial mode of life. The recognition of Patagonian and Antarctic Omithopoda belonging to a monophyletic clade reinforces palaeobiogeographical signals indicating that Patagonia, Antarctica and Australia shared a common Late Cretaceous terrestrial fauna. (C) 2015 Elsevier Ltd. All rights reserved.</t>
  </si>
  <si>
    <t>[Rozadilla, Sebastian; Agnolin, Federico L.; Novas, Fernando E.; Aranciaga Rolando, Alexis M.; Motta, Matias J.; Isasi, Marcelo P.] Museo Argentino Ciencias Nat Bernardino Rivadavia, Lab Anat Comparada &amp; Evoluc Vertebrados, RA-C1405DJR Buenos Aires, DF, Argentina; [Agnolin, Federico L.] Univ Maimenides, Fdn Hist Nat Felix de Azara, RA-1405 Buenos Aires, DF, Argentina; [Novas, Fernando E.] Consejo Nacl Invest Cient &amp; Tecn, RA-1033 Buenos Aires, DF, Argentina; [Lirio, Juan M.] Inst Antartico Argentino, Buenos Aires, DF, Argentina</t>
  </si>
  <si>
    <t>Museo Argentino de Ciencias Naturales Bernardino Rivadavia (MACN); Consejo Nacional de Investigaciones Cientificas y Tecnicas (CONICET); Instituto Antartico Argentino</t>
  </si>
  <si>
    <t>Rozadilla, S (corresponding author), Museo Argentino Ciencias Nat Bernardino Rivadavia, Lab Anat Comparada &amp; Evoluc Vertebrados, Ave Angel Gallardo 470, RA-C1405DJR Buenos Aires, DF, Argentina.</t>
  </si>
  <si>
    <t>sebastianrozadilla@gmail.com</t>
  </si>
  <si>
    <t>ACADEMIC PRESS LTD- ELSEVIER SCIENCE LTD</t>
  </si>
  <si>
    <t>24-28 OVAL RD, LONDON NW1 7DX, ENGLAND</t>
  </si>
  <si>
    <t>0195-6671</t>
  </si>
  <si>
    <t>1095-998X</t>
  </si>
  <si>
    <t>CRETACEOUS RES</t>
  </si>
  <si>
    <t>Cretac. Res.</t>
  </si>
  <si>
    <t>10.1016/j.cretres.2015.09.009</t>
  </si>
  <si>
    <t>CW5SA</t>
  </si>
  <si>
    <t>WOS:000365055700026</t>
  </si>
  <si>
    <t>Ceia, FR; Ramos, JA; Phillips, RA; Cherel, Y; Jones, DC; Vieira, RP; Xavier, JC</t>
  </si>
  <si>
    <t>Ceia, Filipe R.; Ramos, Jaime A.; Phillips, Richard A.; Cherel, Yves; Jones, Daniel C.; Vieira, Rui P.; Xavier, Jose C.</t>
  </si>
  <si>
    <t>Analysis of stable isotope ratios in blood of tracked wandering albatrosses fails to distinguish a 13C gradient within their winter foraging areas in the southwest Atlantic Ocean</t>
  </si>
  <si>
    <t>RAPID COMMUNICATIONS IN MASS SPECTROMETRY</t>
  </si>
  <si>
    <t>ANTARCTIC CIRCUMPOLAR CURRENT; SOUTHERN-OCEAN; NORTHEAST ATLANTIC; FEEDING ECOLOGY; FOOD WEBS; SEABIRDS; SIGNATURES; ECOSYSTEM; VARIABILITY; CONSISTENCY</t>
  </si>
  <si>
    <t>RationaleThe main limitation of isotopic tracking for inferring distribution is the lack of detailed reference maps of the isotopic landscape (i.e. isoscapes) in the marine environment. Here, we attempt to map the marine C-13 isoscape for the southwestern sector of the Atlantic Ocean, and assess any temporal variation using the wandering albatross as a model species. MethodsTracking data and blood and diet samples were collected monthly from wandering albatrosses rearing chicks at Bird Island, South Georgia, during the austral winter between May and October 2009. The C-13 and N-15 values were measured by mass spectrometry in plasma and blood cells, and related to highly accurate data on individual movements and feeding activity obtained using three types of device: GPS, activity (immersion) loggers and stomach temperature probes. ResultsThe tracked birds foraged in waters to the north or northwest of South Georgia, including the Patagonian shelf-break, as far as 2000km from the colony. The foraging region encompassed the two main fronts in the Southern Ocean (Polar and Subantarctic fronts). The C-13 values varied by only 2.1 in plasma and 2.5 parts per thousand in blood cells, and no relationships were found between the C-13 values in plasma and the mean latitude or longitude of landings or feeding events of each individual. ConclusionsThe failure to distinguish a major biogeographic gradient in C-13 values suggest that these values in the south Atlantic Ocean are fairly homogeneous. There was no substantial variation among months in either the C-13 or the N-15 values of plasma or blood cells of tracked birds. As birds did not show a significant change in diet composition or foraging areas during the study period, these results provide no evidence for major temporal variation in stable isotope ratios in consumer tissues, or in the regional marine isoscape in the austral winter of 2009. Copyright (c) 2015 John Wiley &amp; Sons, Ltd.</t>
  </si>
  <si>
    <t>[Ceia, Filipe R.; Ramos, Jaime A.; Vieira, Rui P.; Xavier, Jose C.] Univ Coimbra, Dept Life Sci, MARE Marine &amp; Environm Sci Ctr, P-3004517 Coimbra, Portugal; [Phillips, Richard A.; Jones, Daniel C.; Xavier, Jose C.] NERC, British Antarctic Survey, Cambridge CB3 0ET, England; [Cherel, Yves] Univ La Rochelle, UPR CNRS 7372, Ctr Etudes Biol Chize, F-79360 Villiers En Bois, France; [Vieira, Rui P.] Univ Aveiro, Dept Biol, P-3810193 Aveiro, Portugal; [Vieira, Rui P.] Univ Aveiro, CESAM, P-3810193 Aveiro, Portugal; [Vieira, Rui P.] Natl Oceanog Ctr, Ocean &amp; Earth Sci, Southampton SO14 3ZH, Hants, England</t>
  </si>
  <si>
    <t>Universidade de Coimbra; UK Research &amp; Innovation (UKRI); Natural Environment Research Council (NERC); NERC British Antarctic Survey; La Rochelle Universite; Universidade de Aveiro; Universidade de Aveiro; NERC National Oceanography Centre</t>
  </si>
  <si>
    <t>Ceia, FR (corresponding author), Univ Coimbra, Dept Life Sci, MARE Marine &amp; Environm Sci Ctr, P-3004517 Coimbra, Portugal.</t>
  </si>
  <si>
    <t>ceiafilipe@zoo.uc.pt</t>
  </si>
  <si>
    <t>Xavier, José/KFB-6739-2024; Ramos, Jaime A./B-6616-2018; Ceia, Filipe R./A-2196-2012; Vieira, Rui/R-6881-2019; Vieira, Rui Pedro/G-1738-2012</t>
  </si>
  <si>
    <t>Ramos, Jaime A./0000-0002-9533-987X; Ceia, Filipe R./0000-0002-5470-5183; Jones, Dani/0000-0002-8701-4506; /0000-0002-9621-6660; Vieira, Rui Pedro/0000-0001-8491-2565</t>
  </si>
  <si>
    <t>Foundation for Science and Technology (FCT - Portugal); European Social Fund (POPH, EU) [PTDC/BIA-BDE/64539/2006, SFRH/BPD/95372/2013]; Centre d'Etudes Biologiques de Chize (France); British Antarctic Survey (UK); Caixa Geral de Depositos Grant Program Nova Geracao de Cientistas Polares; FCT - Portugal [SFRH/BD/84030/2012, PEst-C/MAR/LA0017/2013]; European Funds through COMPETE; FCT Investigator Grant; Natural Environment Research Council (NERC UK) [NE/J007757/1]; Fundação para a Ciência e a Tecnologia [PTDC/BIA-BDE/64539/2006, SFRH/BD/84030/2012] Funding Source: FCT; NERC [bas0100033, NE/J007757/1, bas0100035] Funding Source: UKRI; Natural Environment Research Council [bas0100033, NE/J007757/1, bas0100035] Funding Source: researchfish</t>
  </si>
  <si>
    <t>Foundation for Science and Technology (FCT - Portugal)(Fundacao para a Ciencia e a Tecnologia (FCT)); European Social Fund (POPH, EU); Centre d'Etudes Biologiques de Chize (France); British Antarctic Survey (UK); Caixa Geral de Depositos Grant Program Nova Geracao de Cientistas Polares; FCT - Portugal(Fundacao para a Ciencia e a Tecnologia (FCT)); European Funds through COMPETE; FCT Investigator Grant(Fundacao para a Ciencia e a Tecnologia (FCT)); Natural Environment Research Council (NERC UK)(UK Research &amp; Innovation (UKRI)Natural Environment Research Council (NERC)); Fundação para a Ciência e a Tecnologia(Fundacao para a Ciencia e a Tecnologia (FCT)); NERC(UK Research &amp; Innovation (UKRI)Natural Environment Research Council (NERC)); Natural Environment Research Council(UK Research &amp; Innovation (UKRI)Natural Environment Research Council (NERC))</t>
  </si>
  <si>
    <t>This research was co-sponsored by the Foundation for Science and Technology (FCT - Portugal) and the European Social Fund (POPH, EU) through a project grant (PTDC/BIA-BDE/64539/2006) and a post-doc grant to Filipe R. Ceia (SFRH/BPD/95372/2013), Centre d'Etudes Biologiques de Chize (France) and the British Antarctic Survey (UK). RPV was sponsored by the Caixa Geral de Depositos Grant Program Nova Geracao de Cientistas Polares and is currently supported by the doctoral grant from the FCT - Portugal (SFRH/BD/84030/2012) and a project (PEst-C/MAR/LA0017/2013) and partially by European Funds through COMPETE. JX is the recipient of a FCT Investigator Grant. DJ was suptported by the Natural Environment Research Council (NERC UK Grant No. NE/J007757/1). We thank D. Fox, E. Edwards and S. Adlard for help in the field, J.B. Sallee for generously sharing his PF and SAF data, and P. Richard and G. Guillou for running stable isotope samples.</t>
  </si>
  <si>
    <t>0951-4198</t>
  </si>
  <si>
    <t>1097-0231</t>
  </si>
  <si>
    <t>RAPID COMMUN MASS SP</t>
  </si>
  <si>
    <t>Rapid Commun. Mass Spectrom.</t>
  </si>
  <si>
    <t>DEC 30</t>
  </si>
  <si>
    <t>10.1002/rcm.7401</t>
  </si>
  <si>
    <t>Biochemical Research Methods; Chemistry, Analytical; Spectroscopy</t>
  </si>
  <si>
    <t>Biochemistry &amp; Molecular Biology; Chemistry; Spectroscopy</t>
  </si>
  <si>
    <t>CW3FC</t>
  </si>
  <si>
    <t>WOS:000364876400002</t>
  </si>
  <si>
    <t>Wanders, N; Wada, Y</t>
  </si>
  <si>
    <t>Wanders, Niko; Wada, Yoshihide</t>
  </si>
  <si>
    <t>Decadal predictability of river discharge with climate oscillations over the 20th and early 21st century</t>
  </si>
  <si>
    <t>GEOPHYSICAL RESEARCH LETTERS</t>
  </si>
  <si>
    <t>discharge; climate oscillations; ENSO; PDO; NAO; AAO</t>
  </si>
  <si>
    <t>WATER; RESOURCES</t>
  </si>
  <si>
    <t>Long-term hydrological forecasts are important to increase our resilience and preparedness to extreme hydrological events. The skill in these forecasts is still limited due to large uncertainties inherent in hydrological models and poor predictability of long-term meteorological conditions. Here we show that strong (lagged) correlations exist between four different major climate oscillation modes and modeled and observed discharge anomalies over a 100year period. The strongest correlations are found between the El Nino-Southern Oscillation signal and river discharge anomalies all year round, while North Atlantic Oscillation and Antarctic Oscillation time series are strongly correlated with winter discharge anomalies. The correlation signal is significant for periods up to 5years for some regions, indicating a high added value of this information for long-term hydrological forecasting. The results suggest that long-term hydrological forecasting could be significantly improved by including the climate oscillation signals and thus improve our preparedness for hydrological extremes in the near future.</t>
  </si>
  <si>
    <t>[Wanders, Niko] Princeton Univ, Dept Civil &amp; Environm Engn, Princeton, NJ 08544 USA; [Wanders, Niko; Wada, Yoshihide] Univ Utrecht, Dept Phys Geog, Utrecht, Netherlands; [Wada, Yoshihide] NASA, Goddard Inst Space Studies, New York, NY 10025 USA; [Wada, Yoshihide] Columbia Univ, Ctr Climate Syst Res, New York, NY USA</t>
  </si>
  <si>
    <t>Princeton University; Utrecht University; National Aeronautics &amp; Space Administration (NASA); NASA Goddard Space Flight Center; Goddard Institute for Space Studies; Columbia University</t>
  </si>
  <si>
    <t>Wanders, N (corresponding author), Princeton Univ, Dept Civil &amp; Environm Engn, Princeton, NJ 08544 USA.</t>
  </si>
  <si>
    <t>nwanders@princeton.edu</t>
  </si>
  <si>
    <t>Wada, Yoshihide/F-3595-2012; Wanders, Niko/AAJ-2334-2021</t>
  </si>
  <si>
    <t>Wada, Yoshihide/0000-0003-4770-2539; Wanders, Niko/0000-0002-7102-5454</t>
  </si>
  <si>
    <t>NWO [GO-AO/30]; NWO Rubicon [825.15.003]; JSPS [2014-878]</t>
  </si>
  <si>
    <t>NWO(Netherlands Organization for Scientific Research (NWO)); NWO Rubicon(Netherlands Organization for Scientific Research (NWO)); JSPS(Ministry of Education, Culture, Sports, Science and Technology, Japan (MEXT)Japan Society for the Promotion of Science)</t>
  </si>
  <si>
    <t>NW is funded by NWO GO-AO/30 and NWO Rubicon 825.15.003, Y.W. is funded by JSPS 2014-878. The authors would like to acknowledge Balazs Fekete and Cedric H. David for reviewing the original manuscript and for their constructive comments. The Princetonv3, GWSP3, WATCHv2, and WFDEI will become available from the ISI-MIP2.1 archive. The hydrological model PCR-GLOBWB is an open source hydrological model that can be obtained from Utrecht University (http://www.globalhydrology.nl/models/pcr-globwb-2-0/), and the discharge observations are obtained from Global Runoff Data Centre (http://www.bafg.de/GRDC/EN/Home/homepage_node. html).</t>
  </si>
  <si>
    <t>0094-8276</t>
  </si>
  <si>
    <t>1944-8007</t>
  </si>
  <si>
    <t>GEOPHYS RES LETT</t>
  </si>
  <si>
    <t>Geophys. Res. Lett.</t>
  </si>
  <si>
    <t>DEC 28</t>
  </si>
  <si>
    <t>10.1002/2015GL066929</t>
  </si>
  <si>
    <t>DC0WX</t>
  </si>
  <si>
    <t>WOS:000368939700048</t>
  </si>
  <si>
    <t>Chuter, SJ; Bamber, JL</t>
  </si>
  <si>
    <t>Chuter, S. J.; Bamber, J. L.</t>
  </si>
  <si>
    <t>Antarctic ice shelf thickness from CryoSat-2 radar altimetry</t>
  </si>
  <si>
    <t>ice shelves; CryoSat-2; Antarctica; cryosphere</t>
  </si>
  <si>
    <t>FILCHNER-RONNE ICE; DIGITAL ELEVATION MODEL; PINE ISLAND GLACIER; MARINE ICE; WEST ANTARCTICA; SATELLITE RADAR; GROUNDING ZONE; LASER DATA; BENEATH; SURFACE</t>
  </si>
  <si>
    <t>Ice shelf thickness for the whole of Antarctica is derived from 4years (2011-2014) of CryoSat-2 (CS2) radar altimetry measurements using the assumption that the shelves are in hydrostatic equilibrium. The satellite orbit and novel synthetic aperture radar interferometric mode of CS2 results in 92.3% data coverage over the ice shelves, with particular improvements around the grounding zone. When compared to ICESat data, surface elevations have a mean bias of less than 1m and a fourfold reduction in standard deviation compared with the previous data set. Over the Amery Ice Shelf there is a mean thickness difference of 3.3% between radio echo sounding measurements and the CS2-derived thicknesses, rising to 4.7% within 10km of the grounding line. Our new data set provides key improvements in accuracy and coverage, especially in the grounding zone, allowing for reduced uncertainties in mass budget calculations, subshelf ocean and ice sheet-shelf modeling.</t>
  </si>
  <si>
    <t>[Chuter, S. J.; Bamber, J. L.] Univ Bristol, Sch Geog Sci, Bristol Glaciol Ctr, Bristol, Avon, England</t>
  </si>
  <si>
    <t>Chuter, SJ (corresponding author), Univ Bristol, Sch Geog Sci, Bristol Glaciol Ctr, Bristol, Avon, England.</t>
  </si>
  <si>
    <t>s.chuter@bristol.ac.uk</t>
  </si>
  <si>
    <t>Bamber, Jonathan/C-7608-2011</t>
  </si>
  <si>
    <t>Bamber, Jonathan/0000-0002-2280-2819; Chuter, Stephen/0000-0002-2189-6235</t>
  </si>
  <si>
    <t>UK Natural Environment Research Council (NERC) [NE/I027401/1]; Natural Environment Research Council [1806998, NE/I027401/1] Funding Source: researchfish; NERC [NE/I027401/1] Funding Source: UKRI</t>
  </si>
  <si>
    <t>UK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</si>
  <si>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UK Natural Environment Research Council (NERC) grant NE/I027401/1. The European Space Agency (ESA) provided the CryoSat-2 data used for this research. ICESat data used were provided by NASA and are available from the National Snow and Ice Data Center. We thank M.A. Depoorter for the grounding line and ice shelf mask and F. Paolo for providing the Delta h/Delta t correction used in the elevation validation. We also thank S. Ligtenberg and P. Holland for providing the firn density correction. We also thank all of the RES data providers: NASA's Operation Ice Bridge, British Antarctic Survey, University of Texas Institute of Geophysics, and the Australian National Antarctic Research Expedition. We would like to thank the two anonymous reviewers for their comments when evaluating this paper.</t>
  </si>
  <si>
    <t>10.1002/2015GL066515</t>
  </si>
  <si>
    <t>WOS:000368939700034</t>
  </si>
  <si>
    <t>Bracegirdle, TJ; Stephenson, DB; Turner, J; Phillips, T</t>
  </si>
  <si>
    <t>Bracegirdle, Thomas J.; Stephenson, David B.; Turner, John; Phillips, Tony</t>
  </si>
  <si>
    <t>The importance of sea ice area biases in 21st century multimodel projections of Antarctic temperature and precipitation</t>
  </si>
  <si>
    <t>CMIP5; Antarctic; climate; sea ice; surface mass balance; emergent constraint</t>
  </si>
  <si>
    <t>CLIMATE-CHANGE; CIRCULATION; SENSITIVITY; EXTENT; CMIP5; MODEL</t>
  </si>
  <si>
    <t>Climate models exhibit large biases in sea ice area (SIA) in their historical simulations. This study explores the impacts of these biases on multimodel uncertainty in Coupled Model Intercomparison Project phase 5 (CMIP5) ensemble projections of 21st century change in Antarctic surface temperature, net precipitation, and SIA. The analysis is based on time slice climatologies in the Representative Concentration Pathway 8.5 future scenario (2070-2099) and historical (1970-1999) simulations across 37 different CMIP5 models. Projected changes in net precipitation, temperature, and SIA are found to be strongly associated with simulated historical mean SIA (e.g., cross-model correlations of r=0.77, 0.71, and -0.85, respectively). Furthermore, historical SIA bias is found to have a large impact on the simulated ratio between net precipitation response and temperature response. This ratio is smaller in models with smaller-than-observed SIA. These strong emergent relationships on SIA bias could, if found to be physically robust, be exploited to give more precise climate projections for Antarctica.</t>
  </si>
  <si>
    <t>[Bracegirdle, Thomas J.; Turner, John; Phillips, Tony] British Antarctic Survey, Cambridge CB3 0ET, England; [Stephenson, David B.] Univ Exeter, Dept Math &amp; Comp Sci, Exeter EX4 4QJ, Devon, England; [Stephenson, David B.] NCAS Climate, Reading, Berks, England</t>
  </si>
  <si>
    <t>UK Research &amp; Innovation (UKRI); Natural Environment Research Council (NERC); NERC British Antarctic Survey; University of Exeter; UK Research &amp; Innovation (UKRI); Natural Environment Research Council (NERC); NERC National Centre for Atmospheric Science; University of Reading</t>
  </si>
  <si>
    <t>Bracegirdle, TJ (corresponding author), British Antarctic Survey, Cambridge CB3 0ET, England.</t>
  </si>
  <si>
    <t>tjbra@bas.ac.uk</t>
  </si>
  <si>
    <t>Bracegirdle, Tom/AAD-6060-2020; Stephenson, David B/A-9903-2011</t>
  </si>
  <si>
    <t>Bracegirdle, Thomas/0000-0002-8868-4739</t>
  </si>
  <si>
    <t>UK Natural Environment Research Council [NE/K00445X/1]; NERC [bas0100032, NE/K00445X/1] Funding Source: UKRI; Natural Environment Research Council [bas0100032, NE/K00445X/1] Funding Source: researchfish</t>
  </si>
  <si>
    <t>We acknowledge the World Climate Research Programme's Working Group on Coupled Modelling, which is responsible for CMIP, and we thank the climate modeling groups (listed in Table S1 of this paper) for producing and making available their model output. For CMIP the U.S. Department of Energy's Program for Climate Model Diagnosis and Intercomparison provided the coordinating support and led development of software infrastructure in partnership with the Global Organization for Earth System Science Portals. The original CMIP5 data can be accessed through the ESGF data portals (see http://pcmdi-cmip.llnl.gov/cmip5/availability.html). This study is part of the British Antarctic Survey Polar Science for Planet Earth Programme. It was funded by The UK Natural Environment Research Council (grant reference NE/K00445X/1). We would like to thank Paul Holland for his useful discussions and comments on an earlier version of this manuscript.</t>
  </si>
  <si>
    <t>10.1002/2015GL067055</t>
  </si>
  <si>
    <t>Green Accepted, Green Published, Bronze</t>
  </si>
  <si>
    <t>WOS:000368939700024</t>
  </si>
  <si>
    <t>Lübken, FJ; Höffner, J; Viehl, TP; Becker, E; Latteck, R; Kaifler, B; Murphy, DJ; Morris, RJ</t>
  </si>
  <si>
    <t>Luebken, F. -J.; Hoeffner, J.; Viehl, T. P.; Becker, E.; Latteck, R.; Kaifler, B.; Murphy, D. J.; Morris, R. J.</t>
  </si>
  <si>
    <t>Winter/summer transition in the Antarcticmesopause region</t>
  </si>
  <si>
    <t>JOURNAL OF GEOPHYSICAL RESEARCH-ATMOSPHERES</t>
  </si>
  <si>
    <t>MESOPAUSE TEMPERATURE; GRAVITY-WAVES; HEMISPHERIC-DIFFERENCES; RADAR MEASUREMENTS; SUMMER; MESOSPHERE; LIDAR; 77.8-DEGREES-S; DAVIS; WIND</t>
  </si>
  <si>
    <t>A new set of temperature data with unprecedented resolution and accuracy has been obtained from Fe lidar measurements at Davis, Antarctica (69 degrees S). Here we concentrate on the months of the winter/summer transition (November to February) where we have collected a total of 1305 h of observations in the three seasons 2010/2011, 2011/2012, and 2012/2013. The temporal development of temperatures around the mesopause in 2012/2013 is rather similar to the Northern Hemisphere (NH), whereas the other seasons are significantly different, exhibiting, e.g., an unusual higher and colder mesopause around solstice (elevated summer mesopause). During this exceptional period mean daily mesopause heights and temperatures are approximately 92.0 +/- 0.5 km and 125 K, respectively. The seasonal variation of temperatures in the mesopause region is closely related to the circulation in the stratosphere which exhibits an early (late) vortex breakdown in 2012/2013 (2010/2011). The situation is more complicated in 2011/2012. The early (late) transition in the mesopause region is accompanied by an early (late) appearance of polar mesosphere summer echoes. Zonal winds as measured by an MF radar also show systematic differences with westward winds reaching up to very high altitudes (nearly 100 km) for the late transition in 2010/2011 and to more common heights (similar to 90 km) for the early transition in 2012/2013. A mesopause being higher and colder compared to the NH (as occasionally observed at Davis) cannot be achieved by standard models. More sophisticated characterization of gravity wave forcing might be required.</t>
  </si>
  <si>
    <t>[Luebken, F. -J.; Hoeffner, J.; Viehl, T. P.; Becker, E.; Latteck, R.] Univ Rostock, Leibniz Inst Atmospher Phys, Kuhlungsborn, Germany; [Kaifler, B.] German Aerosp Ctr, Inst Atmospher Phys, Oberpfaffenhofen, Germany; [Murphy, D. J.; Morris, R. J.] Australian Antarctic Div, Kingston, Tas, Australia</t>
  </si>
  <si>
    <t>Leibniz Institut fur Atmospharenphysik e.V. an der Universitat Rostock (IAP); University of Rostock; Helmholtz Association; German Aerospace Centre (DLR); Australian Antarctic Division</t>
  </si>
  <si>
    <t>Lübken, FJ (corresponding author), Univ Rostock, Leibniz Inst Atmospher Phys, Kuhlungsborn, Germany.</t>
  </si>
  <si>
    <t>luebken@iap-kborn.de</t>
  </si>
  <si>
    <t>Kaifler, Bernd/AAK-7237-2021</t>
  </si>
  <si>
    <t>Kaifler, Bernd/0000-0002-5891-242X; Viehl, Timo/0000-0002-7948-5666</t>
  </si>
  <si>
    <t>TIMA project of the BMBF research initiative ROMIC; PACOG project of DFG; Australian Antarctic science projects [674, 2325, 4025]</t>
  </si>
  <si>
    <t>TIMA project of the BMBF research initiative ROMIC; PACOG project of DFG(German Research Foundation (DFG)); Australian Antarctic science projects</t>
  </si>
  <si>
    <t>` Data used for this paper are available via IAP's ftp server at ftp://ftp.iap-kborn.de/data-in-publications/LuebkenJGR2015 and (for MERRA) from http://gmao.gsfc.nasa.gov/merra/. IAP thanks our colleagues from Australian Antarctic Division (AAD) for their stimulating cooperation and extraordinary efforts when transporting and operating our Fe lidar. We thank Peter Hoffmann for providing the MF radar winds from ALOMAR and Jens Fiedler and Gerd Baumgarten for their support in retrieving MERRA data. This paper is partly supported by the TIMA project of the BMBF research initiative ROMIC and by the PACOG project of DFG. The IAP Fe lidar measurements at Davis and the Davis radars were supported under Australian Antarctic science projects 674, 2325, and 4025.</t>
  </si>
  <si>
    <t>2169-897X</t>
  </si>
  <si>
    <t>2169-8996</t>
  </si>
  <si>
    <t>J GEOPHYS RES-ATMOS</t>
  </si>
  <si>
    <t>J. Geophys. Res.-Atmos.</t>
  </si>
  <si>
    <t>DEC 27</t>
  </si>
  <si>
    <t>10.1002/2015JD023928</t>
  </si>
  <si>
    <t>DD3TU</t>
  </si>
  <si>
    <t>WOS:000369846700005</t>
  </si>
  <si>
    <t>Sun, ML; Zhao, F; Shi, M; Zhang, XY; Zhou, BC; Zhang, YZ; Chen, XL</t>
  </si>
  <si>
    <t>Sun, Mei-Ling; Zhao, Fang; Shi, Mei; Zhang, Xi-Ying; Zhou, Bai-Cheng; Zhang, Yu-Zhong; Chen, Xiu-Lan</t>
  </si>
  <si>
    <t>Characterization and Biotechnological Potential Analysis of a New Exopolysaccharide from the Arctic Marine Bacterium Polaribacter sp SM1127</t>
  </si>
  <si>
    <t>SCIENTIFIC REPORTS</t>
  </si>
  <si>
    <t>SEA HYDROTHERMAL VENTS; ANTIOXIDANT ACTIVITY; ANTARCTIC BACTERIUM; MOISTURE-ABSORPTION; ALTEROMONAS SP; SP NOV.; POLYSACCHARIDES; RETENTION; ICE</t>
  </si>
  <si>
    <t>Although many kinds of exopolysaccharides (EPSs) from microorganisms have been used in industry, the exploration and utilization of EPSs from polar microorganisms is still rather rare. In this study, a flavobacterial strain, SM1127, from the Arctic brown alga Laminaria, was screened for its high EPS production (2.11 g/l) and was identified as belonging to the genus Polaribacter. The EPS secreted by strain SM1127 has a molecular mass of 220 kDa, and it mainly comprises N-acetyl glucosamine, mannose and glucuronic acid residues bound by heterogeneous linkages. Rheological studies on the aqueous EPS showed that it had a high viscosity and good shear-thinning property. Moreover, the EPS showed a high tolerance to high salinity and a wide pH range. The EPS also had good antioxidant activity. Particularly, its moisture-retention ability was superior to that of any other reported EPS or functional ingredient generally used in cosmetics. The EPS also showed a protective effect on human dermal fibroblasts at low temperature (4 degrees C). Safety assessment indicated that the EPS is safe for oral administration and external use. These results indicate the promising potential of the EPS from strain SM1127 in the food, cosmetic, pharmaceutical and biomedical fields.</t>
  </si>
  <si>
    <t>[Sun, Mei-Ling; Zhao, Fang; Shi, Mei; Zhang, Xi-Ying; Zhang, Yu-Zhong; Chen, Xiu-Lan] State Key Lab Microbial Technol, Jinan 250100, Peoples R China; [Sun, Mei-Ling; Zhao, Fang; Shi, Mei; Zhang, Xi-Ying; Zhou, Bai-Cheng; Zhang, Yu-Zhong; Chen, Xiu-Lan] Shandong Univ, Marine Biotechnol Res Ctr, Jinan 250100, Peoples R China</t>
  </si>
  <si>
    <t>Shandong University</t>
  </si>
  <si>
    <t>Chen, XL (corresponding author), State Key Lab Microbial Technol, Jinan 250100, Peoples R China.</t>
  </si>
  <si>
    <t>cxl0423@sdu.edu.cn</t>
  </si>
  <si>
    <t>Zhang, Xi/HJH-1211-2023</t>
  </si>
  <si>
    <t>China Ocean Mineral Resources R&amp;D Association (COMRA) Special Foundation [DY125-15-R-03, DY125-15-T-05]; Chinese National Arctic Yellow River Station Scientific Expedition [2011YR06006]; Hi-Tech Research and Development Program of China [2012AA092105]; National Natural Science Foundation of China [31470541]; Fundamental Research Funds of Shandong University [2014QY006]</t>
  </si>
  <si>
    <t>China Ocean Mineral Resources R&amp;D Association (COMRA) Special Foundation; Chinese National Arctic Yellow River Station Scientific Expedition; Hi-Tech Research and Development Program of China(National High Technology Research and Development Program of China); National Natural Science Foundation of China(National Natural Science Foundation of China (NSFC)); Fundamental Research Funds of Shandong University</t>
  </si>
  <si>
    <t>The work was supported by the China Ocean Mineral Resources R&amp;D Association (COMRA) Special Foundation (grants DY125-15-R-03 and DY125-15-T-05), the Chinese National Arctic Yellow River Station Scientific Expedition in 2011 (2011YR06006), the Hi-Tech Research and Development Program of China (2012AA092105), the National Natural Science Foundation of China (31470541), and the Fundamental Research Funds of Shandong University (2014QY006).</t>
  </si>
  <si>
    <t>NATURE PORTFOLIO</t>
  </si>
  <si>
    <t>HEIDELBERGER PLATZ 3, BERLIN, 14197, GERMANY</t>
  </si>
  <si>
    <t>2045-2322</t>
  </si>
  <si>
    <t>SCI REP-UK</t>
  </si>
  <si>
    <t>Sci Rep</t>
  </si>
  <si>
    <t>DEC 21</t>
  </si>
  <si>
    <t>10.1038/srep18435</t>
  </si>
  <si>
    <t>CZ4NF</t>
  </si>
  <si>
    <t>WOS:000367079200001</t>
  </si>
  <si>
    <t>Zhang, SH; Zhou, HY; Shi, XH; Shu, XW; Liu, WJ; Ji, T; Jiang, P; Sun, LM; Zhou, JY; Pan, X</t>
  </si>
  <si>
    <t>Zhang, Shaohua; Zhou, Hongyan; Shi, Xiheng; Shu, Xinwen; Liu, Wenjuan; Ji, Tuo; Jiang, Peng; Sun, Luming; Zhou, Junyan; Pan, Xiang</t>
  </si>
  <si>
    <t>DISCOVERY OF EXTREMELY BROAD BALMER ABSORPTION LINES IN SDSS J152350.42+391405.2</t>
  </si>
  <si>
    <t>ASTROPHYSICAL JOURNAL</t>
  </si>
  <si>
    <t>quasars: absorption lines; quasars: general; quasars: individual (SDSS J152350.42+391405.2)</t>
  </si>
  <si>
    <t>DIGITAL SKY SURVEY; BLACK-HOLE MASSES; HOT DUST EMISSION; X-RAY; DATA RELEASE; ULTRAVIOLET-ABSORPTION; ACTIVE GALAXIES; SI IV; C IV; QUASAR</t>
  </si>
  <si>
    <t>We present the discovery of Balmer line absorption from H gamma to H7 in an iron low-ionization broad absorption line (FeLoBAL) quasar SDSS J152350.42+391405.2 (hereafter SDSS J1523+3914), by the quasi-simultaneous optical and near-infrared spectroscopy. The Balmer line absorption is at zabsor = 0.6039 0.0021 and blueshifted by v = 10,353 km s(-1) with respect to the Balmer emission lines. All Balmer BALs have a uniform absorption profile with the widths of Delta nu similar to 12,000 km s(-1). We also found the absorption trough in He I* A10830 with the same velocity and width in the H-band Triple Spec spectrum of SDSS J1523+3914. This object is only the 10th active galactic nucleus known to exhibit nonstellar Balmer absorption, as well as the case with the highest velocity and broadest Balmer absorption lines that have ever been found. A CLOUDY analysis shows that the absorbers require a gas density of log(10) eta(e) (cm(-3)) = 9 and an ionization parameter of log(10) U = -1.0. They are located at a distance of similar to 0.2 pc from the central ionizing source, which is slightly farther than that of broad emission line regions. Furthermore, SDSS J1523+3914 is one of the brightest Balmer BAL quasars ever reported, with unique iron absorption variations, making it the most promising candidate for follow-up high-resolution spectroscopy, multiband observations, and long-term monitoring.</t>
  </si>
  <si>
    <t>[Zhang, Shaohua; Zhou, Hongyan; Shi, Xiheng; Liu, Wenjuan; Ji, Tuo; Jiang, Peng; Sun, Luming; Zhou, Junyan; Pan, Xiang] Polar Res Inst China, Shanghai 200136, Peoples R China; [Zhou, Hongyan; Liu, Wenjuan; Sun, Luming; Zhou, Junyan; Pan, Xiang] Chinese Acad Sci, Univ Sci &amp; Technol China, Dept Astron, Key Lab Res Galaxies &amp; Cosmol, Hefei 230026, Anhui, Peoples R China; [Shi, Xiheng] Chinese Acad Sci, Natl Astron Observ, Beijing 100012, Peoples R China; [Shu, Xinwen] Anhui Normal Univ, Dept Phys, Wuhu 241000, Anhui, Peoples R China; [Jiang, Peng] Nanjing Univ, Sch Astron &amp; Space Sci, Nanjing 210093, Jiangsu, Peoples R China</t>
  </si>
  <si>
    <t>Polar Research Institute of China; Chinese Academy of Sciences; University of Science &amp; Technology of China, CAS; Chinese Academy of Sciences; National Astronomical Observatory, CAS; Anhui Normal University; Nanjing University</t>
  </si>
  <si>
    <t>Zhang, SH (corresponding author), Polar Res Inst China, 451 Jinqiao Rd, Shanghai 200136, Peoples R China.</t>
  </si>
  <si>
    <t>zhangshaohua@pric.org.cn; zhouhongyan@pric.org.cn</t>
  </si>
  <si>
    <t>Shu, Xinwen/D-7294-2017; Shu, Xinwen/ABG-3953-2020; Ji, Tuo/O-2611-2017; ZHANG, Shaohua/O-8150-2015</t>
  </si>
  <si>
    <t>Shu, Xinwen/0000-0002-7020-4290; Shi, Xiheng/0000-0002-6710-7537; ZHANG, Shaohua/0000-0001-8485-2814; Liu, Wenjuan/0000-0002-1820-7865; Sun, Luming/0000-0002-7223-5840</t>
  </si>
  <si>
    <t>Chinese Natural Science Foundation [NSFC-11203021, 11573024]; National Basic Research Program of China (973 Program) [2013CB834905]; SOC Program [CHINARE-2015-02-03]; Antarctic Inland Scientific Research Station Program; Strategic Priority Research Program The Emergence of Cosmological Structures [XDB09000000]; National Astronomical Observatories, Chinese Academy of Sciences; Special Fund for Astronomy from the Ministry of Finance; National Aeronautics and Space Administration [NNG05GF22G]; U.S. National Science Foundation [AST-0909182]; Alfred P. Sloan Foundation; National Science Foundation; U.S. Department of Energy Office of Science</t>
  </si>
  <si>
    <t>Chinese Natural Science Foundation(National Natural Science Foundation of China (NSFC)); National Basic Research Program of China (973 Program)(National Basic Research Program of China); SOC Program; Antarctic Inland Scientific Research Station Program; Strategic Priority Research Program The Emergence of Cosmological Structures; National Astronomical Observatories, Chinese Academy of Sciences(Chinese Academy of Sciences); Special Fund for Astronomy from the Ministry of Finance; National Aeronautics and Space Administration(National Aeronautics &amp; Space Administration (NASA)); U.S. National Science Foundation(National Science Foundation (NSF)); Alfred P. Sloan Foundation(Alfred P. Sloan Foundation); National Science Foundation(National Science Foundation (NSF)); U.S. Department of Energy Office of Science(United States Department of Energy (DOE))</t>
  </si>
  <si>
    <t>Many thanks to the anonymous referee for the helpful suggestions. Many thanks to Dr. Huiyuan Wang and Dr. Xueguang Zhang for very helpful discussions. This work is supported by Chinese Natural Science Foundation (NSFC-11203021, 11573024), National Basic Research Program of China (973 Program, 2013CB834905), and the SOC Program (CHINARE-2015-02-03).; We acknowledge the use of the Hale 200-inch Telescope at Palomar Observatory through the Telescope Access Program (TAP) and the Antarctic Bright Star Survey Telescope (BSST), as well as the archive data from the FIRST, NVSS, SDSS, WISE, and Catalina Surveys. The BSST is funded by the Antarctic Inland Scientific Research Station Program and the SOC Program (CHINARE-2015-02-03). TAP is funded by the Strategic Priority Research Program The Emergence of Cosmological Structures (XDB09000000), National Astronomical Observatories, Chinese Academy of Sciences, and the Special Fund for Astronomy from the Ministry of Finance. Observations obtained with the Hale Telescope at Palomar Observatory were obtained as part of an agreement between the National Astronomical Observatories, Chinese Academy of Sciences, and the California Institute of Technology. The Catalina Surveys consist of the Catalina Sky Survey (CSS) and the Catalina Real-time Transient Survey (CRTS). The CSS survey is funded by the National Aeronautics and Space Administration under Grant No. NNG05GF22G issued through the Science Mission Directorate Near-Earth Objects Observations Program. The CRTS survey is supported by the U.S. National Science Foundation under grants AST-0909182. Funding for SDSS-III has been provided by the Alfred P. Sloan Foundation, the Participating Institutions, the National Science Foundation, and the U.S. Department of Energy Office of Science. The SDSS-III Web site is http://www.sdss3.org/.</t>
  </si>
  <si>
    <t>IOP PUBLISHING LTD</t>
  </si>
  <si>
    <t>BRISTOL</t>
  </si>
  <si>
    <t>TEMPLE CIRCUS, TEMPLE WAY, BRISTOL BS1 6BE, ENGLAND</t>
  </si>
  <si>
    <t>0004-637X</t>
  </si>
  <si>
    <t>1538-4357</t>
  </si>
  <si>
    <t>ASTROPHYS J</t>
  </si>
  <si>
    <t>Astrophys. J.</t>
  </si>
  <si>
    <t>DEC 20</t>
  </si>
  <si>
    <t>10.1088/0004-637X/815/2/113</t>
  </si>
  <si>
    <t>CZ5OG</t>
  </si>
  <si>
    <t>WOS:000367151300033</t>
  </si>
  <si>
    <t>Winton, VHL; Bowie, AR; Edwards, R; Keywood, M; Townsend, AT; van der Merwe, P; Bollhöfer, A</t>
  </si>
  <si>
    <t>Winton, V. H. L.; Bowie, A. R.; Edwards, R.; Keywood, M.; Townsend, A. T.; van der Merwe, P.; Bollhoefer, A.</t>
  </si>
  <si>
    <t>Fractional iron solubility of atmospheric iron inputs to the Southern Ocean</t>
  </si>
  <si>
    <t>MARINE CHEMISTRY</t>
  </si>
  <si>
    <t>Aerosol; Iron; Trace metals; Labile; Bioavailable iron; Cape Grim; Southern Ocean</t>
  </si>
  <si>
    <t>AEROSOL TRACE-METALS; EAST ANTARCTICA; DRY DEPOSITION; ATLANTIC-OCEAN; DISSOLVED IRON; SHELF WATERS; ICE CORES; DUST; DOME; DISSOLUTION</t>
  </si>
  <si>
    <t>Deposition of iron (Fe) bearing aerosols to Fe deficient waters of the Southern Ocean may drive rapid changes in primary productivity, trophic structure and the biological uptake of carbon dioxide. The fractional solubility (i.e., the ratio of water leachable Fe to total Fe) of aerosol Fe is an important variable determining its availability for biological uptake, and is a function of both particle type and the experimental conditions used to leach the particles. There have been few studies of fractional Fe solubility over the Southern Ocean where the aerosol loading is the lowest in the world. To investigate Southern Ocean aerosol Fe solubility, the fractional solubility of Fe was determined in cryogenically archived Southern Ocean aerosols. Samples were collected at the Cape Grim Baseline Air Pollution Station (CGBAPS), Tasmania, Australia from February 1999 to April 2000. Fractions determined included water soluble Fe (&lt;0.45 mu m), labile Fe (&gt;0.45 mu m; acetic acid and hydroxylamine hydrochloride leachable Fe) and refractory Fe (&gt;0.45 mu m; total digestion using nitric and hydrofluoric adds). Extremely low Fe mass concentrations were observed for baseline Southern Ocean air during the study period. An inverse hyperbolic relationship was observed between fractional Fe solubility (0.5 to 56%) and total Fe mass concentration (0.04 to 5.8 ng m(3); excluding an anomalously high sample). A peak of 4.6 ng m(3) of labile Fe occurred during May/June 1999 and was linked to atmospheric transport from South Western Australia over the Southern Ocean. Bioavailable Fe was estimated by summing the water soluble and labile Fe fractions, and this likely represents the upper bound of long range transport aerosol over the Southern Ocean. The results confirm previous reports of a range of fractional Fe solubility within all atmospheric particles measured and also suggest that a large fraction of the Fe from Australian mineral aerosols is labile and potentially bioavailable. (C) 2015 Elsevier B.V. All rights reserved,</t>
  </si>
  <si>
    <t>[Winton, V. H. L.; Edwards, R.] Curtin Univ, Phys &amp; Astron, Perth, WA 6845, Australia; [Bowie, A. R.; van der Merwe, P.] Univ Tasmania, Antarctic Climate &amp; Ecosyst CRC, Hobart, Tas, Australia; [Bowie, A. R.] Univ Tasmania, Inst Marine &amp; Antarctic Studies, Hobart, Tas, Australia; [Keywood, M.] CSIRO Oceans &amp; Atmosphere Flagship, Aspendale, Vic, Australia; [Townsend, A. T.] Univ Tasmania, Cent Sci Lab, Hobart, Tas, Australia; [Bollhoefer, A.] Environm Res Inst Supervising Scientist, Dept Environm, Darwin, NT, Australia</t>
  </si>
  <si>
    <t>Curtin University; University of Tasmania; University of Tasmania; Commonwealth Scientific &amp; Industrial Research Organisation (CSIRO); University of Tasmania</t>
  </si>
  <si>
    <t>Winton, VHL (corresponding author), Curtin Univ, Phys &amp; Astron, Perth, WA 6845, Australia.</t>
  </si>
  <si>
    <t>holly.winton@postgrad.curtin.edu.au</t>
  </si>
  <si>
    <t>Townsend, Ashley/J-7445-2014; Winton, Holly/J-5486-2019; van der Merwe, Pier/C-9210-2015; Bowie, Andrew/C-8677-2013; keywood, melita/C-5139-2011; Edwards, Ross/B-1433-2013</t>
  </si>
  <si>
    <t>Townsend, Ashley/0000-0002-2972-2678; Winton, Holly/0000-0001-7112-6768; van der Merwe, Pier/0000-0002-7428-8030; Bowie, Andrew/0000-0002-5144-7799; keywood, melita/0000-0001-9953-6806; Edwards, Ross/0000-0002-9233-8775</t>
  </si>
  <si>
    <t>Curtin University; University of Tasmania [B0019024]; Australian Research Council [FT130100037]; Antarctic Climate and Ecosystems Cooperative Research Centre; ARC LIEF [LE0989539]; Australian Postgraduate Award; Curtin University Postgraduate Scholarship; Australian Research Council [FT130100037] Funding Source: Australian Research Council</t>
  </si>
  <si>
    <t>Curtin University; University of Tasmania; Australian Research Council(Australian Research Council); Antarctic Climate and Ecosystems Cooperative Research Centre(Australian GovernmentDepartment of Industry, Innovation and ScienceCooperative Research Centres (CRC) Programme); ARC LIEF(Australian Research Council); Australian Postgraduate Award(Australian Government); Curtin University Postgraduate Scholarship; Australian Research Council(Australian Research Council)</t>
  </si>
  <si>
    <t>This project was funded through Curtin University (Curtin Research Fellowship to R.E.), the University of Tasmania (Rising Stars contract B0019024 to A.R.B.), the Australian Research Council (FT130100037) and the Antarctic Climate and Ecosystems Cooperative Research Centre. Access to SF-ICP-MS instrumentation at UTAS was facilitated through ARC LIEF funding (LE0989539). V.H.L.W. would like to acknowledge the following scholarship support: Australian Postgraduate Award and Curtin University Postgraduate Scholarship. This research would have been impossible without the support and dedication of the late Kevin Rosman. Useful discussions with Rachel Shelley over labile iron leaching methods are appreciated. CSIRO and the Australian Bureau of Meteorology in Australia are also thanked for their continuous support of CGBAPS, and we also thank the staff at CGBAPS who made the collection of monthly aerosol samples possible. We thank three anonymous reviewers for their constructive comments which improved this manuscript.</t>
  </si>
  <si>
    <t>0304-4203</t>
  </si>
  <si>
    <t>1872-7581</t>
  </si>
  <si>
    <t>MAR CHEM</t>
  </si>
  <si>
    <t>Mar. Chem.</t>
  </si>
  <si>
    <t>10.1016/j.marchem.2015.06.006</t>
  </si>
  <si>
    <t>Chemistry, Multidisciplinary; Oceanography</t>
  </si>
  <si>
    <t>Chemistry; Oceanography</t>
  </si>
  <si>
    <t>CZ0IL</t>
  </si>
  <si>
    <t>WOS:000366788300003</t>
  </si>
  <si>
    <t>Middag, R; van Hulten, MMP; Van Aken, HM; Rijkenberg, MJA; Gerringa, LJA; Laan, P; de Baar, HJW</t>
  </si>
  <si>
    <t>Middag, R.; van Hulten, M. M. P.; Van Aken, H. M.; Rijkenberg, M. J. A.; Gerringa, L. J. A.; Laan, P.; de Baar, H. J. W.</t>
  </si>
  <si>
    <t>Dissolved aluminium in the ocean conveyor of the West Atlantic Ocean: Effects of the biological cycle, scavenging, sediment resuspension and hydrography</t>
  </si>
  <si>
    <t>Trace metals; GEOTRACES; Atlantic Ocean; Aluminium; Aluminum</t>
  </si>
  <si>
    <t>ORGANIC-CARBON FLUXES; NORTH-ATLANTIC; BIOGENIC SILICA; SOUTH-ATLANTIC; DUST DEPOSITION; TRACE-ELEMENTS; IOC STATIONS; WATER MASSES; DEEP-WATER; AL</t>
  </si>
  <si>
    <t>The concentrations of dissolved aluminium (dissolved Al) were studied along the West Atlantic GEOTRACES GA02 transect from 64 degrees N to 50 degrees S. Concentrations ranged from similar to 0.5 nmol kg(-1) in the high latitude surface waters to similar to 48 nmol kg(-1) in surface waters around 25 degrees N. Elevated surface water concentrations due to atmospheric dust loading have little influence on the deep water distribution. However, just below the thermocline, both Northern and Southern Hemisphere Subtropical Mode Waters are elevated in Al, most likely related to atmospheric dust deposition in the respective source regions. In the deep ocean, high concentrations of up to 35 nmol kg(-1). were observed in North Atlantic Deep Water as a result of Al input via sediment resuspension. Comparatively low deep water concentrations were associated with water masses of Antarctic origin. During water mass advection, Al loss by scavenging overrules input via remineralisation and sediment resuspension at the basin wide scale. Nevertheless, sediment resuspension is more important than previously realised for the deep ocean Al distribution and even more intensive sampling is needed in bottom waters to constrain the spatial heterogeneity in the global deep ocean. This thus far longest (17,500 km) full depth ocean section shows that the distribution of Al can be explained by its input sources and the combination of association with particles and release from those particles at depth, the latter most likely when the particles remineralise. The association of Al with particles can be due to incorporation of Al into biogenic silica or scavenging of Al onto biogenic particles. The interaction between Al and biogenic particles can lead to the coupled cycling of Al and silicate that is observed in some ocean regions. However, in other regions this coupling is not observed due to (i) advective processes bringing in older water masses that are depleted in Al, (ii) unfavourable scavenging conditions in the water column, (iii) low surface concentrations of Al or (iv) additional Al sources, notably sediment resuspension. (C) 2015 Elsevier B.V. All rights reserved.</t>
  </si>
  <si>
    <t>[Middag, R.; Van Aken, H. M.; Rijkenberg, M. J. A.; Gerringa, L. J. A.; Laan, P.; de Baar, H. J. W.] Royal Netherlands Inst Sea Res Royal NIOZ, Den Burg, Texel, Netherlands; [Middag, R.] Univ Otago, NIWA Univ Otago Res Ctr Oceanog, Dept Chem, Dunedin, Otago, New Zealand; [van Hulten, M. M. P.] Royal Netherlands Meteorol Inst KNMI, De Bilt, Netherlands; [van Hulten, M. M. P.] LSCE, Gif Sur Yvette, France; [de Baar, H. J. W.] Univ Groningen, Dept Ocean Ecosyst, Groningen, Netherlands</t>
  </si>
  <si>
    <t>Utrecht University; Royal Netherlands Institute for Sea Research (NIOZ); University of Otago; Royal Netherlands Meteorological Institute; CEA; Centre National de la Recherche Scientifique (CNRS); Universite Paris Saclay; University of Groningen</t>
  </si>
  <si>
    <t>Middag, R (corresponding author), Univ Otago, NIWA Univ Otago Res Ctr Oceanog, Dept Chem, Dunedin, Otago, New Zealand.</t>
  </si>
  <si>
    <t>rob.middag@otago.ac.nz; marco.van-hulten@lsce.ipsl.fr; hm.vanaken@texel.com; micha.rijkenberg@nioz.nl; loes.gerringa@nioz.nl; patick.laan@nioz.nl; hein.de.baar@nioz.nl</t>
  </si>
  <si>
    <t>Rijkenberg, Micha JA/C-3245-2012; Middag, Rob/D-6423-2013</t>
  </si>
  <si>
    <t>van Hulten, Marco/0000-0002-3045-4949; Middag, Rob/0000-0002-3326-530X</t>
  </si>
  <si>
    <t>Dutch National Program Sea; Coastal Research of the Netherlands Organisation for Scientific Research (NWO) [839.08.410, 820.01.014]; Department of Chemistry, University of Otago</t>
  </si>
  <si>
    <t>Dutch National Program Sea; Coastal Research of the Netherlands Organisation for Scientific Research (NWO)(Netherlands Organization for Scientific Research (NWO)); Department of Chemistry, University of Otago</t>
  </si>
  <si>
    <t>The GEOTRACES programme is a stimulation to enhance our understanding of the cycling of Al by making accurate observations at thus far unprecedented scale and resolution. This inspiration is consistent with the adagium By Measurements Towards Knowledge (Door Meten tot Weten; H. Kamerlingh Onnes, Nobel Prize 1913) that served as motivation during the long hours of sample analysis. We express our gratitude to Captains John Ellen, Bert Puijman and Pieter Kuijt and their crews of RV Pelagia and captain Bill Richardson and his crew of RRS James Cook for their hospitality and help during the cruises 64PE319, 64PE321, 64PE358 and 74JC057, respectively. We thank Prof Ken Bruland for his valuable suggestions and proof reading during the early stages of this manuscript. Major contributions have been made by The Netherlands GEOTRACES trace metal teams for shipboard sample collection and filtration. We further thank everybody involved at Royal NIOZ and the NERC Marine Facilities who made these four expeditions possible. We would also like to thank the anonymous reviewers whose comments improved and contributed to the manuscript. This research was funded by the Dutch National Program Sea and Coastal Research of the Netherlands Organisation for Scientific Research (NWO, www.nwo.nl/en) (grant 839.08.410; GEOTRACES, Global Change and Microbial Oceanography in the West Atlantic Ocean and grant 820.01.014 GEOTRACES Netherlands-USA Joint Effort on Trace Metals in the Atlantic Ocean). The Department of Chemistry, University of Otago provided funding for the analysis of the samples from the fourth expedition.</t>
  </si>
  <si>
    <t>10.1016/j.marchem.2015.02.015</t>
  </si>
  <si>
    <t>Green Submitted, Green Published, Green Accepted</t>
  </si>
  <si>
    <t>WOS:000366788300007</t>
  </si>
  <si>
    <t>van Leeuwe, MA; Kattner, G; van Oijen, T; de Jong, JTM; de Baar, HJW</t>
  </si>
  <si>
    <t>van Leeuwe, Maria A.; Kattner, Gerhard; van Oijen, Tim; de Jong, Jeroen T. M.; de Baar, Hein J. W.</t>
  </si>
  <si>
    <t>Phytoplankton and pigment patterns across frontal zones in the Atlantic sector of the Southern Ocean</t>
  </si>
  <si>
    <t>Pigments; Phytoplankton; Southern Ocean; Nutrients; Iron; Polar Front; Irradiance/light</t>
  </si>
  <si>
    <t>PHOTOSYNTHETIC PIGMENTS; ENVIRONMENTAL-FACTORS; COMMUNITY STRUCTURE; PACIFIC SECTOR; WATER MASSES; ICE-ZONE; IRON; BIOMASS; DIATOM; CARBON</t>
  </si>
  <si>
    <t>Phytoplankton distribution and concentrations of macronutrients and iron were studied in the Polar Frontal Zone (PFZ) and the eastern Weddell Gyre of the Southern Ocean, during austral autumn. HPLC analysis of algal pigments was combined with microscopy observations to assess algal distribution. Patterns of algal distribution were dictated by the frontal systems. Travelling from north to south, four distinctively different algal communities were observed, the composition of which could be explained by variations in nutrients, light climate and grazing pressure. North of the PFZ, low silicate levels (&lt;3 mu M) were limiting diatom growth, and the algal community was dominated by prasinophytes. Silicate concentrations increased over the PFZ, which coincided with the dominance of diatoms. South of the PFZ, the open waters of the Weddell Gyre are characterised as a high-nutrient low-chlorophyll area. Low iron concentrations (&lt;0.4 nM on average) supported an algal community that was dominated by smaller size algae (&lt;20 mu m). Deep wind-mixed layers (&gt;100 m depth) together with low incident irradiance in autumn were likely limiting algal growth. At the Marginal Ice Zone (MIZ), the phytoplankton community consisted mainly of low numbers of flagellates (Chlorophyceae and haptophytes) and high numbers of microzooplankton, indicating phytoplankton control by grazing. The phytoplankton distribution patterns presented here and the relation with potential growth-controlling factors provides more insight in the mechanisms that control carbon fluxes from the atmosphere into the ocean interior. (C) 2015 Elsevier B.V. All rights reserved.</t>
  </si>
  <si>
    <t>[van Leeuwe, Maria A.; van Oijen, Tim; de Baar, Hein J. W.] Univ Groningen, Ctr Life Sci, NL-9700 CC Groningen, Netherlands; [Kattner, Gerhard] Alfred Wegener Inst Helmholtz Zentrum Polar &amp; Mee, D-27570 Bremerhaven, Germany; [de Jong, Jeroen T. M.] Univ Libre Bruxelles, Dept Earth &amp; Environm Sci, B-1050 Brussels, Belgium; [de Baar, Hein J. W.] Royal Netherlands Inst Sea Res, NL-1790 AB Den Burg, Netherlands</t>
  </si>
  <si>
    <t>University of Groningen; Helmholtz Association; Alfred Wegener Institute, Helmholtz Centre for Polar &amp; Marine Research; Universite Libre de Bruxelles; Utrecht University; Royal Netherlands Institute for Sea Research (NIOZ)</t>
  </si>
  <si>
    <t>van Leeuwe, MA (corresponding author), Univ Groningen, Ctr Life Sci, POB 11103, NL-9700 CC Groningen, Netherlands.</t>
  </si>
  <si>
    <t>m.a.van.leeuwe@rug.nl; Gerhard.Kattner@awi.de; jdejong@ulb.ac.be; Hein.de.Baar@nioz.nl</t>
  </si>
  <si>
    <t>de Jong, Jeroen/F-3190-2011</t>
  </si>
  <si>
    <t>de Jong, Jeroen/0000-0002-3034-5929</t>
  </si>
  <si>
    <t>Netherlands Antarctic Programme (NAAP) [751.498.01]</t>
  </si>
  <si>
    <t>Netherlands Antarctic Programme (NAAP)</t>
  </si>
  <si>
    <t>We are grateful to the captain and crew of the RV Polarstern for their support during the cruise. We thank Victor Strass and the CTD team for operating the CTD. Peter Croot is acknowledged for assisting in sampling and analysis of iron and Carmen Hartmann and Andreas Ratje of macronutrients. We thank Jan Roggeveld for pigment analysis, Reinoud Koeman for cell counts and Veronique Schoemann for fruitful discussions and all support during the cruise. This work was supported by a grant from the Netherlands Antarctic Programme (NAAP) (751.498.01).</t>
  </si>
  <si>
    <t>10.1016/j.marchem.2015.08.003</t>
  </si>
  <si>
    <t>CZ0IO</t>
  </si>
  <si>
    <t>WOS:000366788600011</t>
  </si>
  <si>
    <t>De Jong, JTM; Stammerjohn, SE; Ackley, SF; Tison, JL; Mattielli, N; Schoemann, V</t>
  </si>
  <si>
    <t>De Jong, J. T. M.; Stammerjohn, S. E.; Ackley, S. F.; Tison, J. -L.; Mattielli, N.; Schoemann, V.</t>
  </si>
  <si>
    <t>Sources and fluxes of dissolved iron in the Bellingshausen Sea (West Antarctica): The importance of sea ice, icebergs and the continental margin</t>
  </si>
  <si>
    <t>Iron; Continental margin; Bellingshausen Sea; Seawater; Sea ice; Icebergs; Southern Ocean</t>
  </si>
  <si>
    <t>SOUTHERN DRAKE PASSAGE; CIRCUMPOLAR CURRENT; WEDDELL SEA; ROSS SEA; BIOAVAILABLE IRON; PARTICULATE IRON; CHELATING RESIN; WATER COLUMN; AMUNDSEN SEA; MIXED-LAYER</t>
  </si>
  <si>
    <t>This study was conducted to estimate the potential for natural iron fertilization in the Bellingshausen Sea, a remote region in the Pacific sector of the Southern Ocean. Seawater samples were collected during early austral spring 2007 near the continental margin, in the wake of an iceberg and near Peter I Island in order to identify and quantify Fe sources to the upper ocean. We concomitantly collected sea ice cores for Fe analysis during a time series sampling program on an ice floe. Looking at the upper 200 m, our seawater data together with other published data suggest a large-scale exponential meridional decrease of DFe concentrations with increasing distance from the coastline noticeable up to 1400 km to the north into the ACC. From this DFe gradient we estimated DFe fluxes into the upper mixed layer of the Bellingshausen Sea using a simple one-dimensional horizontal and vertical diffusion/advection model. We also estimated the melting input from sea ice and icebergs. DFe fluxes were compared for three biogeochemical provinces: ice covered continental shelf, marginal ice zone near the continental margin, and the open ocean. Fe in sea ice decreased with time enabling us to estimate a melt flux of 0.3 mu mol/m(2)/d DFe. We found that going from the continental shelf to the open ocean the dominant Fe fluxes gradually change from horizontal advection on the continental shelf (54% of a total DFe flux of 7.6 +/- 5.0 mu mol/m(2)/d) via sea ice melt in the pack ice near the continental margin (56% of a total DFe flux of 0.55 +/- 0.18 mu mol/m(2)/d) to vertical advection (58% of a total DFe flux of 0.038 +/- 0.027 mu mol/m(2)/d) in the ice free open ocean. A significant DFe flux of 0.6 mu mol/m(2)/d was estimated for iceberg melting, but this flux took place below the upper mixed layer and was not taken into further account. Fueling the high horizontal flux on the continental shelf is likely benthic diffusion and sediment resuspension. This is indicated by enhanced total dissolvable Fe (TD-Fe) and dissolved Fe (DFe) in the upper 200 m close to Peter I Island, and near the seafloor at the other stations. Also mid-depth TD-Fe increases near the continental margin were observed. Comparison of estimates of biogenic Fe fixation (based on estimates for Southern Ocean carbon fixation) with the fluxes computed here, indicates an excess of new DFe input on the continental shelf and increasing Fe limitation going from the continental margin towards the open ocean. (C) 2015 Elsevier B.V. All rights reserved.</t>
  </si>
  <si>
    <t>[De Jong, J. T. M.; Mattielli, N.] Univ Libre Bruxelles, Lab G TIME Geochem Tracing Isotopes Minerals &amp; El, B-1050 Brussels, Belgium; [Stammerjohn, S. E.] Univ Colorado, Inst Arctic &amp; Alpine Res, Boulder, CO 80503 USA; [Ackley, S. F.] Univ Texas San Antonio, Dept Geol Sci, San Antonio, TX 78249 USA; [Tison, J. -L.; Schoemann, V.] Univ Libre Bruxelles, Lab Glaciol GLACIOL CP160 03, B-1050 Brussels, Belgium</t>
  </si>
  <si>
    <t>Universite Libre de Bruxelles; University of Colorado System; University of Colorado Boulder; University of Texas System; University of Texas at San Antonio (UTSA); Universite Libre de Bruxelles</t>
  </si>
  <si>
    <t>De Jong, JTM (corresponding author), Univ Libre Bruxelles, Lab G TIME Geochem Tracing Isotopes Minerals &amp; El, Ave FD Roosevelt 50, B-1050 Brussels, Belgium.</t>
  </si>
  <si>
    <t>jdejong@ulb.ac.be</t>
  </si>
  <si>
    <t>de Jong, Jeroen/0000-0002-3034-5929; STAMMERJOHN, SHARON/0000-0002-1697-8244; Mattielli, Nadine/0000-0002-7170-1520</t>
  </si>
  <si>
    <t>Belgian French Community [ARC-02/7-318287]; BELCANTO project by the Belgian Federal Science Policy Office [SD/CA/03AB]; Fonds de la Recherche Scientifique - FNRS [FRFC 2.4649.07]; US National Science Foundation under NSF [ANT 0703682]; Directorate For Geosciences; Office of Polar Programs (OPP) [1440435] Funding Source: National Science Foundation</t>
  </si>
  <si>
    <t>Belgian French Community; BELCANTO project by the Belgian Federal Science Policy Office; Fonds de la Recherche Scientifique - FNRS(Fonds de la Recherche Scientifique - FNRS); US National Science Foundation under NSF(National Science Foundation (NSF)); Directorate For Geosciences; Office of Polar Programs (OPP)(National Science Foundation (NSF)NSF - Directorate for Geosciences (GEO))</t>
  </si>
  <si>
    <t>We wish to thank Master and crew of RV Nathaniel B. Palmer for their great helpfulness and the professional handling of the ship under all circumstances. Clean air van, GoFlo bottles and TMC/CTD-rosettes were provided by Raytheon Polar Services (RPS). We are indebted to the RPS marine technicians, whose support was instrumental in the success of the cruise. We are also grateful to Katie Leonard for supervising CTD operations. This work was carried out within the framework of the Belgian research program Action de Recherche Concertee Sea Ice Biogeochemistry in a CLIMate change perspective (ARC-SIBCLIM) financed by the Belgian French Community under contract no. ARC-02/7-318287, the BELCANTO project (contracts SD/CA/03A&amp;B) financed by the Belgian Federal Science Policy Office, and the Fonds de la Recherche Scientifique - FNRS (FRFC 2.4649.07). The SIMBA project was supported by the US National Science Foundation under NSF Grant ANT 0703682 - Sea Ice Mass Balance in the Antarctic to UTSA and S.F. Ackley.</t>
  </si>
  <si>
    <t>10.1016/j.marchem.2015.08.004</t>
  </si>
  <si>
    <t>WOS:000366788600012</t>
  </si>
  <si>
    <t>Hoppema, M; Bakker, K; van Heuven, SMAC; van Ooijen, JC; de Baar, HJW</t>
  </si>
  <si>
    <t>Hoppema, Mario; Bakker, Karel; van Heuven, Steven M. A. C.; van Ooijen, Jan C.; de Baar, Hein J. W.</t>
  </si>
  <si>
    <t>Distributions, trends and inter-annual variability of nutrients along a repeat section through the Weddell Sea (1996-2011)</t>
  </si>
  <si>
    <t>Phosphate; Nitrate; Silicate; Nitrite; Weddell Sea; Upwelling</t>
  </si>
  <si>
    <t>ANTARCTIC BOTTOM WATER; MARGINAL ICE-ZONE; SOUTHERN-OCEAN; DEEP-WATER; PRYDZ BAY; GYRE; CARBON; TIME; CIRCULATION; VENTILATION</t>
  </si>
  <si>
    <t>Nutrient data from five repeat sections spanning 1996 to 2011 crossing the Weddell Sea are presented. These measurements have been standardized against the same reference material, yielding an outstanding internal consistency. The generic structure of the Weddell Gyre and its hydrographic features are visible in the nutrient distributions; variability is largest in the Circumpolar Deep Water (CDW) and only minor in other water masses. The distribution of silicate appears to be very powerful for describing water mass processes in the bottom layer. The distribution of nitrite is described in detail for the first time. Opposed to common knowledge, a considerable part of the abyssal Weddell Sea had detectable nitrite concentrations, hinting at biological activity at these depths. Also the bottom water, which definitely exists on a longer-than-seasonal scale, has a nitrite signature, thus challenging the commonly assumed short life-time of nitrite. We infer significant trends of increasing nutrient concentrations in the surface layer, which are attributed mainly to an increasing rate of upwelling of subsurface water over those 15 years. Also in the depth range of the CDW an increasing trend is found, which indicates that the nutrient supply to the gyre may have increased. In the bottom water, silicate exhibits an increasing trend, which is probably caused by a changing composition of the bottom water, i.e. containing more CDW and less surface water. (C) 2015 Elsevier B.V. All rights reserved.</t>
  </si>
  <si>
    <t>[Hoppema, Mario; van Heuven, Steven M. A. C.] Helmholtz Ctr Polar &amp; Marine Res, Alfred Wegener Inst, Climate Sci Dept, D-27515 Bremerhaven, Germany; [Bakker, Karel; van Ooijen, Jan C.; de Baar, Hein J. W.] Royal Netherlands Inst Sea Res Royal NIOZ, NL-1797 SZ Texel, Netherlands</t>
  </si>
  <si>
    <t>Helmholtz Association; Alfred Wegener Institute, Helmholtz Centre for Polar &amp; Marine Research; Utrecht University; Royal Netherlands Institute for Sea Research (NIOZ)</t>
  </si>
  <si>
    <t>Hoppema, M (corresponding author), Helmholtz Ctr Polar &amp; Marine Res, Alfred Wegener Inst, Climate Sci Dept, Postfach 120161, D-27515 Bremerhaven, Germany.</t>
  </si>
  <si>
    <t>Mario.Hoppema@awi.de</t>
  </si>
  <si>
    <t>Hoppema, Mario/I-6286-2013</t>
  </si>
  <si>
    <t>Hoppema, Mario/0000-0002-2326-619X</t>
  </si>
  <si>
    <t>EU; European Community's Seventh Framework Programme [264879]</t>
  </si>
  <si>
    <t>EU(European Union (EU)); European Community's Seventh Framework Programme(European Union (EU))</t>
  </si>
  <si>
    <t>This work was supported through EU project CARBOCHANGE 'Changes in carbon uptake and emissions by oceans in a changing climate', which received funding from the European Community's Seventh Framework Programme under grant agreement no. 264879. We gratefully acknowledge the dedicated support of crew and participants in the collection of the data used in this study, with specific mention of the efforts of Evaline van Weerlee. We dedicate this work to the late Eberhard Fahrbach, who was chief scientist on all cruises reported here and an inspiration for our work in the Weddell Sea.</t>
  </si>
  <si>
    <t>10.1016/j.marchem.2015.08.007</t>
  </si>
  <si>
    <t>WOS:000366788600014</t>
  </si>
  <si>
    <t>Pasquer, B; Metzl, N; Goosse, H; Lancelot, C</t>
  </si>
  <si>
    <t>Pasquer, B.; Metzl, N.; Goosse, H.; Lancelot, C.</t>
  </si>
  <si>
    <t>What drives the seasonality of air-sea CO2 fluxes in the ice-free zone of the Southern Ocean: A 1D coupled physical-biogeochemical model approach</t>
  </si>
  <si>
    <t>Biogeochemical modelling; Southern Ocean; Air-sea CO2 fluxes; Seasonality</t>
  </si>
  <si>
    <t>TIME-SERIES STATION; NATURAL IRON-FERTILIZATION; NET PRIMARY PRODUCTION; INDIAN SECTOR; INTERANNUAL VARIABILITY; EMILIANIA-HUXLEYI; PHYTOPLANKTON BIOMASS; ATLANTIC SECTOR; DISSOLVED IRON; PACIFIC SECTOR</t>
  </si>
  <si>
    <t>The complex biogeochemical SWAMCO-3 model has been used to assess the response of the ice-free Southern Ocean to the physical and biological mechanisms governing air-sea CO2 exchanges. For this application, the model explicitly details the dynamics of three Phytoplankton Functional Types (PFTs) of importance for C, N, P, Si, Fe cycling and air-sea CO2 exchange in this area. These are the diatoms, the pico-nanophytoplankton and the coccolithophores whose growth regulation by light, temperature and nutrients has been obtained from a literature review of phenomenological observations available for these PFTs. The performance of the SWAMCO-3 model coupled to a vertical one-dimensional physical model was first assessed at the location of the JGOFS time-series station KERFIX. The model was able to reproduce a mean seasonal cycle based on years where a maximum of chemical and biological observations are available at this location (1993-1994, 1994-1995, 1998-1999 and 2000-2001). Ocean fCO(2) in equilibrium with the atmosphere are simulated both in Austral winter associated with surface layer replenishment in DIC due to deep vertical mixing and in late summer as a consequence of the warming effect on the carbonate system. A clear under-saturation is found in spring/summer. Analysis of the modelled seasonal biogeochemical and physical features shows that thermodynamical conditions are driving the air-sea exchange of CO2 in the region, while the biological activity under the control of light and iron availability, is responsible for the predicted relatively modest annual carbon sink (-0.9 mol C m(-2) y(-1)). (C) 2015 Elsevier B.V. All rights reserved.</t>
  </si>
  <si>
    <t>[Pasquer, B.; Lancelot, C.] Univ Libre Bruxelles, Ecol Syst Aquat, B-1050 Brussels, Belgium; [Metzl, N.] Univ Paris 06, Sorbonne Univ, LOCEAN IPSL Lab, CNRS IRD MNHN, F-75005 Paris, France; [Goosse, H.] Catholic Univ Louvain, Ctr Rech Terre &amp; Climat Georges Lemaitre, Earth &amp; Life Inst, Louvain, Belgium</t>
  </si>
  <si>
    <t>Universite Libre de Bruxelles; Sorbonne Universite; Museum National d'Histoire Naturelle (MNHN); Institut de Recherche pour le Developpement (IRD); Universite Catholique Louvain</t>
  </si>
  <si>
    <t>Lancelot, C (corresponding author), Univ Libre Bruxelles, Ecol Syst Aquat, CP-221,Bd Triomphe, B-1050 Brussels, Belgium.</t>
  </si>
  <si>
    <t>lancelot@ulb.ac.be</t>
  </si>
  <si>
    <t>metzl, nicolas/0000-0002-1165-1074</t>
  </si>
  <si>
    <t>European Union IRONAGES project [EVK2-CT-1999-00031]; Belgian research projects BELCANTO [EV/11/7B]; IFRTP/TAAF; INSU; long-term observational programme OISO aboard R.V. Marion-Dufresne; French institute INSU; French institute IPEV; French institute IPSL</t>
  </si>
  <si>
    <t>European Union IRONAGES project; Belgian research projects BELCANTO; IFRTP/TAAF; INSU(Centre National de la Recherche Scientifique (CNRS)); long-term observational programme OISO aboard R.V. Marion-Dufresne; French institute INSU; French institute IPEV; French institute IPSL</t>
  </si>
  <si>
    <t>This work is part of the European Union IRONAGES project funded under contract No.EVK2-CT-1999-00031 by the Key Action2 Global Change, Climate and Biodiversity for the theme Energy, Environment and Sustainable Development. Support was also given by the Belgian research projects BELCANTO (contract No.EV/11/7B) in the scope of the Belgian Federal Scientific Research Programme on Sustainable Development - Antarctic and Climate Change. We like to thank Hein de Baar, the project leader of IRONAGES, for his continuous scientific support. H. Goosse is a senior research associate with the Belgian National Fund for Scientific Research. Data used for the model implementation and validation were obtained from the French monitoring station KERFIX funded by IFRTP/TAAF, INSU and the long-term observational programme OISO aboard R.V. Marion-Dufresne, supported by the French institutes INSU, IPEV and IPSL.</t>
  </si>
  <si>
    <t>10.1016/j.marchem.2015.08.008</t>
  </si>
  <si>
    <t>WOS:000366788600015</t>
  </si>
  <si>
    <t>Brito, AC; Sá, C; Mendes, CR; Brand, T; Dias, AM; Brotas, V; Davidson, K</t>
  </si>
  <si>
    <t>Brito, Ana C.; Sa, Carolina; Mendes, Carlos R.; Brand, Tim; Dias, Ana M.; Brotas, Vanda; Davidson, Keith</t>
  </si>
  <si>
    <t>Structure of late summer phytoplankton community in the Firth of Lorn (Scotland) using microscopy and HPLC-CHEMTAX</t>
  </si>
  <si>
    <t>ESTUARINE COASTAL AND SHELF SCIENCE</t>
  </si>
  <si>
    <t>Phytoplankton assemblage; Environmental drivers; HPLC-CHEMTAX; Microscopy; Functional groups; Fjords</t>
  </si>
  <si>
    <t>DEEP-WATER RENEWAL; SKELETONEMA-COSTATUM; MARINE-PHYTOPLANKTON; PIGMENT ANALYSIS; PARALIA-SULCATA; HELGOLAND ROADS; LIMITED GROWTH; SPRING BLOOM; COASTAL; DIATOMS</t>
  </si>
  <si>
    <t>The Firth of Lorn is at the mouth of one of Scotland's largest fjordic sea lochs, Loch Linnhe. This sea loch, which is fed by a number of other inner lochs, supplies a significant flow of freshwater, which frequently causes the stratification of the water column. To investigate how environmental conditions influence the spatial distribution of phytoplankton in this region water samples were collected for phytoplankton (pigments and microscopy), and other environmental variables including nutrients. Chemotaxonomy was used to estimate the contribution of different taxonomic groups to total chlorophyll a (phytoplankton biomass index). Good agreement was obtained between chemotaxonomy and microscopy data. The highest levels of chlorophyll a (similar to 2.6 mg m(-3)) were found in the vicinity of Oban Bay, where cryptophytes, the most abundant group, dinoflagellates and other flagellates thrived in the stratified water column. Centric diatoms, mainly Chaetoceros sp. and Skeletonema costatum, were associated with NH4 and SiO2 concentrations and stratification, while pennate diatoms, mainly Cylindrotheca sp. and Nitzchia sp., were found to be associated with NO3 + NO2 and high surface mixed layer depths. Four diatom groups were identified in accordance to their surface to volume ratios, as well as their affinity to environmental parameters (nutrients) and turbulence. This study used a combination of physico-chemical data, classical microscopy methods (appropriate for large cells &gt; 20 mu m) and HPLC-CHEMTAX approaches (for large and small cells) to evaluate the distribution of phytoplankton functional groups in a fjordic coastal area. (C) 2015 Elsevier Ltd. All rights reserved.</t>
  </si>
  <si>
    <t>[Brito, Ana C.; Sa, Carolina; Dias, Ana M.; Brotas, Vanda] Univ Lisbon, Fac Ciencias, MARE Marine &amp; Environm Sci Ctr, P-1749016 Lisbon, Portugal; [Mendes, Carlos R.] Univ Fed Rio Grande FURG, Inst Oceanog, BR-96201900 Rio Grande, RS, Brazil; [Brand, Tim; Davidson, Keith] Scottish Marine Inst, Scottish Assoc Marine Sci, Oban PA37 1QA, Argyll, Scotland</t>
  </si>
  <si>
    <t>Universidade de Lisboa; Universidade Federal do Rio Grande; UHI Millennium Institute</t>
  </si>
  <si>
    <t>Brito, AC (corresponding author), Univ Lisbon, Fac Ciencias, MARE Marine &amp; Environm Sci Ctr, P-1749016 Lisbon, Portugal.</t>
  </si>
  <si>
    <t>acbrito@fc.ul.pt</t>
  </si>
  <si>
    <t>Mendes, Carlos/GVU-7596-2022; Davidson, Keith/A-5474-2013; Brito, Ana C./N-1177-2019; Mendes, Carlos/AAD-6504-2021; Mendes, Carlos/I-1520-2012; Brito, Ana/F-4473-2011; Brotas, Vanda/A-2410-2012; Sa, Carolina/C-2268-2012</t>
  </si>
  <si>
    <t>Mendes, Carlos/0000-0001-6875-8860; Brito, Ana C./0000-0001-6539-5830; Mendes, Carlos/0000-0001-6875-8860; Brito, Ana/0000-0001-6539-5830; Brotas, Vanda/0000-0001-8612-4167; Davidson, Keith/0000-0001-9269-3227; Sa, Carolina/0000-0001-8252-4593</t>
  </si>
  <si>
    <t>Portuguese Post-doc grant from Fundacao para a Ciencia e a Tecnologia (FCT) [BPD/63017/2009]; FCT Investigador Programme [IF/00331/2013]; FCT [BD/24245/2005, PEst-OE/MAR/UI0199/2014]; EU FP7 AQUA-USERS [FP7-607325]; CAPES (Brazil); NERC Shelf Seas Biogeochemistry programme; EU ASSEMBLE Project [FP7-227799]; Natural Environment Research Council [NE/K001884/1] Funding Source: researchfish; NERC [NE/K001884/1] Funding Source: UKRI</t>
  </si>
  <si>
    <t>Portuguese Post-doc grant from Fundacao para a Ciencia e a Tecnologia (FCT); FCT Investigador Programme; FCT(Fundacao para a Ciencia e a Tecnologia (FCT)); EU FP7 AQUA-USERS(European Union (EU)); CAPES (Brazil)(Coordenacao de Aperfeicoamento de Pessoal de Nivel Superior (CAPES)); NERC Shelf Seas Biogeochemistry programme; EU ASSEMBLE Project; Natural Environment Research Council(UK Research &amp; Innovation (UKRI)Natural Environment Research Council (NERC)); NERC(UK Research &amp; Innovation (UKRI)Natural Environment Research Council (NERC))</t>
  </si>
  <si>
    <t>The authors are deeply indebted to all people who assisted during sampling and laboratory work at SAMS. Special thanks to Sharon McNeill (SAMS). We are grateful to Simon Wright, from the Australian Antarctic Division, for providing CHEMTAX v.1.95.Ana C. Brito was funded by a Portuguese Post-doc grant from Fundacao para a Ciencia e a Tecnologia (FCT; BPD/63017/2009) and FCT Investigador Programme (IF/00331/2013). Carolina Sa received a PhD grant from FCT (BD/24245/2005) and an additional grant from the EU FP7 AQUA-USERS (FP7-607325). Carlos R. Mendes was funded by a postdoc grant from CAPES (Brazil). Keith Davidson was in receipt of funding from the NERC Shelf Seas Biogeochemistry programme. This study was conducted in the framework of EU ASSEMBLE Project (FP7-227799) and also received support by FCT (PEst-OE/MAR/UI0199/2014).</t>
  </si>
  <si>
    <t>0272-7714</t>
  </si>
  <si>
    <t>1096-0015</t>
  </si>
  <si>
    <t>ESTUAR COAST SHELF S</t>
  </si>
  <si>
    <t>Estuar. Coast. Shelf Sci.</t>
  </si>
  <si>
    <t>10.1016/j.ecss.2015.07.006</t>
  </si>
  <si>
    <t>DA2MS</t>
  </si>
  <si>
    <t>WOS:000367630300010</t>
  </si>
  <si>
    <t>Mawji, E; Schlitzer, R; Dodas, EM; Abadie, C; Abouchami, W; Anderson, RF; Baars, O; Bakker, K; Baskaran, M; Bates, NR; Bluhm, K; Bowie, A; Bown, J; Boye, M; Boyle, EA; Branellec, P; Bruland, KW; Brzezinski, MA; Bucciarelli, E; Buesseler, K; Butler, E; Cai, PH; Cardinal, D; Casciotti, K; Chaves, J; Cheng, H; Chever, F; Church, TM; Colman, AS; Conway, TM; Croot, PL; Cutter, GA; de Baar, HJW; de Souza, GF; Dehairs, F; Deng, FF; Dieu, HT; Dulaquais, G; Echegoyen-Sanz, Y; Edwards, RL; Fahrbach, E; Fitzsimmons, J; Fleisher, M; Frank, M; Friedrich, J; Fripiat, F; Galer, SJG; Gamo, T; Solsona, EG; Gerringa, LJA; Godoy, JM; Gonzalez, S; Grossteffan, E; Hatta, M; Hayes, CT; Heller, MI; Henderson, G; Huang, KF; Jeandel, C; Jenkins, WJ; John, S; Kenna, TC; Klunder, M; Kretschmer, S; Kumamoto, Y; Laan, P; Labatut, M; Lacan, F; Lam, PJ; Lannuzel, D; le Moigne, F; Lechtenfeld, OJ; Lohan, MC; Lu, YB; Masqué, P; McClain, CR; Measures, C; Middag, R; Moffett, J; Navidad, A; Nishioka, J; Noble, A; Obata, H; Ohnemus, DC; Owens, S; Planchon, F; Pradoux, C; Puigcorbé, V; Quay, P; Radic, A; Rehkämper, M; Remenyi, T; Rijkenberg, MJA; Rintoul, S; Robinson, LF; Roeske, T; Rosenberg, M; van der Loeff, MR; Ryabenko, E; Saito, MA; Roshan, S; Salt, L; Sarthou, G; Schauer, U; Scott, P; Sedwick, PN; Sha, LJ; Shiller, AM; Sigman, DM; Smethie, W; Smith, GJ; Sohrin, Y; Speich, S; Stichel, T; Stutsman, J; Swift, JH; Tagliabue, A; Thomas, A; Tsunogai, U; Twining, BS; van Aken, HM; van Heuven, S; van Ooijen, J; van Weerlee, E; Venchiarutti, C; Voelker, AHL; Wake, B; Warner, MJ; Woodward, EMS; Wu, JF; Wyatt, N; Yoshikawa, H; Zheng, XY; Xue, ZC; Zieringer, M; Zimmer, LA</t>
  </si>
  <si>
    <t>Mawji, Edward; Schlitzer, Reiner; Dodas, Elena Masferrer; Abadie, Cyril; Abouchami, Wafa; Anderson, Robert F.; Baars, Oliver; Bakker, Karel; Baskaran, Mark; Bates, Nicholas R.; Bluhm, Katrin; Bowie, Andrew; Bown, Johann; Boye, Marie; Boyle, Edward A.; Branellec, Pierre; Bruland, Kenneth W.; Brzezinski, Mark A.; Bucciarelli, Eva; Buesseler, Ken; Butler, Edward; Cai, Pinghe; Cardinal, Damien; Casciotti, Karen; Chaves, Joaquin; Cheng, Hai; Chever, Fanny; Church, Thomas M.; Colman, Albert S.; Conway, Tim M.; Croot, Peter L.; Cutter, Gregory A.; de Baar, Hein J. W.; de Souza, Gregory F.; Dehairs, Frank; Deng, Feifei; Huong Thi Dieu; Dulaquais, Gabriel; Echegoyen-Sanz, Yolanda; Edwards, R. Lawrence; Fahrbach, Eberhard; Fitzsimmons, Jessica; Fleisher, Martin; Frank, Martin; Friedrich, Jana; Fripiat, Francois; Galer, Stephen J. G.; Gamo, Toshitaka; Solsona, Ester Garcia; Gerringa, Loes J. A.; Godoy, Jose Marcus; Gonzalez, Santiago; Grossteffan, Emilie; Hatta, Mariko; Hayes, Christopher T.; Heller, Maija Iris; Henderson, Gideon; Huang, Kuo-Fang; Jeandel, Catherine; Jenkins, William J.; John, Seth; Kenna, Timothy C.; Klunder, Maarten; Kretschmer, Sven; Kumamoto, Yuichiro; Laan, Patrick; Labatut, Marie; Lacan, Francois; Lam, Phoebe J.; Lannuzel, Delphine; le Moigne, Frederique; Lechtenfeld, Oliver J.; Lohan, Maeve C.; Lu, Yanbin; Masque, Pere; McClain, Charles R.; Measures, Christopher; Middag, Rob; Moffett, James; Navidad, Alicia; Nishioka, Jun; Noble, Abigail; Obata, Hajime; Ohnemus, Daniel C.; Owens, Stephanie; Planchon, Frederic; Pradoux, Catherine; Puigcorbe, Viena; Quay, Paul; Radic, Amandine; Rehkaemper, Mark; Remenyi, Tomas; Rijkenberg, Micha J. A.; Rintoul, Stephen; Robinson, Laura F.; Roeske, Tobias; Rosenberg, Mark; van der Loeff, Michiel Rutgers; Ryabenko, Evgenia; Saito, Mak A.; Roshan, Saeed; Salt, Lesley; Sarthou, Geraldine; Schauer, Ursula; Scott, Peter; Sedwick, Peter N.; Sha, Lijuan; Shiller, Alan M.; Sigman, Daniel M.; Smethie, William; Smith, Geoffrey J.; Sohrin, Yoshiki; Speich, Sabrina; Stichel, Torben; Stutsman, Johnny; Swift, James H.; Tagliabue, Alessandro; Thomas, Alexander; Tsunogai, Urumu; Twining, Benjamin S.; van Aken, Hendrik M.; van Heuven, Steven; van Ooijen, Jan; van Weerlee, Evaline; Venchiarutti, Celia; Voelker, Antje H. L.; Wake, Bronwyn; Warner, Mark J.; Woodward, E. Malcolm S.; Wu, Jingfeng; Wyatt, Neil; Yoshikawa, Hisayuki; Zheng, Xin-Yuan; Xue, Zichen; Zieringer, Moritz; Zimmer, Louise A.</t>
  </si>
  <si>
    <t>The GEOTRACES Intermediate Data Product 2014</t>
  </si>
  <si>
    <t>GEOTRACES; Trace elements; Isotopes; Electronic atlas</t>
  </si>
  <si>
    <t>The GEOTRACES Intermediate Data Product 2014 (IDP2014) is the first publicly available data product of the international GEOTRACES programme, and contains data measured and quality controlled before the end of 2013. It consists of two parts: (1) a compilation of digital data for more than 200 trace elements and isotopes (TEls) as well as classical hydrographic parameters, and (2) the eGEOTRACES Electronic Atlas providing a strongly inter-linked on-line atlas including more than 300 section plots and 90 animated 3D scenes. The IDP2014 covers the Atlantic, Arctic, and Indian oceans, exhibiting highest data density in the Atlantic. The TEI data in the IDP2014 are quality controlled by careful assessment of intercalibration results and multi-laboratory data comparisons at cross-over stations. The digital data are provided in several formats, including ASCII spreadsheet, Excel spreadsheet, netCDF, and Ocean Data View collection. In addition to the actual data values the IDP2014 also contains data quality flags and 1-sigma data error values where available. Quality flags and error values are useful for data filtering. Metadata about data originators, analytical methods and original publications related to the data are linked to the data in an easily accessible way. The eGEOTRACES Electronic Atlas is the visual representation of the IDP2014 data providing section plots and a new kind of animated 3D scenes. The basin-wide 3D scenes allow for viewing of data from many cruises at the same time, thereby providing quick overviews of large-scale tracer distributions. In addition, the 3D scenes provide geographical and bathymetric context that is crucial for the interpretation and assessment of observed tracer plumes, as well as for making inferences about controlling processes. (C) 2015 The Authors. Published by Elsevier B.V.</t>
  </si>
  <si>
    <t>[Mawji, Edward] Univ Southampton, British Oceanog Data Ctr, Southampton S014 3ZH, Hants, England; [Schlitzer, Reiner; Fahrbach, Eberhard; Kretschmer, Sven; Lechtenfeld, Oliver J.; Roeske, Tobias; van der Loeff, Michiel Rutgers; Schauer, Ursula; Venchiarutti, Celia] Helmholtz Ctr Polar &amp; Marine Res, Alfred Wegener Inst, D-27570 Bremerhaven, Germany; [Dodas, Elena Masferrer; Abadie, Cyril; Jeandel, Catherine; Labatut, Marie; Lacan, Francois; Pradoux, Catherine; Radic, Amandine] Univ Toulouse 3, CNRS, CNES, IRD,LEGOS,, F-31400 Toulouse, France; [Abouchami, Wafa; Galer, Stephen J. G.] Max Planck Inst Chem, D-55128 Mainz, Germany; [Anderson, Robert F.; Fleisher, Martin; Hayes, Christopher T.; Kenna, Timothy C.; Smethie, William] Columbia Univ, Lamont Doherty Earth Observ, Palisades, NY 10964 USA; [Baars, Oliver; Sigman, Daniel M.] MJ Univ, Dept Geosci, Princeton, NJ 08544 USA; [Bakker, Karel; de Baar, Hein J. W.; Gerringa, Loes J. A.; Gonzalez, Santiago; Klunder, Maarten; Laan, Patrick; Rijkenberg, Micha J. A.; Salt, Lesley; van Aken, Hendrik M.; van Ooijen, Jan; van Weerlee, Evaline] Royal Netherlands Inst Sea Res, NL-1790 AB Den Burg, Netherlands; [Baskaran, Mark] Wayne State Univ, Dept Geol, Detroit, MI 48202 USA; [Bates, Nicholas R.] Bermuda Inst Ocean Sci, GE-01 St Georges, Bermuda; [Bluhm, Katrin; Frank, Martin; Ryabenko, Evgenia; Zieringer, Moritz] Helmholtz Ctr Ocean Res Kiel, GEOMAR, D-24148 Kiel, Germany; [Bowie, Andrew; Lannuzel, Delphine; Remenyi, Tomas] Univ Tasmania, Antarctic Climate &amp; Ecosyst CRC, Hobart, Tas 7001, Australia; [Bowie, Andrew; Lannuzel, Delphine; Remenyi, Tomas] Univ Tasmania, Inst Marine &amp; Antarctic Studies, Hobart, Tas 7001, Australia; [Bown, Johann; Boye, Marie; Dulaquais, Gabriel; Grossteffan, Emilie; Sarthou, Geraldine; Wake, Bronwyn] IUEM, IFREMER, CNRS, Lab Marine Environm Sci,LEMAR,UMR 6539,UBO,IRD, F-29280 Plouzane, France; [Boyle, Edward A.; Echegoyen-Sanz, Yolanda; Fitzsimmons, Jessica] MIT, Dept Earth Atmospher &amp; Planetary Sci, Cambridge, MA 02139 USA; [Branellec, Pierre] IFREMER, F-29280 Plouzane, France; [Bruland, Kenneth W.; Heller, Maija Iris; Lam, Phoebe J.; Smith, Geoffrey J.] Univ Calif Santa Cruz, Dept Ocean Sci, Santa Cruz, CA 95064 USA; [Brzezinski, Mark A.] Univ Calif Santa Barbara, Inst Marine Sci, Santa Barbara, CA 93106 USA; [Brzezinski, Mark A.] Univ Calif Santa Barbara, Dept Ecol Evolut &amp; Marine Biol, Santa Barbara, CA 93106 USA; [Bucciarelli, Eva; Planchon, Frederic] Univ Brest, Lab Sci Environm Marin LEMAR, F-29280 Plouzane, France; [Buesseler, Ken; Casciotti, Karen; Jenkins, William J.; Owens, Stephanie; Saito, Mak A.] Woods Hole Oceanog Inst, Dept Marine Chem &amp; Geochem, Woods Hole, MA 02543 USA; [Butler, Edward] Australian Inst Marine Sci, Casuarina, NT 0811, Australia; [Cai, Pinghe] Xiamen Univ, State Key Lab Marine Environm Sci, Xiamen 361005, Peoples R China; [Cardinal, Damien] Univ Paris 06, Univ Sorbonne, CNRS, IRD,MNHN,LOCEAN Lab, F-75252 Paris 5, France; [Chaves, Joaquin; McClain, Charles R.] NASA, Goddard Space Flight Ctr, Ocean Ecol Lab, Greenbelt, MD 20771 USA; [Cheng, Hai; Sha, Lijuan] Xi An Jiao Tong Univ, Inst Global Environm Change, Xian 710049, Peoples R China; [Chever, Fanny] Univ Southampton, Natl Oceanog Ctr, Sch Ocean &amp; Earth Sci, Southampton S014 3ZH, Hants, England; [Church, Thomas M.] Univ Delaware, Coll Earth Ocean &amp; Environm, Newark, DE 19716 USA; [Colman, Albert S.] Univ Chicago, Dept Geophys Sci, Chicago, IL 60637 USA; [Conway, Tim M.; John, Seth] Univ S Carolina, Dept Earth &amp; Ocean Sci, Columbia, SC 29208 USA; [Croot, Peter L.; Nishioka, Jun] Natl Univ Ireland Galway NU1 Galway, Sch Nat Sci, Dept Earth &amp; Ocean Sci, Galway, Ireland; [Cutter, Gregory A.; Sedwick, Peter N.; Zimmer, Louise A.] Old Dominion Univ, Dept Ocean Earth &amp; Atmospher Sci, Norfolk, VA 23529 USA; [de Souza, Gregory F.] Swiss Fed Inst Technol, Inst Geochem &amp; Petrol, CH-8092 Zurich, Switzerland; [Dehairs, Frank; Fripiat, Francois] Vrije Univ Brussel, Analyt Environm &amp; Geochem Dept, B-1050 Brussels, Belgium; [Deng, Feifei; Henderson, Gideon; Scott, Peter; Zheng, Xin-Yuan] Univ Oxford, Dept Earth Sci, Oxford 0X1 3AN, England; [Huong Thi Dieu; Sohrin, Yoshiki] Kyoto Univ, Inst Chem Res, Uji 6110011, Japan; [Edwards, R. Lawrence; Lu, Yanbin] Univ Minnesota, Dept Earth Sci, Minneapolis, MN 55455 USA; [Friedrich, Jana] Helmholtz Zentrum Geesthacht, Ctr Mat &amp; Coastal Res, D-21502 Geesthacht, Germany; [Gamo, Toshitaka; Obata, Hajime] Univ Tokyo, Atmosphere &amp; Ocean Res Inst, Kashiwa, Chiba 2778564, Japan; [Solsona, Ester Garcia; Masque, Pere; Puigcorbe, Viena] Univ Autonoma Barcelona, Dept Phys, Bellaterra 08193, Spain; [Solsona, Ester Garcia; Masque, Pere; Puigcorbe, Viena] Univ Autonoma Barcelona, Inst Environm Sci &amp; Technol, Bellaterra 08193, Spain; [Friedrich, Jana] Pontificia Univ Catolica Rio de Janeiro, Dept Chem, BR-22453900 Rio De Janeiro, Brazil; [Hatta, Mariko; Measures, Christopher] Univ Hawaii Manoa, Dept Oceanog, Honolulu, HI 96822 USA; [Huang, Kuo-Fang] Acad Sinica, Inst Earth Sci, Taipei 11529, Taiwan; [Kumamoto, Yuichiro] Japan Agcy Marine Earth Sci &amp; Technol, Res &amp; Dev Ctr Global Change, Yokosuka, Kanagawa 2370061, Japan; [Rosenberg, Mark] Antarctic Climate &amp; Ecosyst CRC, Hobart, Tas 7001, Australia; [le Moigne, Frederique] Natl Oceanog Ctr, Southampton S014 3ZH, Hants, England; [Lohan, Maeve C.; Wyatt, Neil] Univ Plymouth, Sch Geog Earth &amp; Environm Sci, Drake Circus, Plymouth PLA 8AA, Devon, England; [Middag, Rob] Univ Otago, Res Ctr Oceanog, NIWA, Dept Chem, Dunedin 9054, New Zealand; [Moffett, James] Univ So Calif, Dept Biol Sci, Los Angeles, CA 90089 USA; CSIRO Marine &amp; Atmospher Res, Hobart, Tas 7000, Australia; Hokkaido Univ, Inst Low Temp Sci, Kita Ku, Sapporo, Hokkaido 0600819, Japan; [Noble, Abigail] Environm Chem Grp, Cambridge, MA 02138 USA; [Ohnemus, Daniel C.; Twining, Benjamin S.] Bigelow Lab Ocean Sci, East Boothbay, ME 04544 USA; [Quay, Paul; Stutsman, Johnny; Warner, Mark J.] Univ Washington, Sch Oceanog, Seattle, WA 98195 USA; [Rehkaemper, Mark; Xue, Zichen] Univ London Imperial Coll Sci Technol &amp; Med, Dept Earth Sci &amp; Engn, London SW7 2AZ, England; [Rintoul, Stephen] CSIRO Oceans &amp; Atmosphere Flagship, Hobart, Tas 7001, Australia; [Robinson, Laura F.] Univ Bristol, Sch Earth Sci, Bristol BS8 1RJ, Avon, England; [Shiller, Alan M.] Univ So Mississippi, Dept Marine Sci, Stennis Space Ctr, MS 39529 USA; [Speich, Sabrina] Univ Western Brittany, Ocean Phys Lab, F-29285 Brest, France; [Stichel, Torben] Univ Southampton, Natl Oceanog Ctr Southampton, Ocean &amp; Earth Sci, Southampton S014 3ZH, Hants, England; [Swift, James H.] Univ Calif San Diego, Scripps Inst Oceanog, La Jolla, CA 92093 USA; [Tagliabue, Alessandro] Univ Liverpool, Sch Environm Sci, Dept Earth Ocean &amp; Ecol Sci, Liverpool L69 3BX, Merseyside, England; [Thomas, Alexander] Univ Edinburgh, Sch Geosci, Grant Inst, Edinburgh EH9 3FE, Midlothian, Scotland; [Tsunogai, Urumu] Nagoya Univ, Grad Sch Environm Studies, Chikusa Ku, Nagoya, Aichi 4648601, Japan; [van Heuven, Steven] Univ Groningen, Energy &amp; Sustainabil Res Inst Groningen, NL-9747 AG Groningen, Netherlands; [Voelker, Antje H. L.] Portuguese Inst Ocean &amp; Atmosphere IPMA, P-1449006 Lisbon, Portugal; [Woodward, E. Malcolm S.] Plymouth Marine Lab, Plymouth PL1 3DH, Devon, England; [Roshan, Saeed; Wu, Jingfeng] Univ Miami, Rosenstiel Sch Marine &amp; Atmospher Sci, MAC, Miami, FL 33149 USA; [Yoshikawa, Hisayuki] Hokkaido Univ, Grad Sch Environm Sci, Kita Ku, Sapporo, Hokkaido 0600810, Japan; [Yoshikawa, Hisayuki] Hokkaido Univ, Fac Environm Earth Sci, Kita Ku, Sapporo, Hokkaido 0600810, Japan</t>
  </si>
  <si>
    <t>University of Southampton; Helmholtz Association; Alfred Wegener Institute, Helmholtz Centre for Polar &amp; Marine Research; Universite de Toulouse; Universite Toulouse III - Paul Sabatier; Centre National de la Recherche Scientifique (CNRS); Institut de Recherche pour le Developpement (IRD); Laboratoire d'Etudes en Geophysique et oceanographie spatiales; Max Planck Society; Columbia University; Utrecht University; Royal Netherlands Institute for Sea Research (NIOZ); Wayne State University; Bermuda Institute of Ocean Sciences; Helmholtz Association; GEOMAR Helmholtz Center for Ocean Research Kiel; University of Tasmania; University of Tasmania; Centre National de la Recherche Scientifique (CNRS); Ifremer; Institut de Recherche pour le Developpement (IRD); Universite de Bretagne Occidentale; Institut Universitaire Europeen de la Mer (IUEM); CNRS - Institute of Ecology &amp; Environment (INEE); Massachusetts Institute of Technology (MIT); Ifremer; University of California System; University of California Santa Cruz; University of California System; University of California Santa Barbara; University of California System; University of California Santa Barbara; Universite de Bretagne Occidentale; Centre National de la Recherche Scientifique (CNRS); Ifremer; Institut de Recherche pour le Developpement (IRD); Woods Hole Oceanographic Institution; Australian Institute of Marine Science; Xiamen University; Institut de Recherche pour le Developpement (IRD); Museum National d'Histoire Naturelle (MNHN); Centre National de la Recherche Scientifique (CNRS); Sorbonne Universite; National Aeronautics &amp; Space Administration (NASA); NASA Goddard Space Flight Center; Xi'an Jiaotong University; NERC National Oceanography Centre; University of Southampton; University of Delaware; University of Chicago; University of South Carolina System; University of South Carolina Columbia; Old Dominion University; Swiss Federal Institutes of Technology Domain; ETH Zurich; Vrije Universiteit Brussel; University of Oxford; Kyoto University; University of Minnesota System; University of Minnesota Twin Cities; Helmholtz Association; Helmholtz-Zentrum Hereon; University of Tokyo; Autonomous University of Barcelona; Autonomous University of Barcelona; Pontificia Universidade Catolica do Rio de Janeiro; University of Hawaii System; University of Hawaii Manoa; Academia Sinica - Taiwan; Japan Agency for Marine-Earth Science &amp; Technology (JAMSTEC); University of Tasmania; NERC National Oceanography Centre; University of Plymouth; University of Otago; University of Southern California; Commonwealth Scientific &amp; Industrial Research Organisation (CSIRO); Hokkaido University; Bigelow Laboratory for Ocean Sciences; University of Washington; University of Washington Seattle; Imperial College London; Commonwealth Scientific &amp; Industrial Research Organisation (CSIRO); University of Bristol; University of Southern Mississippi; Universite de Bretagne Occidentale; University of Southampton; NERC National Oceanography Centre; University of California System; University of California San Diego; Scripps Institution of Oceanography; University of Liverpool; University of Edinburgh; Nagoya University; University of Groningen; Instituto Portugues do Mar e da Atmosfera; Plymouth Marine Laboratory; University of Miami; Hokkaido University; Hokkaido University</t>
  </si>
  <si>
    <t>Schlitzer, R (corresponding author), Helmholtz Ctr Polar &amp; Marine Res, Alfred Wegener Inst, Handelshafen 12, D-27570 Bremerhaven, Germany.</t>
  </si>
  <si>
    <t>Reiner.Schlitzer@awi.de</t>
  </si>
  <si>
    <t>Friedrich, Jana/AAG-4840-2021; Rijkenberg, Micha JA/C-3245-2012; Echegoyen, Yolanda/GZL-0388-2022; John, Sunday/GRS-5348-2022; Frederic, Planchon A.M./A-8651-2010; Croot, Peter/C-8460-2009; Puigcorbé, Viena/I-9349-2016; Saito, Mak/ADT-4986-2022; Edwards, Richard/JAX-3732-2023; Masque, Pere/AAC-9349-2022; Lam, Phoebe/GQQ-7325-2022; Heller, Maija I/AAU-4901-2020; Edwards, R. Lawrence/I-3124-2014; labatut, marie/G-1016-2010; CHENG, HAI/H-3413-2017; Nishioka, Jun/F-5314-2011; Fripiat, François/ABB-8918-2021; Fitzsimmons, Jessica N/G-1343-2011; Sigman, Daniel M./IYJ-2613-2023; Masque, Pere/B-7379-2008; Yoshikawa, Hisayuki/A-4056-2012; Thomas, Alex L/D-1028-2012; Croot, Peter/U-5296-2019; Huang, Kuo-Fang/M-2740-2019; Lechtenfeld, Oliver J./A-6480-2013; Tsunogai, Urumu/C-8303-2011; Baskaran, Mark/AAN-2253-2020; Speich, Sabrina/L-3780-2014; Voelker, Antje/C-5427-2012; Cardinal, Damien/AAM-6215-2021; Ohnemus, Daniel C/X-7728-2018; Woodward, Ernest M S/D-5755-2016; Rintoul, Stephen R/A-1471-2012; Lacan, Francois/B-8032-2009; Sigman, Daniel M./A-2649-2008; Godoy, Jose Marcus/B-2579-2014; Shi, Wei/G-5129-2011; Le Moigne, Frederic/O-9851-2014; Bowie, Andrew/C-8677-2013; Cutter, Gregory/C-7898-2017; Middag, Rob/D-6423-2013; Sohrin, Yoshiki/A-8133-2011; Hayes, Christopher/P-3145-2016; Scott, Peter/N-4355-2017; lannuzel, delphine/J-7937-2014</t>
  </si>
  <si>
    <t>John, Sunday/0000-0003-2296-7653; Croot, Peter/0000-0003-1396-0601; Puigcorbé, Viena/0000-0001-5892-2305; Masque, Pere/0000-0002-1789-320X; Heller, Maija I/0000-0002-1258-8660; CHENG, HAI/0000-0002-5305-9458; Nishioka, Jun/0000-0003-1723-9344; Masque, Pere/0000-0002-1789-320X; Huang, Kuo-Fang/0000-0002-7858-4865; Lechtenfeld, Oliver J./0000-0001-5313-6014; Tsunogai, Urumu/0000-0002-1517-3284; Baskaran, Mark/0000-0002-2218-4328; Speich, Sabrina/0000-0002-5452-8287; Voelker, Antje/0000-0001-6465-6023; Cardinal, Damien/0000-0003-1238-8412; Ohnemus, Daniel C/0000-0001-6362-4134; Rintoul, Stephen R/0000-0002-7055-9876; Lacan, Francois/0000-0001-6794-2279; Sigman, Daniel M./0000-0002-7923-1973; Godoy, Jose Marcus/0000-0001-6135-090X; John, Seth/0000-0002-8257-626X; Henderson, Gideon/0000-0002-6279-7137; Lam, Phoebe J./0000-0001-6609-698X; Le Moigne, Frederic/0000-0001-7316-5111; de Souza, Gregory/0000-0002-0232-2690; Masferrer, Elena/0000-0003-0879-1954; Planchon, Frederic/0000-0003-1288-9698; Fripiat, Francois/0000-0002-2591-6301; dulaquais, gabriel/0000-0001-9110-0469; Mawji, Edward/0000-0002-9860-1351; Bowie, Andrew/0000-0002-5144-7799; Shiller, Alan/0000-0002-2068-7909; Fitzsimmons, Jessica/0000-0002-9829-2464; Stichel, Torben/0000-0002-5925-1301; Cutter, Gregory/0000-0001-6744-6718; Wyatt, Neil/0000-0002-1080-7778; Middag, Rob/0000-0002-3326-530X; Warner, Mark J/0000-0001-7678-441X; Butler, Edward/0000-0002-6660-3985; Hatta, Mariko/0000-0002-4892-7708; Robinson, Laura/0000-0001-6811-0140; Sohrin, Yoshiki/0000-0001-6744-6048; Frank, Martin/0000-0002-8606-4421; Hayes, Christopher/0000-0002-5636-2989; Sedwick, Peter/0000-0003-0663-8323; Scott, Peter/0000-0002-1352-5901; Wake, Bronwyn/0000-0002-9053-1264; lannuzel, delphine/0000-0001-6154-1837; Deng, Feifei/0000-0002-5139-4631; Zheng, Xin-Yuan/0000-0002-7959-8046; Thomas, Alexander/0000-0002-0734-9593; Anderson, Robert/0000-0002-8472-2494; Sarthou, Geraldine/0000-0001-6560-6669; Echegoyen Sanz, Yolanda/0000-0002-3729-460X; Casciotti, Karen/0000-0002-5286-7795; Lohan, Maeve/0000-0002-5340-3108; Baars, Oliver/0000-0002-4644-5086; Twining, Benjamin/0000-0002-1365-9192</t>
  </si>
  <si>
    <t>Scientific Committee on Oceanic Research (SCOR) through grants from the U.S. National Science Foundation [OCE-0608600, OCE-0938349, OCE-1243377]; UK Natural Environment Research Council; Ministry of Earth Science of India; Centre National de Recherche Scientifique, l'Universite Paul Sabatier de Toulouse; Observatoire Midi-Pyrenees Toulouse; Universitat Autonoma de Barcelona; Kiel Excellence Cluster The Future Ocean; Swedish Museum of Natural History; University of Tokyo; University of British Columbia; Royal Netherlands Institute for Sea Research; GEOMAR-Helmholtz Centre for Ocean Research Kiel; Alfred Wegener Institute; Natural Environment Research Council [NE/G008973/1, NE/H004475/1, 1650466, NE/J021636/1, NE/H005390/1, noc010009, 1369134, NE/G016267/1] Funding Source: researchfish; Directorate For Geosciences; Division Of Ocean Sciences [1233502] Funding Source: National Science Foundation; Grants-in-Aid for Scientific Research [15H01727, 26241006, 26281001] Funding Source: KAKEN; NERC [noc010009, NE/G008973/1, NE/J021636/1, NE/H004475/1, NE/H005390/1, NE/G016267/1] Funding Source: UKRI</t>
  </si>
  <si>
    <t>Scientific Committee on Oceanic Research (SCOR) through grants from the U.S. National Science Foundation; UK Natural Environment Research Council(UK Research &amp; Innovation (UKRI)Natural Environment Research Council (NERC)); Ministry of Earth Science of India; Centre National de Recherche Scientifique, l'Universite Paul Sabatier de Toulouse; Observatoire Midi-Pyrenees Toulouse; Universitat Autonoma de Barcelona; Kiel Excellence Cluster The Future Ocean; Swedish Museum of Natural History; University of Tokyo; University of British Columbia; Royal Netherlands Institute for Sea Research; GEOMAR-Helmholtz Centre for Ocean Research Kiel; Alfred Wegener Institute; Natural Environment Research Council(UK Research &amp; Innovation (UKRI)Natural Environment Research Council (NERC)); Directorate For Geosciences; Division Of Ocean Sciences(National Science Foundation (NSF)NSF - Directorate for Geosciences (GEO)); Grants-in-Aid for Scientific Research(Ministry of Education, Culture, Sports, Science and Technology, Japan (MEXT)Japan Society for the Promotion of ScienceGrants-in-Aid for Scientific Research (KAKENHI)); NERC(UK Research &amp; Innovation (UKRI)Natural Environment Research Council (NERC))</t>
  </si>
  <si>
    <t>We gratefully acknowledge financial support by the Scientific Committee on Oceanic Research (SCOR) through grants from the U.S. National Science Foundation, including grants OCE-0608600, OCE-0938349, and OCE-1243377. Financial support was also provided by the UK Natural Environment Research Council, the Ministry of Earth Science of India, the Centre National de Recherche Scientifique, l'Universite Paul Sabatier de Toulouse, the Observatoire Midi-Pyrenees Toulouse, the Universitat Autonoma de Barcelona, the Kiel Excellence Cluster The Future Ocean, the Swedish Museum of Natural History, The University of Tokyo, The University of British Columbia, The Royal Netherlands Institute for Sea Research, the GEOMAR-Helmholtz Centre for Ocean Research Kiel, and the Alfred Wegener Institute. This work is dedicated to the memory of Eberhard Fahrbach, a great polar scientist and colleague whose legacy in polar oceanography will carry on for the years to come. Eberhard served as chief scientist on GIPY5 and was a long-time supporter of GEOTRACES.</t>
  </si>
  <si>
    <t>10.1016/j.marchem.2015.04.005</t>
  </si>
  <si>
    <t>Green Published, Green Accepted, Green Submitted, hybrid</t>
  </si>
  <si>
    <t>WOS:000366788300001</t>
  </si>
  <si>
    <t>Xie, RFC; Galer, SJG; Abouchami, W; Rijkenberg, MJA; De Jong, J; de Baar, HJW; Andreae, MO</t>
  </si>
  <si>
    <t>Xie, Ruifang C.; Galer, Stephen J. G.; Abouchami, Wafa; Rijkenberg, Micha J. A.; De Jong, Jeroen; de Baar, Hein J. W.; Andreae, Meinrat O.</t>
  </si>
  <si>
    <t>The cadmium-phosphate relationship in the western South Atlantic - The importance of mode and intermediate waters on the global systematics</t>
  </si>
  <si>
    <t>GEOTRACES GA02 transect; South Atlantic; Trace metal; Dissolved cadmium; Dissolved phosphate; Cadmium cycling; Ocean circulation</t>
  </si>
  <si>
    <t>DISSOLVED TRACE-METALS; SURFACE WATERS; OCEAN WATERS; DISTRIBUTIONS; COPPER; ZINC; NICKEL; IRON; CD; PHYTOPLANKTON</t>
  </si>
  <si>
    <t>The correlation between dissolved cadmium (Cd) and phosphate (PO4) in the modern ocean has been extensively studied. However, factors that cause the non-linearity in this global correlation are still largely debated and poorly constrained. In this study, we present vertical and meridional distributions of Cd concentrations along the GEOTRACES GACC Leg 3 transect (53 degrees S to 0 degrees S) in the western South Atlantic. The vertical profiles of dissolved Cd show typical nutrient-like distributions, matching those of the macronutrient PO4. In the surface ocean, low Cd concentrations of 0.34-45 pmol kg(-1) are measured at all stations sampled. Below the fluorescence maxima, Cd concentrations increase with depth, reaching maxima at the depths of, or slightly below, the oxygen minimum. Similarly, surface waters have very low dissolved Cd/PO4 ratios, followed by a sudden decrease at depths corresponding to the fluorescence maxima, below which the Cd/PO4 ratios increase with depth. These variations in Cd and Cd/PO4 ratios are consistent with phytoplankton uptake in the surface ocean at higher Cd/PO4 ratios compared to deep water Redfield Cd/PO4 ratios, and remineralization of high Cd/PO4 organic particles as they sink to depth. In addition, a comparison of Cd and PO4 distributions in waters within the depth range of Subantarctic Mode Water (SAMW) in our study and those in the source regions suggests that SAMW plays an important role in the non-linearity of the Cd-PO4 correlation in the global ocean. On the other hand, intermediate waters at the equatorial stations display significantly lower Cd compared to the southern stations in this study. We attribute this to the influence of low-Cd waters originating in the oxygen-depleted zone (ODZ) of the Angola Basin that are brought in via the Benguela and Equatorial Currents. In the deep ocean (&gt;1000 m), the meridional distributions of dissolved Cd concentrations and Cd/PO4 ratios reflect mixing between North Atlantic Deep Water (NADW) (low nutrients, low Cd/PO4 ratios) and Antarctic Bottom Water (AABW) (high nutrients, high Cd/PO4 ratios), showing that dissolved Cd and PO4 can reliably trace deep ocean circulation in the modern ocean. (C) 2015 Elsevier B.V. All rights reserved.</t>
  </si>
  <si>
    <t>[Xie, Ruifang C.; Galer, Stephen J. G.; Abouchami, Wafa; Andreae, Meinrat O.] Max Planck Inst Chem, Biogeochem Dept, D-55020 Mainz, Germany; [Abouchami, Wafa] Inst Phys Globe Paris, Lab Geochim Isotopes Stables, F-75238 Paris 05, France; [Rijkenberg, Micha J. A.; de Baar, Hein J. W.] Royal Netherlands Inst Sea Res, Dept Biol Oceanog, NL-1790 AB Den Burg, Netherlands; [De Jong, Jeroen] Univ Libre Bruxelles, Dept Earth &amp; Environm Sci, B-1050 Brussels, Belgium</t>
  </si>
  <si>
    <t>Max Planck Society; Universite Paris Cite; Utrecht University; Royal Netherlands Institute for Sea Research (NIOZ); Universite Libre de Bruxelles</t>
  </si>
  <si>
    <t>Xie, RFC (corresponding author), Max Planck Inst Chem, Biogeochem Dept, POB 3060, D-55020 Mainz, Germany.</t>
  </si>
  <si>
    <t>ruifang.xie@mpic.de</t>
  </si>
  <si>
    <t>Rijkenberg, Micha JA/C-3245-2012; Xie, Ruifang/JMD-0243-2023; de Jong, Jeroen/F-3190-2011; Andreae, Meinrat/B-1068-2008</t>
  </si>
  <si>
    <t>Andreae, Meinrat/0000-0003-1968-7925; Xie, Ruifang/0000-0002-6628-9236; de Jong, Jeroen/0000-0002-3034-5929</t>
  </si>
  <si>
    <t>10.1016/j.marchem.2015.06.011</t>
  </si>
  <si>
    <t>WOS:000366788300010</t>
  </si>
  <si>
    <t>Marconi, D; Weigand, MA; Rafter, PA; McIlvin, MR; Forbes, M; Casciotti, KL; Sigman, DM</t>
  </si>
  <si>
    <t>Marconi, Dario; Weigand, M. Alexandra; Rafter, Patrick A.; McIlvin, Matthew R.; Forbes, Matthew; Casciotti, Karen L.; Sigman, Daniel M.</t>
  </si>
  <si>
    <t>Nitrate isotope distributions on the US GEOTRACES North Atlantic cross-basin section: Signals of polar nitrate sources and low latitude nitrogen cycling</t>
  </si>
  <si>
    <t>Nitrate isotopes; Internal nitrogen cycle; Nitrogen fixation; Intermediate water</t>
  </si>
  <si>
    <t>OXYGEN ISOTOPES; DENITRIFIER METHOD; SOUTHERN-OCEAN; FRESH-WATER; NITRITE; CIRCULATION; FRACTIONATION; FIXATION; EQUILIBRATION; DELTA-N-15</t>
  </si>
  <si>
    <t>We report and interpret the nitrate delta N-15 and delta O-18 distributions in the cross-basin transect of the US GEOTRACES North Atlantic expedition. Low nitrate delta N-15 observed in the shallow thermocline of the central western portion of the basin (reaching as low as 2.5 parts per thousand vs. air; similar to 2.3 parts per thousand lower than deep Atlantic nitrate) reflects the remineralization of nitrogen with a low 815N, presumably mostly from nitrogen fixation. A strong correlation between the delta N-15 and concentration of nitrate argues that the focusing of the low delta N-15 signal in the upper thermocline of the North Atlantic subtropical gyre is at least partly due to the low concentration of nitrate in those waters, such that the east-to-west delta N-15 decrease in shallow thermocline nitrate does not require an east-to-west increase in nitrogen fixation rate. In underlying intermediate-depth water, which enters the section largely from the South, the nitrate delta N-15 is similar to 1 parts per thousand. higher than in deep water while the delta O-18 is similar to that in deep water. The delta N-15 elevation derives from the partial assimilation of nitrate in Southern Ocean surface waters prior to Antarctic Intermediate and Subantarctic Mode Water formation. The delta O-18 elevation of preformed nitrate in southern-sourced intermediate waters has been diluted by the addition of nitrate from regeneration/nitrification in the low latitudes, which does not similarly weaken the delta N-15 elevation. In deep water, the nitrate delta N-15 in samples with a high relative contribution of North Atlantic Deep Water is almost indistinguishable from that of samples with a higher contribution of Antarctic Bottom Water (4.8-4.9% vs. air). Thus, the high nitrate delta N-15 in northward flowing intermediate waters is almost entirely erased by the input of low-delta N-15 newly fixed nitrogen to the Atlantic (including that from the Mediterranean) prior to the incorporation of those intermediate depth waters into southward flowing North Atlantic Deep Water. The data appear consistent with a nitrogen isotopic balance between northward and southward nitrate transports across the GEOTRACES section, suggesting that most Atlantic nitrogen fixation occurs south of the section. (C) 2015 Elsevier B.V. All rights reserved.</t>
  </si>
  <si>
    <t>[Marconi, Dario; Weigand, M. Alexandra; Rafter, Patrick A.; Sigman, Daniel M.] Princeton Univ, Dept Geosci, Princeton, NJ 08544 USA; [McIlvin, Matthew R.; Casciotti, Karen L.] Woods Hole Oceanog Inst, Dept Marine Chem &amp; Geochem, Woods Hole, MA 02543 USA; [Forbes, Matthew; Casciotti, Karen L.] Stanford Univ, Dept Environm Earth Syst Sci, Stanford, CA 94305 USA</t>
  </si>
  <si>
    <t>Princeton University; Woods Hole Oceanographic Institution; Stanford University</t>
  </si>
  <si>
    <t>Marconi, D (corresponding author), Princeton Univ, Dept Geosci, Princeton, NJ 08544 USA.</t>
  </si>
  <si>
    <t>Sigman, Daniel M./A-2649-2008; Sigman, Daniel M./IYJ-2613-2023; McIlvin, Matthew/ABB-4762-2020; Rafter, Patrick A/I-3301-2012</t>
  </si>
  <si>
    <t>Sigman, Daniel M./0000-0002-7923-1973; Casciotti, Karen/0000-0002-5286-7795</t>
  </si>
  <si>
    <t>10.1016/j.marchem.2015.06.007</t>
  </si>
  <si>
    <t>WOS:000366788300013</t>
  </si>
  <si>
    <t>Hathorne, EC; Stichel, T; Brück, B; Frank, M</t>
  </si>
  <si>
    <t>Hathorne, Ed C.; Stichel, Torben; Brueck, Bastian; Frank, Martin</t>
  </si>
  <si>
    <t>Rare earth element distribution in the Atlantic sector of the Southern Ocean: The balance between particle scavenging and vertical supply</t>
  </si>
  <si>
    <t>Rare earth elements; Atlantic sector of the Southern Ocean; Weddell Gyre; GEOTRACES</t>
  </si>
  <si>
    <t>NEODYMIUM ISOTOPIC COMPOSITION; EASTERN INDIAN-OCEAN; WATER MASSES; GEOTRACES INTERCALIBRATION; FERROMANGANESE CRUSTS; SUSPENDED PARTICLES; CERIUM OXIDATION; ATMOSPHERIC CO2; DISSOLVED IRON; SURFACE WATERS</t>
  </si>
  <si>
    <t>The concentrations of rare earth elements (REEs) in seawater display systematic variations related to weathering inputs, particle scavenging and water mass histories. Here we investigate the REE concentrations of water column profiles in the Atlantic sector of the Southern Ocean, a key region of the global circulation and primary production. The data reveal a pronounced contrast between the vertical profiles in the Antarctic Circumpolar Current (ACC) and those south of the ACC in the Weddell Gyre (WG). The ACC profiles exhibit the typical increase of REE concentrations with water depth and a change in the shape of the profiles from near linear for the light REEs to more convex for the heavy REEs. In contrast, the WG profiles exhibit high REE concentrations throughout the water column with only the near surface samples showing slightly reduced concentrations indicative of particle scavenging. Seawater normalised REE patterns reveal the strong remineralisation signal in the ACC with the light REEs preferentially removed in surface waters and the mirror image pattern of their preferential release in deep waters. In the WG the patterns are relatively homogenous reflecting the prevalence of well-mixed Lower Circumpolar Deep Water (LCDW) that follows shoaling isopycnals in the region. In the WG particle scavenging of REEs is comparatively small and limited to the summer months by light limitation and winter sea ice cover. Considering the surface water depletion compared to LCDW and that the surface waters of the WG are replaced every few years, the removal rate is estimated to be on the order of 1 nmol m(-3) yr(-1) for La and Nd. The negative cerium anomalies observed in deep waters are some of the strongest found globally with only the deepest waters in parts of the Pacific having stronger anomalies. These deep waters have been isolated from fresh continental REE inputs during their long journey through the abyssal Indo-Pacific Ocean, which suggests that the high REE concentrations found in the ACC and WG reflect contributions from old deep waters. (C) 2015 Elsevier B.V. All rights reserved.</t>
  </si>
  <si>
    <t>[Hathorne, Ed C.; Brueck, Bastian; Frank, Martin] GEOMAR Helmholtz Ctr Ocean Res Kiel, Kiel, Germany; [Stichel, Torben] Univ Southampton, Ocean &amp; Earth Sci, Natl Oceanog Ctr Southampton, Southampton, Hants, England</t>
  </si>
  <si>
    <t>Helmholtz Association; GEOMAR Helmholtz Center for Ocean Research Kiel; University of Southampton; NERC National Oceanography Centre</t>
  </si>
  <si>
    <t>Hathorne, EC (corresponding author), GEOMAR Helmholtz Ctr Ocean Res Kiel, Kiel, Germany.</t>
  </si>
  <si>
    <t>Hathorne, Ed/AAC-6315-2020</t>
  </si>
  <si>
    <t>Hathorne, Ed/0000-0002-7813-2455; Frank, Martin/0000-0002-8606-4421; Stichel, Torben/0000-0002-5925-1301</t>
  </si>
  <si>
    <t>10.1016/j.marchem.2015.03.011</t>
  </si>
  <si>
    <t>WOS:000366788300014</t>
  </si>
  <si>
    <t>Osborne, AH; Haley, BA; Hathorne, EC; Plancherel, Y; Frank, M</t>
  </si>
  <si>
    <t>Osborne, Anne H.; Haley, Brian A.; Hathorne, Ed C.; Plancherel, Yves; Frank, Martin</t>
  </si>
  <si>
    <t>Rare earth element distribution in Caribbean seawater: Continental inputs versus lateral transport of distinct REE compositions in subsurface water masses</t>
  </si>
  <si>
    <t>Caribbean; Orinoco; Gulf of Mexico; Rare earths; Ocean circulation; Water masses</t>
  </si>
  <si>
    <t>ANTARCTIC INTERMEDIATE WATER; NEODYMIUM ISOTOPES; GEOTRACES INTERCALIBRATION; SURFACE CIRCULATION; TROPICAL ATLANTIC; AFRICAN DUST; RIVER-WATER; OCEAN; SEA; ND</t>
  </si>
  <si>
    <t>The rare earth element (REE) concentrations of full water column profiles from ten stations in the Caribbean, the Gulf of Mexico, and the Florida Straits, as well as of surface waters close to the mouth of the Orinoco River have been analyzed. The results show a high concentration of REEs in surface waters, in particular close to the mouth of the Orinoco, and a middle-REE-enrichment that is strongest in the south and east of the study area suggesting that fluvial inputs are the main sources rather than REEs supplied by Saharan dust. The surface waters close to the Orinoco are heavy REE enriched compared to the potential fluvial sources, emphasizing the importance of processes in the estuaries and the surface ocean that preferentially remove light- and middle-REEs. Relatively small heavy-REE enrichments in near-bottom water samples at the mouth of the Orinoco may be the result of preferential release of light REEs from river-transported sediments. The REE patterns of distinct subsurface water masses are largely coherent across the Caribbean basin, suggesting that the lateral transport of preformed compositions is not significantly influenced by vertical processes of scavenging and release. In particular, low Dy/ Er molar ratios are associated with Antarctic Intermediate Water and have most likely been advected into the Caribbean from the Southern Ocean. In contrast, deep waters in the Caribbean are enriched in light and middle REEs compared to incoming Upper North Atlantic Deep Water suggesting that release from sinking particles or from sediments is an important source of these REEs in the deep ocean, in particular when deep water residence times are long. (C) 2015 Elsevier B.V. All rights reserved.</t>
  </si>
  <si>
    <t>[Osborne, Anne H.; Hathorne, Ed C.; Frank, Martin] GEOMAR Helmholtz Ctr Ocean Res Kiel, D-24148 Kiel, Germany; [Haley, Brian A.] OSU, Coll Earth Ocean &amp; Atmospher Sci, Corvallis, OR 97331 USA; [Plancherel, Yves] Univ Oxford, Dept Earth Sci, Oxford OX1 3AN, England</t>
  </si>
  <si>
    <t>Helmholtz Association; GEOMAR Helmholtz Center for Ocean Research Kiel; University of Oxford</t>
  </si>
  <si>
    <t>Osborne, AH (corresponding author), GEOMAR Helmholtz Ctr Ocean Res Kiel, D-24148 Kiel, Germany.</t>
  </si>
  <si>
    <t>aosborne@geomar.de</t>
  </si>
  <si>
    <t>Hathorne, Ed/0000-0002-7813-2455; Frank, Martin/0000-0002-8606-4421; Haley, Brian/0000-0003-2879-8117; Plancherel, Yves/0000-0002-3624-0757</t>
  </si>
  <si>
    <t>Alexander von Humboldt Fellowship; NERC via the UK GEOTRACES consortium; NERC [NE/M017826/1] Funding Source: UKRI; Natural Environment Research Council [NE/M017826/1] Funding Source: researchfish</t>
  </si>
  <si>
    <t>Alexander von Humboldt Fellowship(Alexander von Humboldt Foundation); NERC via the UK GEOTRACES consortium; NERC(UK Research &amp; Innovation (UKRI)Natural Environment Research Council (NERC)); Natural Environment Research Council(UK Research &amp; Innovation (UKRI)Natural Environment Research Council (NERC))</t>
  </si>
  <si>
    <t>Thank you to the Captain and crew of the R/V Meteor. We also thank two anonymous reviewers for their constructive comments and the Guest Editors for editorial handling. This work was funded through an Alexander von Humboldt Fellowship (A.O.). Y.P. acknowledges support from NERC via the UK GEOTRACES consortium.</t>
  </si>
  <si>
    <t>10.1016/j.marchem.2015.03.013</t>
  </si>
  <si>
    <t>WOS:000366788300015</t>
  </si>
  <si>
    <t>Jones, EM; Bakker, DCE; Venables, HJ; Hardman-Mountford, NJ</t>
  </si>
  <si>
    <t>Jones, Elizabeth M.; Bakker, Dorothee C. E.; Venables, Hugh J.; Hardman-Mountford, Nick J.</t>
  </si>
  <si>
    <t>Seasonal cycle of CO2 from the sea ice edge to island blooms in the Scotia Sea, Southern Ocean</t>
  </si>
  <si>
    <t>Oceanic carbon dioxide; Scotia Sea, Southern Ocean; Sea ice; South Georgia bloom; Biological carbon uptake</t>
  </si>
  <si>
    <t>MICROPLANKTON COMMUNITY STRUCTURE; WEDDELL SEA; PHYTOPLANKTON BLOOM; TEMPORAL VARIATION; IRON ENRICHMENT; CARBONIC-ACID; HIGH-NUTRIENT; GEORGIA; WATER; PRODUCTIVITY</t>
  </si>
  <si>
    <t>The Scotia Sea region contains some of the most productive waters of the Southern Ocean. It is also a dynamic region through the interaction of deep water masses with the atmosphere. We present a first seasonally-resolved time series of the fugacity of CO2 (fCO(2)) from spring 2006, summer 2008, autumn 2009 and winter (potential temperature minimum) along a 1000 km transect from the pack ice to the Polar Front to quantify the effects of biology and temperature on oceanic fCO(2). Substantial spring and summer decreases in sea surface fCO(2) occurred in phytoplankton blooms that developed in the naturally iron-fertilised waters downstream (north) of South Georgia island (54-55 degrees S, 36-38 degrees W) and following sea ice melt (in the seasonal ice zone). The largest seasonal fCO(2) amplitude (Delta fCO(2)) of -159 mu atm was found in the South Georgia bloom. In this region, biological carbon uptake dominated the seasonal signal, reducing the winter maxima in oceanic fCO(2) by 257 mu atm by the summer. In the Weddell-Scotia Confluence, the southern fringe of the Scotia Sea, the shift from wintertime CO2-rich conditions in ice covered waters to CO2 undersaturation in the spring blooms during and upon sea ice melt created strong seasonality in oceanic fCO(2). Temperature effects on oceanic fCO(2) ranged from Delta fCO(2) (sst) of similar to 55 mu atm in the seasonal ice zone to almost double that downstream of South Georgia (98 mu atm). The seasonal cycle of surface water fCO(2) in the high-nutrient low-chlorophyll region of the central Scotia Sea had the weakest biological control and lowest seasonality. Basin-wide biological processes dominated the seasonal control on oceanic fCO(2) (Delta fCO(2) (bio) of 159 mu atm), partially compensated (43%) by moderate temperature control (Delta fCO(2) (sst) of 68 mu atm). The patchwork of productivity across the Scotia Sea creates regions of seasonally strong biological uptake of CO2 in the Southern Ocean. (C) 2015 Elsevier B.V. All rights reserved.</t>
  </si>
  <si>
    <t>[Jones, Elizabeth M.] Univ Groningen, Ctr Energy &amp; Environm Sci, Energy &amp; Sustainabil Res Inst Groningen, NL-9747 AG Groningen, Netherlands; [Jones, Elizabeth M.; Bakker, Dorothee C. E.] Univ E Anglia, Ctr Ocean &amp; Atmospher Sci, Sch Environm Sci, Norwich NR4 7TJ, Norfolk, England; [Venables, Hugh J.] British Antarctic Survey, Cambridge CB3 0ET, England; [Hardman-Mountford, Nick J.] Commonwealth Sci &amp; Ind Res Org, Oceans &amp; Atmosphere Flagship, Floreat, WA 6014, Australia</t>
  </si>
  <si>
    <t>University of Groningen; University of East Anglia; UK Research &amp; Innovation (UKRI); Natural Environment Research Council (NERC); NERC British Antarctic Survey; Commonwealth Scientific &amp; Industrial Research Organisation (CSIRO)</t>
  </si>
  <si>
    <t>Jones, EM (corresponding author), Univ Groningen, Ctr Energy &amp; Environm Sci, Energy &amp; Sustainabil Res Inst Groningen, Nijenborgh 4, NL-9747 AG Groningen, Netherlands.</t>
  </si>
  <si>
    <t>e.m.jones@rug.nl</t>
  </si>
  <si>
    <t>Bakker, Dorothee/E-4951-2015</t>
  </si>
  <si>
    <t>Bakker, Dorothee/0000-0001-9234-5337</t>
  </si>
  <si>
    <t>NERC under Centre for observation of Air-Sea Interactions and fluXes (CASIX) [NER/F14/G6/115]; Antarctic Funding Initiative [CGS8/28]; NERC [bas0100033] Funding Source: UKRI; Natural Environment Research Council [bas0100033] Funding Source: researchfish</t>
  </si>
  <si>
    <t>NERC under Centre for observation of Air-Sea Interactions and fluXes (CASIX); Antarctic Funding Initiative; NERC(UK Research &amp; Innovation (UKRI)Natural Environment Research Council (NERC)); Natural Environment Research Council(UK Research &amp; Innovation (UKRI)Natural Environment Research Council (NERC))</t>
  </si>
  <si>
    <t>The authors extend great thanks to the British Antarctic Survey and the DISCOVERY-2010 programme, the Captain, officers, crew and scientists onboard RRS James Clark Ross during cruises JR161, JR177 and JR200. Special thanks to Ian Brown and Gerald Moore, Plymouth Marine Laboratory, and the British Antarctic Survey for continual support of the CO2 instrument and to Andy Watson and Mario Hoppema for insightful discussions and comments that helped in preparing the manuscript. Supporting data and statistical and practical advice were gratefully received from Rebecca Korb, Min Gordon, Michiel de Roo, Geraint Tarling, Angus Atkinson and Sophie Fielding. NASA, the SeaWiFS/MODIS programme and OSTIA at GHRSST are acknowledged for satellite data. Financial support was given by a NERC PhD studentship to EMJ (NER/F14/G6/115), under the auspices of the Centre for observation of Air-Sea Interactions and fluXes (CASIX) and the Antarctic Funding Initiative (CGS8/28).</t>
  </si>
  <si>
    <t>10.1016/j.marchem.2015.06.031</t>
  </si>
  <si>
    <t>WOS:000366788600009</t>
  </si>
  <si>
    <t>[Anonymous]</t>
  </si>
  <si>
    <t>Overhaul in the works for aging US Antarctic station</t>
  </si>
  <si>
    <t>SCIENCE</t>
  </si>
  <si>
    <t>AMER ASSOC ADVANCEMENT SCIENCE</t>
  </si>
  <si>
    <t>1200 NEW YORK AVE, NW, WASHINGTON, DC 20005 USA</t>
  </si>
  <si>
    <t>0036-8075</t>
  </si>
  <si>
    <t>1095-9203</t>
  </si>
  <si>
    <t>Science</t>
  </si>
  <si>
    <t>DEC 18</t>
  </si>
  <si>
    <t>CY7LY</t>
  </si>
  <si>
    <t>WOS:000366591100067</t>
  </si>
  <si>
    <t>Abernathey, R; Ferreira, D</t>
  </si>
  <si>
    <t>Abernathey, Ryan; Ferreira, David</t>
  </si>
  <si>
    <t>Southern Ocean isopycnal mixing and ventilation changes driven by winds</t>
  </si>
  <si>
    <t>MERIDIONAL OVERTURNING CIRCULATION; ANTARCTIC CIRCUMPOLAR CURRENT; MESOSCALE EDDIES; EDDY DIFFUSIVITY; IMPACT; MODEL; ENHANCEMENT; TRANSPORT; TRACERS; TRENDS</t>
  </si>
  <si>
    <t>Observed and predicted changes in the strength of the westerly winds blowing over the Southern Ocean have motivated a number of studies on the response of the Antarctic Circumpolar Current and Southern Ocean meridional overturning circulation (MOC) to wind perturbations and led to the hypothesis of the eddy compensation regime, wherein the MOC becomes insensitive to wind changes. In addition to the MOC, tracer transport also depends on mixing processes. Here we show, in a high-resolution process model, that isopycnal mixing by mesoscale eddies is strongly dependent on the wind strength. This dependence can be explained by mixing length theory and is driven by increases in eddy kinetic energy; the mixing length does not change strongly in our simulation. Simulation of a passive ventilation tracer (analogous to CFCs or anthropogenic CO2) demonstrates that variations in tracer uptake across experiments are dominated by changes in isopycnal mixing, rather than changes in the MOC. We argue that to properly understand tracer uptake under different wind-forcing scenarios, the sensitivity of isopycnal mixing to winds must be accounted for.</t>
  </si>
  <si>
    <t>[Abernathey, Ryan] Columbia Univ, Lamont Doherty Earth Observ, Palisades, NY 10964 USA; [Ferreira, David] Univ Reading, Dept Meteorol, Reading, Berks, England</t>
  </si>
  <si>
    <t>Columbia University; University of Reading</t>
  </si>
  <si>
    <t>Abernathey, R (corresponding author), Columbia Univ, Lamont Doherty Earth Observ, Palisades, NY 10964 USA.</t>
  </si>
  <si>
    <t>rpa@ldeo.columbia.edu</t>
  </si>
  <si>
    <t>Ferreira, David/JNR-2354-2023; Ferreira, David/JJD-6133-2023</t>
  </si>
  <si>
    <t>Ferreira, David/0000-0003-3243-9774</t>
  </si>
  <si>
    <t>NSF [OCE-1357133]; Division Of Ocean Sciences; Directorate For Geosciences [1357133] Funding Source: National Science Foundation</t>
  </si>
  <si>
    <t>NSF(National Science Foundation (NSF)); Division Of Ocean Sciences; Directorate For Geosciences(National Science Foundation (NSF)NSF - Directorate for Geosciences (GEO))</t>
  </si>
  <si>
    <t>R.A. acknowledges support from NSF grant OCE-1357133. Model setups, output data, and analysis code are all available on request.</t>
  </si>
  <si>
    <t>DEC 16</t>
  </si>
  <si>
    <t>10.1002/2015GL066238</t>
  </si>
  <si>
    <t>DB2MV</t>
  </si>
  <si>
    <t>WOS:000368343900032</t>
  </si>
  <si>
    <t>Lucas, GM; Baumgaertner, AJG; Thayer, JP</t>
  </si>
  <si>
    <t>Lucas, G. M.; Baumgaertner, A. J. G.; Thayer, J. P.</t>
  </si>
  <si>
    <t>A global electric circuit model within a community climate model</t>
  </si>
  <si>
    <t>GENERAL-CIRCULATION MODEL; QUASI-STATIC MODEL; ATMOSPHERIC ELECTRICITY; DIURNAL-VARIATIONS; FIELD; CLOUDS; PRECIPITATION; THUNDERSTORMS; CONVECTION; VOSTOK</t>
  </si>
  <si>
    <t>To determine the complex dependencies of currents and electric fields within the Global Electric Circuit (GEC) on the underlying physics of the atmosphere, a new modeling framework of the GEC has been developed for use within global circulation models. Specifically, the Community Earth System Modeling framework has been utilized. A formulation of atmospheric conductivity based on ion production and loss mechanisms (including galactic cosmic rays, radon, clouds, and aerosols), conduction current sources, and ionospheric potential changes due to the influence of external current systems are included. This paper presents a full description of the calculation of the electric fields and currents within the model, which now includes several advancements to GEC modeling as it incorporates many processes calculated individually in previous articles into a consistent modeling framework. This framework uniquely incorporates effects from the troposphere up to the ionosphere within a single GEC model. The incorporation of a magnetospheric potential, which is generated by a separate magnetospheric current system, acts to modulate or enhance the surface level electric fields at high-latitude locations. This produces a distinct phasing signature with the GEC potential that is shown to depend on the observation location around the globe. Lastly, the model output for Vostok and Concordia, two high-latitude locations, is shown to agree with the observational data obtained at these sites over the same time period.</t>
  </si>
  <si>
    <t>[Lucas, G. M.; Baumgaertner, A. J. G.; Thayer, J. P.] Univ Colorado, Dept Aerosp Engn Sci, Boulder, CO 80309 USA</t>
  </si>
  <si>
    <t>University of Colorado System; University of Colorado Boulder</t>
  </si>
  <si>
    <t>Lucas, GM (corresponding author), Univ Colorado, Dept Aerosp Engn Sci, Boulder, CO 80309 USA.</t>
  </si>
  <si>
    <t>greg.m.lucas@gmail.com</t>
  </si>
  <si>
    <t>Baumgaertner, Andreas/C-4830-2011; THAYER, JEFFREY P./B-7264-2016</t>
  </si>
  <si>
    <t>Baumgaertner, Andreas/0000-0002-4740-0701; THAYER, JEFFREY P./0000-0001-7127-8251</t>
  </si>
  <si>
    <t>NSF [AGS-1135446]; University of Colorado under Frontiers in Earth System Dynamics Program (FESD); National Science Foundation; Directorate For Geosciences; Div Atmospheric &amp; Geospace Sciences [1135446] Funding Source: National Science Foundation</t>
  </si>
  <si>
    <t>NSF(National Science Foundation (NSF)); University of Colorado under Frontiers in Earth System Dynamics Program (FESD); National Science Foundation(National Science Foundation (NSF)); Directorate For Geosciences; Div Atmospheric &amp; Geospace Sciences(National Science Foundation (NSF)NSF - Directorate for Geosciences (GEO))</t>
  </si>
  <si>
    <t>We would like to thank Jaroslav Jansky for his helpful discussions on the ionospheric potentials and Wiebke Deierling for the source term discussions. This work was supported by NSF award AGS-1135446 to the University of Colorado under the Frontiers in Earth System Dynamics Program (FESD). The National Center for Atmospheric Research is sponsored by the National Science Foundation. We would like to acknowledge high-performance computing support from Yellowstone [Computational and Information Systems Laboratory, 2012]. Vostok and Concordia data sets were obtained from the Australian Antarctic Data Center (http://data.aad.gov.au/). Supporting data to produce the figures may be obtained from the corresponding author G.M.L. (greg.m.lucas@gmail.com).</t>
  </si>
  <si>
    <t>10.1002/2015JD023562</t>
  </si>
  <si>
    <t>DB3PD</t>
  </si>
  <si>
    <t>WOS:000368422700017</t>
  </si>
  <si>
    <t>Antarctic species threatened by wilful misinterpretation of treaty</t>
  </si>
  <si>
    <t>MARINE POLLUTION BULLETIN</t>
  </si>
  <si>
    <t>0025-326X</t>
  </si>
  <si>
    <t>1879-3363</t>
  </si>
  <si>
    <t>MAR POLLUT BULL</t>
  </si>
  <si>
    <t>Mar. Pollut. Bull.</t>
  </si>
  <si>
    <t>DEC 15</t>
  </si>
  <si>
    <t>DA2MV</t>
  </si>
  <si>
    <t>WOS:000367630700010</t>
  </si>
  <si>
    <t>Mass gains of Antarctic ice sheet greater than losses</t>
  </si>
  <si>
    <t>WOS:000367630700014</t>
  </si>
  <si>
    <t>Vacquié-Garcia, J; Guinet, C; Dragon, AC; Viviant, M; El Ksabi, N; Bailleul, F</t>
  </si>
  <si>
    <t>Vacquie-Garcia, Jade; Guinet, Christophe; Dragon, Anne-Cecile; Viviant, Morgane; El Ksabi, Nory; Bailleul, Frederic</t>
  </si>
  <si>
    <t>Predicting prey capture rates of southern elephant seals from track and dive parameters</t>
  </si>
  <si>
    <t>MARINE ECOLOGY PROGRESS SERIES</t>
  </si>
  <si>
    <t>Biologging; Dive parameters; Foraging; Prey capture events; Marine predator; Southern elephant seals; Track parameters</t>
  </si>
  <si>
    <t>AREA-RESTRICTED SEARCH; MIROUNGA-LEONINA; VERTICAL-DISTRIBUTION; OPTIMAL ALLOCATION; FORAGING BEHAVIOR; DIVING BEHAVIOR; TIME; PREDATOR; HABITAT; DIET</t>
  </si>
  <si>
    <t>In the marine environment, track and dive parameter data (obtained using Argos or GPS tags and time-depth recorders) are commonly used to provide proxies for foraging behaviour of marine predators. However, their accuracy is rarely assessed. Recently, the addition of head-mounted accelerometers has allowed for detection of prey capture attempts (PCAs) at sea, allowing for more accurate estimations of foraging behaviour. Despite increased numbers of such devices being deployed, their use is still marginal compared with other tools which measure track and dive parameters. The objectives of our study were (1) to identify the most relevant combination of tracking and diving metrics in predicting the frequency of PCAs in female southern elephant seals Mirounga leonina from the Kerguelen Islands, and (2) to apply it to a broader range of individuals for which only tracking and diving data were available. The results of our models were consistent with the optimal foraging theory as well as the optimal diving theory. The model with the best predictive performance was the one that combined both tracking and diving information. However, most of the variability in the number of PCAs could be solely explained by changes in the diving behaviour of seals. Finally, we used the best predictive model on 20 individuals, which had not been fitted with accelerometers, to determine their main foraging zones. The behavioural indicators established in this study constitute a useful ecological tool for population monitoring and conservation purposes.</t>
  </si>
  <si>
    <t>[Vacquie-Garcia, Jade; Guinet, Christophe; Viviant, Morgane; El Ksabi, Nory; Bailleul, Frederic] CNRS, UPR 1934, CEBC, F-79360 Villiers En Bois, France; [Dragon, Anne-Cecile] Collecte Localisat Satellites CLS Argos, F-31520 Ramonville St Agne, France</t>
  </si>
  <si>
    <t>Centre National de la Recherche Scientifique (CNRS)</t>
  </si>
  <si>
    <t>Vacquié-Garcia, J (corresponding author), CNRS, UPR 1934, CEBC, F-79360 Villiers En Bois, France.</t>
  </si>
  <si>
    <t>jadevacquiegarcia@gmail.com</t>
  </si>
  <si>
    <t>Guinet, Christophe/AAR-8457-2020</t>
  </si>
  <si>
    <t>VACQUIE GARCIA, Jade/0000-0002-3126-3423</t>
  </si>
  <si>
    <t>ANR Topp-Patches; ANR Mycto- 3D-Map; CNES-TOSCA; Total Foundation; IPEV (Institut Polaire Francais) [109]</t>
  </si>
  <si>
    <t>ANR Topp-Patches(Agence Nationale de la Recherche (ANR)); ANR Mycto- 3D-Map(Agence Nationale de la Recherche (ANR)); CNES-TOSCA; Total Foundation(Total SA); IPEV (Institut Polaire Francais)</t>
  </si>
  <si>
    <t>The authors thank all the colleagues and volunteers involved in the field work on southern elephant seals at the Kerguelen Islands, with special acknowledgement of the invaluable field contribution of G. Bessigneul and A. Chaigne. This work was supported by the ANR Topp-Patches, ANR Mycto- 3D-Map, the CNES-TOSCA and the Total Foundation. We are indebted to IPEV (Institut Polaire Francais), for financial and logistical support of Antarctic research program 109 (Seabirds and Marine Mammal Ecology led by H. Weimerskirch). Special thanks also go to Pascal Monestiez and Kevin Le Rest (CEBC CNRS) for their helpful advice at the different stages of the manuscript. Finally, the authors also thank Lauren Biermann for her help with English editing.</t>
  </si>
  <si>
    <t>0171-8630</t>
  </si>
  <si>
    <t>1616-1599</t>
  </si>
  <si>
    <t>MAR ECOL PROG SER</t>
  </si>
  <si>
    <t>Mar. Ecol.-Prog. Ser.</t>
  </si>
  <si>
    <t>10.3354/meps11511</t>
  </si>
  <si>
    <t>Ecology; Marine &amp; Freshwater Biology; Oceanography</t>
  </si>
  <si>
    <t>Environmental Sciences &amp; Ecology; Marine &amp; Freshwater Biology; Oceanography</t>
  </si>
  <si>
    <t>CZ9BQ</t>
  </si>
  <si>
    <t>WOS:000367393200019</t>
  </si>
  <si>
    <t>Domingo, L; Perez-Dios, P; Fernandez, MH; Martin-Chivelet, J; Ortiz, JE; Torres, T</t>
  </si>
  <si>
    <t>Domingo, Laura; Perez-Dios, Patricia; Fernandez, Manuel Hernandez; Martin-Chivelet, Javier; Ortiz, Jose Eugenio; Torres, Trinidad</t>
  </si>
  <si>
    <t>Late Quaternary climatic and environmental conditions of northern Spain: An isotopic approach based on the mammalian record from La Paloma cave</t>
  </si>
  <si>
    <t>Stable isotopes; Mammals; Late Quatemary; Iberian Peninsula; Paleoclimatology; Paleoecology; Paleoenvironment</t>
  </si>
  <si>
    <t>DEER CERVUS-ELAPHUS; FOX VULPES-VULPES; NITROGEN ISOTOPE; BONE-COLLAGEN; LATE PLEISTOCENE; EARLY HOLOCENE; STABLE CARBON; ANTARCTIC TEMPERATURE; NATURAL-ABUNDANCE; MICROWEAR PATTERN</t>
  </si>
  <si>
    <t>La Paloma cave (Asturias, northern Spain) stands out as one of the most notable prehistoric sites of the northern Iberian sector due to the richness of its archaeo-paleontological material, spanning a complete Magdalenian-Azilian sequence (similar to 20,300-12,900 cal years BP). The abundance, diversity and good preservation of mammalian remains make of La Paloma site an excellent location to characterize paleoclimatic, paleoecological and paleoenvironmental conditions from a biogeochemical standpoint. Stable isotope analyses performed on tooth enamel (delta(13)Cem delta O-18(co3). delta O-18(po4)) and bone collagen (delta C-13(coll), delta N-15) of a suite of herbivore, carnivore and omnivore species did not yield significant variations across the stratigraphic sequence, likely pointing to prevalent and stable local conditions, with i) no major vegetation turnover, ii) maintenance of hydrological conditions, and iii) relatively constant soil activity, in spite of the synchrony of the La Paloma temporal context with global events, such as the end of the Last Glacial Maximum, the Heinrich Event 1 and the Bolling-Allerod oscillation. La Paloma. 5-13Cen and delta C-13(coll) values are within the expected range for C-3 mixed woodland-mesic C-3 grassland conditions. Overall, bovids (large Bovidae, ibex and chamois) show higher delta C-13(en), delta C-13(coll) and delta N-15 values than cervids (red deer and roe deer), indicating a preference for more open environments in the former. Horse delta C-13 values are undistinguishable from those of red deer and point to a mixed-feeding behavior. Horse low delta N-15 values may be indicative of a diet with a low protein content. Bayesian mixing model results yielded differences in carnivore resource use, with wolf preying on all ungulates and red fox preferentially incorporating roe deer. Stable paleoenviromental conditions during the latest Pleistocene at the La Paloma area may have favored the persistence of a stable mammalian community structure, supporting the idea of the existence of refuge areas in the northern Iberian sector throughout the late Quaternary glacial-interglacial dynamics. (C) 2015 Elsevier B.V. All rights reserved.</t>
  </si>
  <si>
    <t>[Domingo, Laura; Fernandez, Manuel Hernandez; Martin-Chivelet, Javier] UCM, CSIC, Inst Geociencias, Dept Geol Sedimentaria &amp; Cambio Medioambiental, Madrid 28040, Spain; [Domingo, Laura; Fernandez, Manuel Hernandez] Univ Complutense Madrid, Fac Ciencias Geol, Dept Paleontol, E-28040 Madrid, Spain; [Domingo, Laura] Univ Calif Santa Cruz, Earth &amp; Planetary Sci Dept, Santa Cruz, CA 95064 USA; [Perez-Dios, Patricia] CSIC, Museo Nacl Ciencias Nat, E-28006 Madrid, Spain; [Martin-Chivelet, Javier] Univ Complutense Madrid, Fac Ciencias Geol, Dept Estratig, E-28040 Madrid, Spain; [Ortiz, Jose Eugenio; Torres, Trinidad] ETSI Minas &amp; Energia, Dept Ingn Geol, Madrid 28003, Spain</t>
  </si>
  <si>
    <t>Complutense University of Madrid; Consejo Superior de Investigaciones Cientificas (CSIC); CSIC-UCM - Instituto de Geociencias (IGEO); Complutense University of Madrid; University of California System; University of California Santa Cruz; Consejo Superior de Investigaciones Cientificas (CSIC); CSIC - Museo Nacional de Ciencias Naturales (MNCN); Complutense University of Madrid</t>
  </si>
  <si>
    <t>Domingo, L (corresponding author), UCM, CSIC, Inst Geociencias, Dept Geol Sedimentaria &amp; Cambio Medioambiental, Madrid 28040, Spain.</t>
  </si>
  <si>
    <t>lauradomingo@geo.ucm.es</t>
  </si>
  <si>
    <t>MARTIN-CHIVELET, JAVIER/M-5392-2015; Ortiz, José/D-5751-2017; Hernandez Fernandez, Manuel/I-5012-2013; Domingo, Laura/J-6549-2012; TORRES PEREZ-HIDALGO, TRINIDAD J.DE/I-8443-2018</t>
  </si>
  <si>
    <t>MARTIN-CHIVELET, JAVIER/0000-0002-1878-5796; Ortiz, José/0000-0002-5699-2593; Hernandez Fernandez, Manuel/0000-0001-5640-9647; Domingo, Laura/0000-0002-9062-0881; TORRES PEREZ-HIDALGO, TRINIDAD J.DE/0000-0001-5260-4525</t>
  </si>
  <si>
    <t>Spanish Ministry of Economy and Competitivity (MINECO) [CGL2009-09000/BTE]</t>
  </si>
  <si>
    <t>Spanish Ministry of Economy and Competitivity (MINECO)</t>
  </si>
  <si>
    <t>This study was supported by the Plan Nacional I + D project CGL2009-09000/BTE of the Spanish Ministry of Economy and Competitivity (MINECO). This is a contribution of the research groups UCM 910607 on Evolution of Cenozoic Mammals and Continental Palaeoenvironments, and UCM 910198 on Palaeoclimatology and Global Change. LD acknowledges a PICATA postdoctoral fellowship of the UCM-UPM, Moncloa Campus of International Excellence (Spain) and a Juan de la Cierva postdoctoral fellowship (MINECO, Spanish Government). We are indebted to P.L. Koch (University of California Santa Cruz) for valuable comments and access to his laboratory. M.T Alberdi, J. Morales, F.B. Sanchiz and C. Sese (MNCN-CSIC) are acknowledged for material access and clarification about Quaternary localities and taxa housed at the MNCN Vertebrate Paleontology collection. We thank D. Andreasen (UCSC) and V. Lopez (IGEO-CSIC-UCM) for stable isotope analysis and GIS assistance, respectively. The editor T. Correge, M.T. Alberdi (MNCN-CSIC) and an anonymous reviewer are acknowledged for valuable comments that helped to improve the last version of this manuscript.</t>
  </si>
  <si>
    <t>10.1016/j.palaeo.2015.09.017</t>
  </si>
  <si>
    <t>CY6SS</t>
  </si>
  <si>
    <t>WOS:000366539700032</t>
  </si>
  <si>
    <t>Butala, M; Sega, D; Tomc, B; Podlesek, Z; Kem, WR; Küpper, FC; Turk, T</t>
  </si>
  <si>
    <t>Butala, Matej; Sega, Daniel; Tomc, Blaz; Podlesek, Zdravko; Kem, William R.; Kupper, Frithjof C.; Turk, Tom</t>
  </si>
  <si>
    <t>Recombinant expression and predicted structure of parborlysin, a cytolytic protein from the Antarctic heteronemertine Parborlasia corrugatus</t>
  </si>
  <si>
    <t>TOXICON</t>
  </si>
  <si>
    <t>Cytolysin; Nemertean; Nemertine; Nucleotide sequence; Parborlasia corrugatus; Parborlysin; Toxin</t>
  </si>
  <si>
    <t>TOXIN-B-IV; CEREBRATULUS-LACTEUS; POLYPEPTIDE TOXINS; SECONDARY STRUCTURE; A-III; PURIFICATION; NEUROTOXINS; ANABASEINE; RECEPTORS; SEQUENCE</t>
  </si>
  <si>
    <t>The heteronemertine Parborlasia corrugatus contains a cytolytic protein, parborlysin, which after extensive purification was found by Edman sequencing to be a mixture of several homologues. To investigate this microheterogeneity and enable the analysis of single toxins, we have obtained seven parborlysin isoform genes from P. corrugatus collected in Antarctica. Total RNA was isolated from the homogenized head region and parborlysin genes were identified from a cDNA library using degenerate primers. The translated sequences reveal that the isoforms are similar to 10 kDa basic (pI similar to 10) proteins of which all but one harbour six cysteine residues. We generated a model of the three dimensional structure of parborlysins, which suggests that they are composed of five alpha-helical segments that include large, exposed hydrophobic surfaces. Finally, we constructed plasmids and inserted them into Escherichia coli to obtain overexpressed amino- or carboxy-terminal polyhistidine-tagged parborlysin isoforms fused to the third domain of the E. coli periplasmic-protein TolA to facilitate toxin isolation. One of the isoforms adversely affected growth in the E. coli expressing it. Although we succeeded in isolating one of the recombinant parborlysin constructs, it lacked haemolytic activity. (C) 2015 Elsevier Ltd. All rights reserved.</t>
  </si>
  <si>
    <t>[Butala, Matej; Sega, Daniel; Tomc, Blaz; Podlesek, Zdravko; Turk, Tom] Univ Ljubljana, Dept Biol, Biotech Fac, Ljubljana, Slovenia; [Kem, William R.] Univ Florida, Dept Pharmacol &amp; Therapeut, Coll Med, Gainesville, FL 32610 USA; [Kupper, Frithjof C.] Univ Aberdeen, Oceanlab, Newburgh AB41 6AA, Scotland</t>
  </si>
  <si>
    <t>University of Ljubljana; State University System of Florida; University of Florida; University of Aberdeen</t>
  </si>
  <si>
    <t>Turk, T (corresponding author), Univ Ljubljana, Dept Biol, Biotech Fac, Ljubljana, Slovenia.</t>
  </si>
  <si>
    <t>tom.turk@bf.uni-lj.si</t>
  </si>
  <si>
    <t>Kuepper, Frithjof/0000-0003-1273-7109</t>
  </si>
  <si>
    <t>Collaborative Gearing Scheme of the UK Natural Environment Research Council/British Antarctic Survey [CGS-70]; Slovenian Research Agency [P1-0207]</t>
  </si>
  <si>
    <t>Collaborative Gearing Scheme of the UK Natural Environment Research Council/British Antarctic Survey; Slovenian Research Agency(Slovenian Research Agency - Slovenia)</t>
  </si>
  <si>
    <t>We thank N. Orehar for help with preparation of P. corrugatus tissue and technical assistance. FCK gratefully acknowledges funding from the Collaborative Gearing Scheme of the UK Natural Environment Research Council/British Antarctic Survey (grant CGS-70). We would like to thank Peter Convey for facilitation of the fieldwork and the British Antarctic Survey's Rothera Station staff and dive team for fieldwork support. MB and TT were supported by grants from the Slovenian Research Agency (P1-0207).</t>
  </si>
  <si>
    <t>0041-0101</t>
  </si>
  <si>
    <t>Toxicon</t>
  </si>
  <si>
    <t>10.1016/j.toxicon.2015.09.044</t>
  </si>
  <si>
    <t>Pharmacology &amp; Pharmacy; Toxicology</t>
  </si>
  <si>
    <t>CZ0IS</t>
  </si>
  <si>
    <t>WOS:000366789000005</t>
  </si>
  <si>
    <t>Hines, SKV; Southon, JR; Adkins, JF</t>
  </si>
  <si>
    <t>Hines, Sophia K. V.; Southon, John R.; Adkins, Jess F.</t>
  </si>
  <si>
    <t>A high-resolution record of Southern Ocean intermediate water radiocarbon over the past 30,000 years</t>
  </si>
  <si>
    <t>Southern Ocean; radiocarbon; glacial interglacial climate change; meridional overturning circulation; Southern Ocean fronts; intermediate water</t>
  </si>
  <si>
    <t>LAST GLACIAL MAXIMUM; ATMOSPHERIC CO2; NORTH-ATLANTIC; CARBON-CYCLE; CIRCULATION; PACIFIC; DEGLACIATION; VENTILATION; WESTERLIES; ITCZ</t>
  </si>
  <si>
    <t>The circulation of intermediate waters plays an important role in global heat and carbon transport in the ocean and changes in their distribution are closely tied to glacial-interglacial climate change. Coupled radiocarbon and U/Th measurements on deep-sea Desmophyllum dianthus corals allow for the reconstruction of past intermediate water ventilation. We present a high-resolution time series of Antarctic Intermediate Water radiocarbon from 44 corals spanning 30 ka through the start of the Holocene, encompassing the transition into the Last Glacial Maximum (LGM) and the last deglaciation. Corals were collected south of Tasmania from water depths between 1430 and 1950 m with 80% of them between 1500 and 1700 m, giving us a continuous record from a narrow depth range. The record shows three distinct periods of circulation: the MIS 3-2 transition, the LGM/Heinrich Stadial 1 (extending from similar to 22 to 16 kyr BP), and the Antarctic Cold Reversal (ACR). The MIS 3-2 transition and the ACR are characterized by abrupt changes in intermediate water radiocarbon while the LGM time period generally follows the atmosphere at a constant offset, in support of the idea that the LGM ocean was at steady state for its C-14 distribution. Closer inspection of the LGM time period reveals a 40 parts per thousand jump at similar to 19 ka from an atmospheric offset of roughly 230 parts per thousand to 190 parts per thousand, coincident with an observed 10-15 m rise in sea level and a southward shift of the Subantarctic and Polar Fronts, an abrupt change not seen in deeper records. During the ACR time period intermediate water radiocarbon is on average less offset from the atmosphere (similar to 110 parts per thousand) and much more variable. This variability has been captured within the lifetimes of three individual corals with changes of up to 35 parts per thousand over similar to 40 yr, likely caused by the movement of Southern Ocean fronts. This surprising result of relatively young and variable intermediate water radiocarbon during the ACR seems to go against the canonical idea of reduced circulation and ventilation in the south during this time period. However comparisons with other records from the Southern Ocean highlight zonal asymmetries, which can explain the deviation of our Tasmanian record from those in Drake Passage and the eastern Pacific. These signals seen in Tasmanian intermediate water Delta C-14 can also be found in Greenland ice core delta O-18 and East Asian monsoon strength. Throughout the LGM and the deglaciation, our Tasmanian intermediate water record is sensitive to times when the upper and lower cells of the meridional overturning circulation are more or less interconnected, which has important implications for the global climate system on glacial-interglacial time scales. (C) 2015 Elsevier B.V. All rights reserved.</t>
  </si>
  <si>
    <t>[Hines, Sophia K. V.; Adkins, Jess F.] CALTECH, Dept Geol &amp; Planetary Sci, Pasadena, CA 91125 USA; [Southon, John R.] Univ Calif Irvine, Dept Earth Syst Sci, Irvine, CA 92697 USA</t>
  </si>
  <si>
    <t>California Institute of Technology; University of California System; University of California Irvine</t>
  </si>
  <si>
    <t>Hines, SKV (corresponding author), CALTECH, Dept Geol &amp; Planetary Sci, 1200 E Calif Blvd,MC 131-24, Pasadena, CA 91125 USA.</t>
  </si>
  <si>
    <t>shines@caltech.edu</t>
  </si>
  <si>
    <t>Adkins, Jess/GYI-8778-2022</t>
  </si>
  <si>
    <t>NSF [OCE-1204211]; Division Of Ocean Sciences; Directorate For Geosciences [1503129] Funding Source: National Science Foundation</t>
  </si>
  <si>
    <t>We would like to thank Heather Stoll, the editor of this paper, and three reviewers for their helpful comments. We would also like to acknowledge analytical help from Guillaume Paris. This work was funded by NSF P2C2 grant OCE-1204211.</t>
  </si>
  <si>
    <t>10.1016/j.epsl.2015.09.038</t>
  </si>
  <si>
    <t>CY3YG</t>
  </si>
  <si>
    <t>Green Published, hybrid, Green Submitted</t>
  </si>
  <si>
    <t>WOS:000366345200005</t>
  </si>
  <si>
    <t>Konrad, H; Sasgen, I; Pollard, D; Klemann, V</t>
  </si>
  <si>
    <t>Konrad, Hannes; Sasgen, Ingo; Pollard, David; Klemann, Volker</t>
  </si>
  <si>
    <t>Potential of the solid-Earth response for limiting long-term West Antarctic Ice Sheet retreat in a warming climate</t>
  </si>
  <si>
    <t>West Antarctic Ice sheet; West Antarctic rift; viscoelastic deformation; sea level</t>
  </si>
  <si>
    <t>GLACIAL ISOSTATIC-ADJUSTMENT; GROUNDING-LINE RETREAT; SURFACE MASS-BALANCE; FUTURE SEA-LEVEL; PINE ISLAND; RIFT SYSTEM; MODEL; STABILITY; VISCOSITY; MANTLE</t>
  </si>
  <si>
    <t>We employ a coupled model for ice-sheet dynamics and Maxwell viscoelastic solid-Earth dynamics, including a gravitationally consistent description of sea level. With this model, we study the influence of the solid Earth on the future evolution of the West Antarctic Ice Sheet (WAIS). Starting from steady-state conditions close to the present-day configuration of the Antarctic Ice Sheet, we apply different atmospheric and oceanic forcings and solid-Earth rheologies in order to analyse the retreat of the WAIS. Climate forcing is the primary control on the occurrence of WAIS collapse. For moderate climate forcing and weak solid-Earth rheologies, however, we find that the relative sea level (RSL) fall associated with the viscoelastic solid-Earth response due to unloading by WAIS retreat limits the retreat to the Amundsen Sea embayment on time scales of several millennia, whereas stiffer Earth structures yield a collapse under these conditions. Under stronger climate forcing, weak Earth structures associated with the West Antarctic rift system produce a delay of up to 5000 years in comparison to stiffer, Antarctic-average solid-Earth rheologies. Furthermore, we find that sea-level rise from an assumed fast deglaciation of the Greenland Ice Sheet induces WAIS collapse in the presence of higher asthenosphere viscosities in cases when the climatic forcing is too weak to force WAIS collapse alone. (C) 2015 Elsevier B.V. All rights reserved.</t>
  </si>
  <si>
    <t>[Konrad, Hannes; Sasgen, Ingo; Klemann, Volker] Helmholtz Ctr Potsdam, German Res Ctr Geosci GFZ, Sect Earth Syst Modelling 1 3, D-14473 Potsdam, Germany; [Konrad, Hannes] Helmholtz Ctr Polar &amp; Marine Res, Alfred Wegener Inst, Bremerhaven, Germany; [Konrad, Hannes] Free Univ Berlin, Dept Earth Sci, Inst Meteorol, Berlin, Germany; [Sasgen, Ingo] Penn State Univ, Dept Geosci, University Pk, PA 16802 USA; [Pollard, David] Penn State Univ, Earth &amp; Environm Syst Inst, University Pk, PA 16802 USA</t>
  </si>
  <si>
    <t>Helmholtz Association; Helmholtz-Center Potsdam GFZ German Research Center for Geosciences; Helmholtz Association; Alfred Wegener Institute, Helmholtz Centre for Polar &amp; Marine Research; Free University of Berlin;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</si>
  <si>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Konrad, H (corresponding author), Univ Leeds, Sch Earth &amp; Environm, Leeds LS2 9JT, W Yorkshire, England.</t>
  </si>
  <si>
    <t>h.h.konrad@leeds.ac.uk</t>
  </si>
  <si>
    <t>Konrad, Hannes H/A-1813-2016; Konrad, Hannes/H-7647-2013; Klemann, Volker/H-3660-2013</t>
  </si>
  <si>
    <t>Konrad, Hannes H/0000-0002-5058-8637; Klemann, Volker/0000-0002-8342-8947</t>
  </si>
  <si>
    <t>German Research Foundation (DFG) [SA 1734/6-1]; Regional Climate Initiative REKLIM of the Helmholtz Association; DFG [SA 1734/4-1]; German Academic Exchange Service (DAAD) [91545539]; US National Science Foundation [OPP/ANT 1341394, OCE 1202632]; European Space Agency [4000107393/12/I-NB]; Office of Polar Programs (OPP); Directorate For Geosciences [1341394] Funding Source: National Science Foundation</t>
  </si>
  <si>
    <t>German Research Foundation (DFG)(German Research Foundation (DFG)); Regional Climate Initiative REKLIM of the Helmholtz Association; DFG(German Research Foundation (DFG)); German Academic Exchange Service (DAAD)(Deutscher Akademischer Austausch Dienst (DAAD)); US National Science Foundation(National Science Foundation (NSF)); European Space Agency(European Space Agency); Office of Polar Programs (OPP); Directorate For Geosciences(National Science Foundation (NSF)NSF - Directorate for Geosciences (GEO))</t>
  </si>
  <si>
    <t>HK is funded by the German Research Foundation (DFG) through grant SA 1734/6-1 and by the Regional Climate Initiative REKLIM of the Helmholtz Association. IS is funded by the DFG through grant SA 1734/4-1 and by the German Academic Exchange Service (DAAD) under the personal ID number 91545539. Partial funding was also provided by the US National Science Foundation under grants OPP/ANT 1341394 and OCE 1202632 (DP). HK, IS, and VK also receive funding from the European Space Agency through the Support to Science Element Project REGINA, www.regina-science.eu, contract 4000107393/12/I-NB. The authors thank Zdenek Martinec for valuable discussions and gratefully acknowledge the reviews of Erik Ivins and one anonymous referee which helped to significantly improve this manuscript.</t>
  </si>
  <si>
    <t>10.1016/j.epsl.2015.10.008</t>
  </si>
  <si>
    <t>WOS:000366345200024</t>
  </si>
  <si>
    <t>Horgan, HJ; Anderson, B; Alley, RB; Chamberlain, CJ; Dykes, R; Kehrl, LM; Townend, J</t>
  </si>
  <si>
    <t>Horgan, Huw J.; Anderson, Brian; Alley, Richard B.; Chamberlain, Calum J.; Dykes, Robert; Kehrl, Laura M.; Townend, John</t>
  </si>
  <si>
    <t>Glacier velocity variability due to rain-induced sliding and cavity formation</t>
  </si>
  <si>
    <t>glaciology; subglacial hydrology; Antarctica; geophysics</t>
  </si>
  <si>
    <t>SUBGLACIAL WATER-PRESSURE; TASMAN GLACIER; SURFACE MELT; NEW-ZEALAND; FLOW; FINDELENGLETSCHER; ACCELERATION; SWITZERLAND; SCENARIOS; MOTION</t>
  </si>
  <si>
    <t>The largest accelerations of glaciers and ice sheets are caused by changes in basal slip. Here we examine glacier speed and rain-induced accelerations using a near-continuous 26-month-long GNSS time series from a large maritime glacier (Tasman Glacier, New Zealand). During periods of high rain-rate we observe short-term increases in 24-hour speeds to up to 15-times background speed. Speeds calculated over 3-hour intervals increase to up to 36-times background speed. Acceleration events correspond with times when bed separation also increases rapidly indicating that the acceleration is associated with the growth of water-filled cavities at the bed. Glacier speeds then decrease prior to the reduction in bed separation, indicating cavity growth, not cavity extent, controls the acceleration. The short-term accelerations are superimposed on longer-term periods of enhanced velocity that persist for days to weeks and decay at similar rates to bed separation estimates and proglacial lake levels. A power-law relationship between observed rain-rate and speed exists at the glacier front and exhibits no apparent upper bound. Overall, we estimate that rain-induced accelerations account for 11-14% of Tasman Glacier's displacement during the observation period. The rain-rate-velocity relationship and the rainfall record since 2001 indicate that rain-induced speed-up events result in interannual variability in glacier displacement of 2%-13%. (C) 2015 Elsevier B.V. All rights reserved.</t>
  </si>
  <si>
    <t>[Horgan, Huw J.; Anderson, Brian] Victoria Univ Wellington, Antarctic Res Ctr, Wellington, New Zealand; [Alley, Richard B.] Penn State Univ, Dept Geosci, University Pk, PA 16802 USA; [Alley, Richard B.] Penn State Univ, Earth &amp; Environm Syst Inst, University Pk, PA 16802 USA; [Chamberlain, Calum J.; Townend, John] Victoria Univ Wellington, Inst Geophys, Wellington, New Zealand; [Dykes, Robert] Massey Univ, Palmerston North, New Zealand; [Kehrl, Laura M.] Univ Washington, Dept Earth &amp; Space Sci, Seattle, WA 98103 USA</t>
  </si>
  <si>
    <t>Victoria University Wellington; Pennsylvania Commonwealth System of Higher Education (PCSHE); Pennsylvania State University; Pennsylvania State University - University Park; Pennsylvania Commonwealth System of Higher Education (PCSHE); Pennsylvania State University; Pennsylvania State University - University Park; Victoria University Wellington; Massey University; University of Washington; University of Washington Seattle</t>
  </si>
  <si>
    <t>Horgan, HJ (corresponding author), Victoria Univ Wellington, Antarctic Res Ctr, Wellington, New Zealand.</t>
  </si>
  <si>
    <t>huw.horgan@vuw.ac.nz</t>
  </si>
  <si>
    <t>Horgan, Huw/I-5847-2019; Townend, John/B-5923-2012</t>
  </si>
  <si>
    <t>Horgan, Huw/0000-0002-4836-0078; Townend, John/0000-0002-7017-620X; Chamberlain, Calum John/0000-0003-2317-2609; Kehrl, Laura/0000-0002-4926-2015</t>
  </si>
  <si>
    <t>Victoria University of Wellington; New Zealand Marsden Fund</t>
  </si>
  <si>
    <t>Victoria University of Wellington; New Zealand Marsden Fund(Royal Society of New ZealandMarsden Fund (NZ))</t>
  </si>
  <si>
    <t>This study was supported by a Victoria University of Wellington Research Establishment Grant and a Faculty Strategic Research Grant, as well as the New Zealand Marsden Fund. RBA acknowledges NSF 0424589. We thank Ruzica Dadic for helpful discussions. We also thank for two anonymous reviewers for their detailed and constructive comments.</t>
  </si>
  <si>
    <t>10.1016/j.epsl.2015.10.016</t>
  </si>
  <si>
    <t>WOS:000366345200026</t>
  </si>
  <si>
    <t>Park, Y; Yoo, HJ; Lee, WS; Lee, CK; Lee, J; Park, H; Kim, J; Kim, Y</t>
  </si>
  <si>
    <t>Park, Yongcheol; Yoo, Hyun Jae; Lee, Won Sang; Lee, Choon-Ki; Lee, Joohan; Park, Hadong; Kim, Jinseok; Kim, Yeadong</t>
  </si>
  <si>
    <t>P-wave velocity structure beneath Mt. Melbourne in northern Victoria Land, Antarctica: Evidence of partial melting and volcanic magma sources</t>
  </si>
  <si>
    <t>Antarctica; Mt. Melbourne; P-wave tomography; mantle edge flow; Jang Bogo Station</t>
  </si>
  <si>
    <t>ROSS SEA REGION; SEISMIC ANISOTROPY; THERMAL EVOLUTION; MOUNT MELBOURNE; MANTLE PLUME; LITHOSPHERE; TOMOGRAPHY; EREBUS; MODEL; TIMES</t>
  </si>
  <si>
    <t>Mt. Melbourne is a late Cenozoic intraplate volcano located similar to 30 km northeast of Jang Bogo Station in Antarctica. The volcano is quiescent with fumarolic activity at the summit. To monitor volcanic activity and glacial movements near Jang Bogo Station, a seismic network was installed during the 2010-11 Antarctic summer field season. The network is maintained during the summer field season every year, and the number of stations has been increased. We used continuous seismic data recorded by the network and an Italian seismic station (TNV) at Mario Zucchelli Station to develop a 3-D P-wave velocity model for the Mt. Melbourne area based on the teleseismic P-wave tomographic method. The new 3-D model presented a relative velocity structure for the lower part of the crust and upper mantle between depths of 30 and 160 km and revealed the presence of two low-velocity anomalies beneath Mt. Melbourne and the Priestley Fault. The low-velocity anomaly beneath Mt. Melbourne may be caused by the edge flow of hot mantle material at the lithospheric step between the thick East Antarctic Craton and thin Ross Sea crust. The other low-velocity anomaly along the Priestley Fault may have been beneath Mt. Melbourne and moved to the southern tip of the Deep Freeze Range, where the crustal thickness is relatively thin. The anomaly was trapped on the fault line and laterally flowed along the fault line in the northwest direction. (C) 2015 Elsevier B.V. All rights reserved.</t>
  </si>
  <si>
    <t>[Park, Yongcheol; Yoo, Hyun Jae; Lee, Won Sang; Lee, Choon-Ki; Lee, Joohan; Park, Hadong; Kim, Jinseok; Kim, Yeadong] Korea Polar Res Inst, Inchon 406840, South Korea</t>
  </si>
  <si>
    <t>Korea Polar Research Institute (KOPRI); Korea Institute of Ocean Science &amp; Technology (KIOST)</t>
  </si>
  <si>
    <t>Yoo, HJ (corresponding author), Korea Polar Res Inst, 26 Songdomirae Ro, Inchon 406840, South Korea.</t>
  </si>
  <si>
    <t>hjyoo@kopri.re.kr</t>
  </si>
  <si>
    <t>Park, Yongcheol/0000-0002-2880-8381; Lee, Won Sang/0000-0002-1074-7672</t>
  </si>
  <si>
    <t>Korea Polar Research Institute [PM15020]</t>
  </si>
  <si>
    <t>We thank two anonymous reviewer for constructive comments. This research was supported by a Korea Polar Research Institute Grant (Grant No. PM15020). The TNV seismic data were provided by Programma Nazionale di Ricerche in Antartide (http://panda.bo.ingv.it). Figs. 1, S1, S4, and S5 in this article were generated by the Genetic Mapping Tools 4.5.8.</t>
  </si>
  <si>
    <t>10.1016/j.epsl.2015.10.015</t>
  </si>
  <si>
    <t>WOS:000366345200028</t>
  </si>
  <si>
    <t>Saunders, RA; Collins, MA; Ward, P; Stowasser, G; Hill, SL; Shreeve, R; Tarling, GA</t>
  </si>
  <si>
    <t>Saunders, Ryan A.; Collins, Martin A.; Ward, Peter; Stowasser, Gabriele; Hill, Simeon L.; Shreeve, Rachael; Tarling, Geraint A.</t>
  </si>
  <si>
    <t>Predatory impact of the myctophid fish community on zooplankton in the Scotia Sea (Southern Ocean)</t>
  </si>
  <si>
    <t>Myctophidae; Predation rates; Feeding ecology; Scotia Sea; Southern Ocean</t>
  </si>
  <si>
    <t>ICEFISH CHAMPSOCEPHALUS-GUNNARI; WESTERN NORTH PACIFIC; FEEDING ECOLOGY; MESOPELAGIC FISHES; FOOD-WEB; APTENODYTES-PATAGONICUS; EUDYPTES-CHRYSOLOPHUS; THYSANOESSA-MACRURA; ANTARCTIC PENINSULA; DIET COMPOSITION</t>
  </si>
  <si>
    <t>Myctophids are the most abundant mesopelagic fishes in the Southern Ocean, although their trophic role within the predominantly krill-based food web in regions south of the Antarctic Polar Front (APF) is poorly resolved. This study therefore examined the diets of 10 species of myctophid fishes: Electrona antarctica, E. carlsbergi, Gymnoscopelus braueri, G. fraseri, G. nicholsi, Krefftichthys anderssoni, Proto myctophum bolini, P. tenisoni, P. choriodon and Nannobrachium achirus, in the Scotia Sea, together with their predatory impact on the underlying zooplankton community. Myctophids and their prey were sampled in different seasons by scientific nets deployed across the Scotia Sea from the sea-ice zone to the APF. Based on the percentage index of relative importance, myctophids had high overlap in their diets, although the data indicate dietary specialisation in some species. There was also a distinct switch in diet, from copepods to euphausiids and amphipods, with increasing myctophid size. Myctophid predation impacted daily copepod production by between 0.01 and 5%, with Calanus simillimus being most impacted. Total annual consumption of copepods was around 1.5 million t (Mt) per year. All myctophids preyed upon the euphausiid Thysanoessa spp., consuming similar to 12% of its daily productivity and around 4 Mt per year. However, only larger myctophid species preyed upon Antarctic krill Euphausia superba, consuming 2% of its daily productivity, which could amount to as much as 17 Mt per year. Themisto gaudichaudii was also an important dietary component, with 4% of its daily productivity being consumed, amounting to around 2 Mt per year. This study demonstrates that myctophids link secondary productivity to higher predators both through krill-dependent and krill-independent trophic pathways.</t>
  </si>
  <si>
    <t>[Saunders, Ryan A.; Ward, Peter; Stowasser, Gabriele; Hill, Simeon L.; Shreeve, Rachael; Tarling, Geraint A.] British Antarctic Survey, NERC, Cambridge CB3 0ET, England; [Collins, Martin A.] Govt South Georgia &amp; South Sandwich Isl, Stanley, Falkland Island, England</t>
  </si>
  <si>
    <t>Saunders, RA (corresponding author), British Antarctic Survey, NERC, Madingley Rd, Cambridge CB3 0ET, England.</t>
  </si>
  <si>
    <t>ryaund@bas.ac.uk</t>
  </si>
  <si>
    <t>, Martin/ABE-6728-2020; Collins, Martin A/J-8560-2017; Simeon, Hill L/B-2307-2008</t>
  </si>
  <si>
    <t>, Martin/0000-0001-7132-8650; Stowasser, Gabriele/0000-0002-0595-0772</t>
  </si>
  <si>
    <t>Natural Environment Research Council; NERC [bas0100035] Funding Source: UKRI; Natural Environment Research Council [bas0100035] Funding Source: researchfish</t>
  </si>
  <si>
    <t>This work was carried out as part of the British Antarctic Survey's Discovery 2010 Programme that was funded by the Natural Environment Research Council. We thank the officers, crew and scientists of the RRS James Clark Ross for their assistance during the 3 research cruises. We also thank Emma Foster for assisting with lab work.</t>
  </si>
  <si>
    <t>10.3354/meps11527</t>
  </si>
  <si>
    <t>WOS:000367393200004</t>
  </si>
  <si>
    <t>Owen, K; Warren, JD; Noad, MJ; Donnelly, D; Goldizen, AW; Dunlop, RA</t>
  </si>
  <si>
    <t>Owen, Kylie; Warren, Joseph D.; Noad, Michael J.; Donnelly, David; Goldizen, Anne W.; Dunlop, Rebecca A.</t>
  </si>
  <si>
    <t>Effect of prey type on the fine-scale feeding behaviour of migrating east Australian humpback whales</t>
  </si>
  <si>
    <t>Area-restricted search; Humpback whales; Krill; Fish; Feeding behaviour; Migration; Prey type; Stopover site</t>
  </si>
  <si>
    <t>KRILL EUPHAUSIA-SUPERBA; MEGAPTERA-NOVAEANGLIAE; ANTARCTIC KRILL; INTEROBSERVER RELIABILITY; STOPOVER ECOLOGY; WEST-COAST; CETACEANS; ATLANTIC; WATERS; DIFFERENTIATION</t>
  </si>
  <si>
    <t>For terrestrial migrants, feeding at migratory stopover sites is important, with prey quality linked to future survival and reproductive success. In contrast, the importance of this behaviour to marine species is unknown. The humpback whale Megaptera novaeangliae is a marine migrant that is thought to fast while migrating; however, recent studies suggest that feeding may occur during this time. The aims of this study were to determine how the prey type available on a migratory route off Eden, New South Wales, Australia, influenced whether whales fed or not, and to study the fine-scale behaviour of the whales. Digital acoustic recording tags (DTAGs) and focal follows were used to record whale behaviour. A larger proportion of groups were determined to be feeding when krill was observed at the surface. Whales encountering fish spent a small percentage (28%) of time feeding, behaving similarly to non-feeding whales on migration, with small groups, a higher proportion of males sampled, and relatively straight tracks. In contrast, whales encountering surface swarms of krill spent significantly more time feeding (92%) and behaved similarly to whales on feeding grounds, with larger groups, more females sampled, and tracks with high turning angles. Therefore, changes in the available prey type influenced the amount of time spent feeding and the social dynamics of groups. Given the link between the amount of feeding completed on migration and the future survival and reproductive success of individuals in terrestrial species, the impact of such fluctuations on marine species such as the humpback whale deserves more attention.</t>
  </si>
  <si>
    <t>[Owen, Kylie; Noad, Michael J.; Dunlop, Rebecca A.] Univ Queensland, Sch Vet Sci, Cetacean Ecol &amp; Acoust Lab, Gatton, Qld 4343, Australia; [Warren, Joseph D.] SUNY Stony Brook, Sch Marine &amp; Atmospher Sci, Acoust Lab Ecol Studies, Southampton, NY 11968 USA; [Donnelly, David] Australian Orca Database, Box Hill South, Vic 3128, Australia; [Goldizen, Anne W.] Univ Queensland, Sch Biol Sci, Behav Ecol Res Grp, St Lucia, Qld 4072, Australia</t>
  </si>
  <si>
    <t>University of Queensland; State University of New York (SUNY) System; State University of New York (SUNY) Stony Brook; University of Queensland</t>
  </si>
  <si>
    <t>Warren, Joseph/Y-4078-2019; Owen, Kylie/K-9400-2015; Noad, Michael/D-7975-2013; Goldizen, Anne/G-7366-2012</t>
  </si>
  <si>
    <t>Owen, Kylie/0000-0002-8986-482X; Noad, Michael/0000-0002-2799-8320; Goldizen, Anne/0000-0003-0101-4108</t>
  </si>
  <si>
    <t>Cat Balou Whale Watching cruises; Sapphire Coast Marine Discovery Centre; Australian Marine Mammal Centre at the Australian Antarctic Division</t>
  </si>
  <si>
    <t>The authors thank the staff and students of the Cetacean Ecology and Acoustics Laboratory for their help. Thank you to all of the volunteers who assisted with data collection, particularly to our research assistant Scott Sheehan. Thanks also to Cat Balou Whale Watching cruises for their support and the Sapphire Coast Marine Discovery Centre for providing their support and laboratory space. Funding for this project was provided by the Australian Marine Mammal Centre at the Australian Antarctic Division. We also thank the Australian Marine Mammal Centre for completing the sex determination of animals in this study. Thank you to Eva Hartvig for assisting with programming and calibration of the DTAGs. This research was conducted under Scientific Licence number SL100183, and Commonwealth permit numbers 2011-0002 and 2012-0004. Prey was collected under permit number P11/0057-1.0. Ethical approval was granted by the NSW Director General's Animal Ethics committee (11/2374) and the University of Queensland Animal Welfare Unit (SVS/NSW/198/11/AMMC).</t>
  </si>
  <si>
    <t>10.3354/meps11551</t>
  </si>
  <si>
    <t>WOS:000367393200017</t>
  </si>
  <si>
    <t>Tribelli, PM; Venero, ECS; Ricardi, MM; Gómez-Lozano, M; Iustman, LJR; Molin, S; López, NI</t>
  </si>
  <si>
    <t>Tribelli, Paula M.; Solar Venero, Esmeralda C.; Ricardi, Martiniano M.; Gomez-Lozano, Maria; Raiger Iustman, Laura J.; Molin, Soren; Lopez, Nancy I.</t>
  </si>
  <si>
    <t>Novel Essential Role of Ethanol Oxidation Genes at Low Temperature Revealed by Transcriptome Analysis in the Antarctic Bacterium Pseudomonas extremaustralis</t>
  </si>
  <si>
    <t>PLOS ONE</t>
  </si>
  <si>
    <t>2-COMPONENT REGULATORY SYSTEM; ALCOHOL-DEHYDROGENASE; IRON ACQUISITION; GLOBAL REGULATOR; REDOX STATE; SMALL RNAS; STRESS; AERUGINOSA; GENOME; COLD</t>
  </si>
  <si>
    <t>Temperature is one of the most important factors for bacterial growth and development. Cold environments are widely distributed on earth, and psychrotolerant and psychrophilic microorganisms have developed different adaptation strategies to cope with the stress derived from low temperatures. Pseudomonas extremaustralis is an Antarctic bacterium able to grow under low temperatures and to produce high amounts of polyhydroxyalkanoates (PHAs). In this work, we analyzed the genome-wide transcriptome by RNA deep-sequencing technology of early exponential cultures of P. extremaustralis growing in LB (Luria Broth) supplemented with sodium octanoate to favor PHA accumulation at 8 degrees C and 30 degrees C. We found that genes involved in primary metabolism, including tricarboxylic acid cycle (TCA) related genes, as well as cytochromes and amino acid metabolism coding genes, were repressed at low temperature. Among up-regulated genes, those coding for transcriptional regulatory and signal transduction proteins were over-represented at cold conditions. Remarkably, we found that genes involved in ethanol oxidation, exaA, exaB and exaC, encoding a pyrroloquinoline quinone (PQQ)-dependent ethanol dehydrogenase, the cytochrome c550 and an aldehyde dehydrogenase respectively, were up-regulated. Along with RNA-seq experiments, analysis of mutant strains for pqqB (PQQ biosynthesis protein B) and exaA were carried out. We found that the exaA and pqqB genes are essential for growth under low temperature in LB supplemented with sodium octanoate. Additionally, prosaniline assay measurements showed the presence of alcohol dehydrogenase activity at both 8 degrees C and 30 degrees C, while the activity was abolished in a pqqB mutant strain. These results together with the detection of ethanol by gas chromatography in P. extremaustralis cultures grown at 8 degrees C support the conclusion that this pathway is important under cold conditions. The obtained results have led to the identification of novel components involved in cold adaptation mechanisms in this bacterium, suggesting for the first time a role of the ethanol oxidation pathway for bacterial growth at low temperatures.</t>
  </si>
  <si>
    <t>[Tribelli, Paula M.; Raiger Iustman, Laura J.; Lopez, Nancy I.] Univ Buenos Aires, Fac Ciencias Exactas &amp; Nat, Dept Quim Biol, Buenos Aires, DF, Argentina; [Tribelli, Paula M.; Solar Venero, Esmeralda C.; Raiger Iustman, Laura J.; Lopez, Nancy I.] Consejo Nacl Invest Cient &amp; Tecn, IQUIBICEN, RA-1033 Buenos Aires, DF, Argentina; [Ricardi, Martiniano M.] Univ Buenos Aires, Fac Ciencias Exactas &amp; Nat, CONICET, Inst Fisiol Biol Mol &amp; Neurociencias IFIBYNE, Buenos Aires, DF, Argentina; [Gomez-Lozano, Maria; Molin, Soren] Tech Univ Denmark, Novo Nordisk Fdn, Ctr Biosustainabil, Horsholm, Denmark</t>
  </si>
  <si>
    <t>University of Buenos Aires; Consejo Nacional de Investigaciones Cientificas y Tecnicas (CONICET); University of Buenos Aires; Consejo Nacional de Investigaciones Cientificas y Tecnicas (CONICET); Technical University of Denmark; Novo Nordisk Foundation</t>
  </si>
  <si>
    <t>López, NI (corresponding author), Univ Buenos Aires, Fac Ciencias Exactas &amp; Nat, Dept Quim Biol, Intendente Guiraldes 2160,C1428EGA, Buenos Aires, DF, Argentina.</t>
  </si>
  <si>
    <t>nan@qb.fcen.uba.ar</t>
  </si>
  <si>
    <t>Gomez-Lozano, PhD, Maria/ABA-2244-2021</t>
  </si>
  <si>
    <t>Gomez-Lozano, PhD, Maria/0000-0002-7078-4141; Molin, Soren/0000-0002-7973-2639; Ricardi, Martiniano Maria/0000-0002-7904-6305; Raiger Iustman, Laura J./0000-0002-8541-3204; Tribelli, Paula Maria/0000-0001-9558-6275; Solar Venero, Esmeralda/0000-0003-3516-8535</t>
  </si>
  <si>
    <t>Universidad de Buenos Aires [20020130100451BA]; Consejo Nacional de Investigaciones Cientificas y Tecnicas (CONICET) [0338]; Agencia Nacional de Promocion Cientifica (ANPCyT), Argentina [2259]; CONICET; short term EMBO fellowship</t>
  </si>
  <si>
    <t>Universidad de Buenos Aires(University of Buenos Aires); Consejo Nacional de Investigaciones Cientificas y Tecnicas (CONICET)(Consejo Nacional de Investigaciones Cientificas y Tecnicas (CONICET)); Agencia Nacional de Promocion Cientifica (ANPCyT), Argentina(ANPCyT); CONICET(Consejo Nacional de Investigaciones Cientificas y Tecnicas (CONICET)); short term EMBO fellowship</t>
  </si>
  <si>
    <t>This work was supported by grants from Universidad de Buenos Aires 2014-2017, Proyecto No 20020130100451BA, Consejo Nacional de Investigaciones Cientificas y Tecnicas (CONICET, PIP 2011, No 0338), and Agencia Nacional de Promocion Cientifica (ANPCyT: PICT 2013, No 2259), Argentina. PMT, LJRI, and NIL are career investigators from Consejo Nacional de Investigaciones Cientificas y Tecnicas (CONICET, Argentina). ESV has a graduate student fellowship from CONICET. MMR has a postdoctoral fellowship from CONICET. RNA-seq experiments were performed by PMTat Dr. Molin's Lab supported by a short term EMBO fellowship.</t>
  </si>
  <si>
    <t>PUBLIC LIBRARY SCIENCE</t>
  </si>
  <si>
    <t>1160 BATTERY STREET, STE 100, SAN FRANCISCO, CA 94111 USA</t>
  </si>
  <si>
    <t>1932-6203</t>
  </si>
  <si>
    <t>PLoS One</t>
  </si>
  <si>
    <t>e0145353</t>
  </si>
  <si>
    <t>10.1371/journal.pone.0145353</t>
  </si>
  <si>
    <t>CY9HZ</t>
  </si>
  <si>
    <t>WOS:000366719300059</t>
  </si>
  <si>
    <t>Lou, CN; Liu, XD; Nie, YG; Emslie, SD</t>
  </si>
  <si>
    <t>Lou, Chuangneng; Liu, Xiaodong; Nie, Yaguang; Emslie, Steven D.</t>
  </si>
  <si>
    <t>Fractionation distribution and preliminary ecological risk assessment of As, Hg and Cd in ornithogenic sediments from the Ross Sea region, East Antarctica</t>
  </si>
  <si>
    <t>SCIENCE OF THE TOTAL ENVIRONMENT</t>
  </si>
  <si>
    <t>Arsenic; Mercury; Cadmium; Fractionation; Ornithogenic sediments; East Antarctica</t>
  </si>
  <si>
    <t>SEQUENTIAL EXTRACTION PROCEDURE; MERCURY FRACTIONATION; CONTAMINATED SOILS; ARSENIC FRACTIONATION; CHLORALKALI PLANTS; CADMIUM; SPECIATION; PENGUIN; PHYTOAVAILABILITY; BIOACCESSIBILITY</t>
  </si>
  <si>
    <t>To evaluate mobility of toxic elements and their potential ecological risk caused by seabird biovectors, the fractionation distributions of arsenic (As), mercury (Hg) and cadmium (Cd) were investigated in three ornithogenic sediment profiles from the Ross Sea region, East Antarctica. The results show residual As holds a dominant position, and Hg mainly derives from residual, organic matter-bound and humic acid-bound fractions, indicating weak mobility of As and Hg. However, exchangeable Cd occupies a considerable proportion in studied samples, suggesting Cd has strong mobility. The preliminary evaluation of Sediment Quality Guidelines (SGQs) shows adverse biological effects may occur occasionally for As and Cd, and rarely for Hg. Using Risk Assessment Code (RAC), the ecological risk is assessed at moderate, low and very high for As, Hg and Cd pollution, respectively. Organic matter derived from guano is the main factor controlling the mobility of Hg and Cd through adsorption and complexation. (C) 2015 Elsevier B.V. All rights reserved.</t>
  </si>
  <si>
    <t>[Lou, Chuangneng; Liu, Xiaodong; Nie, Yaguang] Univ Sci &amp; Technol China, Sch Earth &amp; Space Sci, Inst Polar Environm, Hefei 230026, Peoples R China; [Emslie, Steven D.] Univ N Carolina, Dept Biol &amp; Marine Biol, Wilmington, NC 28403 USA</t>
  </si>
  <si>
    <t>Chinese Academy of Sciences; University of Science &amp; Technology of China, CAS; University of North Carolina; University of North Carolina Wilmington</t>
  </si>
  <si>
    <t>Liu, XD (corresponding author), Univ Sci &amp; Technol China, Sch Earth &amp; Space Sci, Inst Polar Environm, Hefei 230026, Peoples R China.</t>
  </si>
  <si>
    <t>ycx@ustc.edu.cn</t>
  </si>
  <si>
    <t>Chinese Arctic and Antarctic Administration of the State Oceanic Administration; National Natural Science Foundation of China [41576183, 41376124]; Chinese Polar Environment Comprehensive Investigation &amp; Assessment Programmes [CHINARE2015-04-04-09]; NSF Grant [ANT 0739575]; Office of Polar Programs (OPP); Directorate For Geosciences [0739575] Funding Source: National Science Foundation</t>
  </si>
  <si>
    <t>Chinese Arctic and Antarctic Administration of the State Oceanic Administration; National Natural Science Foundation of China(National Natural Science Foundation of China (NSFC)); Chinese Polar Environment Comprehensive Investigation &amp; Assessment Programmes; NSF Grant(National Science Foundation (NSF)); Office of Polar Programs (OPP); Directorate For Geosciences(National Science Foundation (NSF)NSF - Directorate for Geosciences (GEO))</t>
  </si>
  <si>
    <t>We would like to thank the Chinese Arctic and Antarctic Administration of the State Oceanic Administration for project support. We also thank the United States Antarctic Program (USAP), Raytheon Polar Services, and in particular J. Smykla, E. Gruber and L. Coats for their valuable assistance in the field. This study was supported by the National Natural Science Foundation of China (Grant Nos. 41576183 and 41376124), Chinese Polar Environment Comprehensive Investigation &amp; Assessment Programmes (CHINARE2015-04-04-09) and NSF Grant ANT 0739575.</t>
  </si>
  <si>
    <t>0048-9697</t>
  </si>
  <si>
    <t>1879-1026</t>
  </si>
  <si>
    <t>SCI TOTAL ENVIRON</t>
  </si>
  <si>
    <t>Sci. Total Environ.</t>
  </si>
  <si>
    <t>10.1016/j.scitotenv.2015.08.102</t>
  </si>
  <si>
    <t>CU2JD</t>
  </si>
  <si>
    <t>WOS:000363348900062</t>
  </si>
  <si>
    <t>Goutte, A; Cherel, Y; Churlaud, C; Ponthus, JP; Massé, G; Bustamante, P</t>
  </si>
  <si>
    <t>Goutte, Aurelie; Cherel, Yves; Churlaud, Carine; Ponthus, Jean-Pierre; Masse, Guillaume; Bustamante, Paco</t>
  </si>
  <si>
    <t>Trace elements in Antarctic fish species and the influence of foraging habitats and dietary habits on mercury levels</t>
  </si>
  <si>
    <t>Heavy metals; Nototheniidae; Southern Ocean; Stable isotopes</t>
  </si>
  <si>
    <t>HEAVY-METALS; TERRE-ADELIE; FOOD-WEB; CONTAMINATION; ZINC; BIOMAGNIFICATION; BIOACCUMULATION; CRUSTACEANS; DELTA-N-15; EXPOSURE</t>
  </si>
  <si>
    <t>This study aims at describing and interpreting concentration profiles of trace elements in seven Antarctic fish species (N = 132 specimens) off Adelie Land. Ichthyofauna plays a key role in the Antarctic ecosystem, as they occupy various ecological niches, including cryopelagic (ice-associated), pelagic, and benthic habitats. Firstly, trace element levels in the studied specimens were similar to those previously observed in fish from the Southern Ocean. Apart from manganese and zinc, concentrations of arsenic, cadmium, copper, iron, mercury (Hg), nickel, selenium and silver differed among fish species. Muscle delta C-13 and delta N-15 values were determined to investigate whether the fish foraging habitats and dietary habits could explain Hg levels. Species and foraging habitat (delta C-13) were strong predictors for variations of Hg concentrations in muscle tissues. The highest Hg contamination was found in shallow benthic fish compared to cryopelagic and pelagic fish. This pattern was likely due to the methylation of Hg in the coastal sediment and the photodemethylation by ultraviolet radiation in surface waters. (C) 2015 Elsevier B.V. All rights reserved.</t>
  </si>
  <si>
    <t>[Goutte, Aurelie; Ponthus, Jean-Pierre] Univ Paris 06, EPHE, UMR 7619, METIS, F-75005 Paris, France; [Cherel, Yves] Univ La Rochelle, Ctr Etud Biol Chize, UMR 7372, CNRS, F-79360 Villiers En Bois, France; [Churlaud, Carine; Bustamante, Paco] Univ La Rochelle, Littoral Environm &amp; Soc LIENSs, UMR 7266, CNRS, F-17000 La Rochelle, France; [Masse, Guillaume] Univ Laval, Unite Mixte Int Takuvik, Quebec City, PQ, Canada</t>
  </si>
  <si>
    <t>Centre National de la Recherche Scientifique (CNRS); CNRS - Institute of Ecology &amp; Environment (INEE); Universite PSL; Ecole Pratique des Hautes Etudes (EPHE); Sorbonne Universite; Centre National de la Recherche Scientifique (CNRS); CNRS - Institute of Ecology &amp; Environment (INEE); La Rochelle Universite; Centre National de la Recherche Scientifique (CNRS); CNRS - Institute of Ecology &amp; Environment (INEE); La Rochelle Universite; Laval University</t>
  </si>
  <si>
    <t>Goutte, A (corresponding author), Univ Paris 06, EPHE, UMR 7619, METIS, 4 Pl Jussieu, F-75005 Paris, France.</t>
  </si>
  <si>
    <t>aurelie.goutte@ephe.sorbonne.fr</t>
  </si>
  <si>
    <t>Bustamante, Paco/G-5833-2011; Goutte, Aurelie/F-7572-2017; Goutte, Aurelie/JZT-6808-2024</t>
  </si>
  <si>
    <t>Bustamante, Paco/0000-0003-3877-9390; Goutte, Aurelie/0000-0001-8322-5843</t>
  </si>
  <si>
    <t>French Institute Paul-Emile Victor (IPEV project) [1010]; European Research Council (ICEPROXY) [203441]; ANR project POLARTOP [ANR-10-CESA-0016]; Contrat de Projet Etat Region [CPER 13]; Agence Nationale de la Recherche (ANR) [ANR-10-CESA-0016] Funding Source: Agence Nationale de la Recherche (ANR); European Research Council (ERC) [203441] Funding Source: European Research Council (ERC)</t>
  </si>
  <si>
    <t>French Institute Paul-Emile Victor (IPEV project); European Research Council (ICEPROXY)(European Research Council (ERC)); ANR project POLARTOP(Agence Nationale de la Recherche (ANR)); Contrat de Projet Etat Region; Agence Nationale de la Recherche (ANR)(Agence Nationale de la Recherche (ANR)); European Research Council (ERC)(European Research Council (ERC)Spanish Government)</t>
  </si>
  <si>
    <t>We thank C. Robineau and J. Lanshere who helped with collecting fish, and M. Brault-Favrou and G. Guillou for running stable isotope analysis. This article benefited greatly from the comments of two anonymous reviewers. This work was logistically supported by the French Institute Paul-Emile Victor (IPEV project number 1010, ICELIPIDS, G. Masse) and was financially supported by the European Research Council (ICEPROXY, project number 203441), the ANR project POLARTOP (ANR-10-CESA-0016) and the Contrat de Projet Etat Region (CPER 13).</t>
  </si>
  <si>
    <t>10.1016/j.scitotenv.2015.08.103</t>
  </si>
  <si>
    <t>WOS:000363348900072</t>
  </si>
  <si>
    <t>Niederberger, TD; Sohm, JA; Gunderson, T; Tirindelli, J; Capone, DG; Carpenter, EJ; Cary, SC</t>
  </si>
  <si>
    <t>Niederberger, Thomas D.; Sohm, Jill A.; Gunderson, Troy; Tirindelli, Joelle; Capone, Douglas G.; Carpenter, Edward J.; Cary, S. Craig</t>
  </si>
  <si>
    <t>Carbon-Fixation Rates and Associated Microbial Communities Residing in Arid and Ephemerally Wet Antarctic Dry Valley Soils</t>
  </si>
  <si>
    <t>FRONTIERS IN MICROBIOLOGY</t>
  </si>
  <si>
    <t>CO2 fixation; Antarctic soils; primary production; Dry Valleys; microbial communities</t>
  </si>
  <si>
    <t>LARGE-SUBUNIT GENES; VICTORIA LAND; CARBOXYLASE/OXYGENASE GENES; ORGANIC-MATTER; HYPORHEIC ZONE; TAYLOR VALLEY; DIVERSITY; BACTERIA; ECOLOGY; FLUX</t>
  </si>
  <si>
    <t>Carbon-fixation is a critical process in severely oligotrophic Antarctic Dry Valley (DV) soils and may represent the major source of carbon in these arid environments. However, rates of C-fixation in DVs are currently unknown and the microorganisms responsible for these activities unidentified. In this study, C-fixation rates measured in the bulk arid soils (&lt;5% moisture) ranged from below detection limits to similar to 12 nmol C/cc/h. Rates in ephemerally wet soils ranged from 20 to 750 nmol C/cc/h, equating to turnover rates of similar to 7-140 days, with lower rates in stream associated soils as compared to lake-associated soils. Sequencing of the large subunit of RuBisCO (cbbL) in these soils identified green-type sequences dominated by the 1B cyanobacterial phylotype in both arid and wet soils including the RNA fraction of the wet soil. Red type cbbL genes were dominated by 1C actinobacterial phylotypes in arid soils, with wetted soils containing nearly equal proportions of 1C (actinobacterial and proteobacterial signatures) and 1D (algal) phylotypes. Complementary 16S rRNA and 18S rRNA gene sequencing also revealed distinct differences in community structure between biotopes. This study is the first of its kind to examine C-fixation rates in DV soils and the microorganisms potentially responsible for these activities.</t>
  </si>
  <si>
    <t>[Niederberger, Thomas D.; Cary, S. Craig] Univ Delaware, Coll Marine &amp; Earth Sci, Lewes, DE 19958 USA; [Sohm, Jill A.; Gunderson, Troy; Capone, Douglas G.] Univ So Calif, Wrigley Inst Environm Studies, Los Angeles, CA USA; [Sohm, Jill A.; Gunderson, Troy; Capone, Douglas G.] Univ So Calif, Dept Biol Sci, Los Angeles, CA 90089 USA; [Tirindelli, Joelle; Carpenter, Edward J.] San Francisco State Univ, Romberg Tiburon Ctr, Tiburon, CA USA; [Cary, S. Craig] Univ Waikato, Int Ctr Terr Antarct Res, Hamilton, New Zealand</t>
  </si>
  <si>
    <t>University of Delaware; University of Southern California; University of Southern California; California State University System; San Francisco State University; University of Waikato</t>
  </si>
  <si>
    <t>Cary, SC (corresponding author), Univ Delaware, Coll Marine &amp; Earth Sci, Lewes, DE 19958 USA.</t>
  </si>
  <si>
    <t>caryc@waikato.ac.nz</t>
  </si>
  <si>
    <t>Cary, Stephen/0000-0002-2876-2387</t>
  </si>
  <si>
    <t>National Science Foundation [ANT 0739633, ANT 0739640, ANT 0739648, 1246292]; Directorate For Geosciences; Office of Polar Programs (OPP) [1246102] Funding Source: National Science Foundation; Directorate For Geosciences; Office of Polar Programs (OPP) [1246373] Funding Source: National Science Foundation</t>
  </si>
  <si>
    <t>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</si>
  <si>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We would like to thank the staff at the United States Antarctic Program, as well as Antarctica New Zealand, and the Foundation for Research in Science and Technology, New Zealand, for logistical support while in the field. This research was supported by National Science Foundation Grants ANT 0739633 (to DC), ANT 0739640 (to EC), and ANT 0739648 and 1246292 (to SC).</t>
  </si>
  <si>
    <t>1664-302X</t>
  </si>
  <si>
    <t>FRONT MICROBIOL</t>
  </si>
  <si>
    <t>Front. Microbiol.</t>
  </si>
  <si>
    <t>DEC 9</t>
  </si>
  <si>
    <t>10.3389/fmicb.2015.01347</t>
  </si>
  <si>
    <t>CY9CP</t>
  </si>
  <si>
    <t>WOS:000366705300001</t>
  </si>
  <si>
    <t>Valletta, RD; Willenbring, JK; Lewis, AR; Ashworth, AC; Caffee, M</t>
  </si>
  <si>
    <t>Valletta, Rachel D.; Willenbring, Jane K.; Lewis, Adam R.; Ashworth, Allan C.; Caffee, Marc</t>
  </si>
  <si>
    <t>Extreme decay of meteoric beryllium-10 as a proxy for persistent aridity</t>
  </si>
  <si>
    <t>ANTARCTIC ICE-SHEET; DRY VALLEYS; EAST ANTARCTICA; MIOCENE; CLIMATE; ACCUMULATION; HISTORY; FROZEN; CORE; SEA</t>
  </si>
  <si>
    <t>The modern Antarctic Dry Valleys are locked in a hyper-arid, polar climate that enables the East Antarctic Ice Sheet (EAIS) to remain stable, frozen to underlying bedrock. The duration of these dry, cold conditions is a critical prerequisite when modeling the long-term mass balance of the EAIS during past warm climates and is best examined using terrestrial paleoclimatic proxies. Unfortunately, deposits containing such proxies are extremely rare and often difficult to date. Here, we apply a unique dating approach to tundra deposits using concentrations of meteoric beryllium-10 (Be-10) adhered to paleolake sediments from the Friis Hills, central Dry Valleys. We show that lake sediments were emplaced between 14-17.5 My and have remained untouched by meteoric waters since that time. Our results support the notion that the onset of Dry Valleys aridification occurred -14 My, precluding the possibility of EAIS collapse during Pliocene warming events. Lake fossils indicate that &gt;14 My ago the Dry Valleys hosted a moist tundra that flourished in elevated atmospheric CO2 (&gt;400 ppm). Thus, Dry Valleys tundra deposits record regional climatic transitions that affect EAIS mass balance, and, in a global paleoclimatic context, these deposits demonstrate how warming induced by 400 ppm CO2 manifests at high latitudes.</t>
  </si>
  <si>
    <t>[Valletta, Rachel D.; Willenbring, Jane K.] Univ Penn, Dept Earth &amp; Environm Sci, Philadelphia, PA 19104 USA; [Lewis, Adam R.; Ashworth, Allan C.] N Dakota State Univ, Dept Geosci, Fargo, ND 58108 USA; [Caffee, Marc] Purdue Univ, Dept Phys &amp; Astron, PRIME Lab, W Lafayette, IN 47907 USA; [Caffee, Marc] Purdue Univ, Dept Earth Atmospher &amp; Planetary Sci, W Lafayette, IN 47907 USA</t>
  </si>
  <si>
    <t>University of Pennsylvania; North Dakota State University Fargo; Purdue University System; Purdue University; Purdue University System; Purdue University</t>
  </si>
  <si>
    <t>Willenbring, JK (corresponding author), Univ Penn, Dept Earth &amp; Environm Sci, Philadelphia, PA 19104 USA.</t>
  </si>
  <si>
    <t>erosion@sas.upenn.edu</t>
  </si>
  <si>
    <t>Willenbring, Jane/ABG-1300-2020; Willenbring, Jane/B-6431-2011</t>
  </si>
  <si>
    <t>Willenbring, Jane/0000-0003-2722-9537</t>
  </si>
  <si>
    <t>University of Pennsylvania; North Dakota State University; National Science Foundation (USA) [0739693, 1043554]; NSF [1153689]; Division Of Earth Sciences; Directorate For Geosciences [1153689] Funding Source: National Science Foundation; Office of Polar Programs (OPP); Directorate For Geosciences [1043554] Funding Source: National Science Foundation</t>
  </si>
  <si>
    <t>University of Pennsylvania; North Dakota State University; National Science Foundation (USA)(National Science Foundation (NSF)); NSF(National Science Foundation (NSF)); Division Of Earth Sciences; Directorate For Geosciences(National Science Foundation (NSF)NSF - Directorate for Geosciences (GEO)); Office of Polar Programs (OPP); Directorate For Geosciences(National Science Foundation (NSF)NSF - Directorate for Geosciences (GEO))</t>
  </si>
  <si>
    <t>This research was supported by the University of Pennsylvania, the North Dakota State University and the National Science Foundation (USA) awards 0739693 to ARL and ACA and 1043554 to JKW. PRIME Lab is funded in part by NSF award 1153689. Imagery is provided by the Polar Geospatial Center at the University of Minnesota.</t>
  </si>
  <si>
    <t>10.1038/srep17813</t>
  </si>
  <si>
    <t>CX9OQ</t>
  </si>
  <si>
    <t>WOS:000366035500001</t>
  </si>
  <si>
    <t>Cummings, CR; Lea, MA; Morrice, MG; Wotherspoon, S; Hindell, MA</t>
  </si>
  <si>
    <t>Cummings, Cloe R.; Lea, Mary-Anne; Morrice, Margaret G.; Wotherspoon, Simon; Hindell, Mark A.</t>
  </si>
  <si>
    <t>New insights into the cardiorespiratory physiology of weaned southern elephant seals (Mirounga leonina)</t>
  </si>
  <si>
    <t>Chronobiology; circadian rhythms; generalized additive models; threshold physiological response</t>
  </si>
  <si>
    <t>HEART-RATE; OXYGEN-CONSUMPTION; WEANING MASS; SLEEP-APNEA; BEHAVIOR; PUPS; THERMOREGULATION; WATER; HYPOMETABOLISM; TEMPERATURE</t>
  </si>
  <si>
    <t>Southern elephant seal (Mirounga leonina) pups must strike a balance between conserving energy during their post-weaning fast and simultaneously developing diving abilities to attain nutritional independence. Little is known about environmental influences on cardiorespiratory patterns, hence energy use, throughout the 6 week fast. Continuous heart rates were recorded for free-ranging, newly weaned southern elephant seals using heart rate time-depth recorders for 5-9 days at Sub-Antarctic Macquarie Island, during October 1994 (n = 1), 1995 (n = 4) and 1996 (n = 1). Daytime observations of respiration and behaviour were made throughout. We present the first instance of synchronous heart rate traces recorded simultaneously for individual weaners. Generalized additive models revealed that a sinusoidal pattern of diurnal heart rate elevation and nocturnal depression was evident in all seals and, on at least one occasion, a conspicuous break in this pattern coincided with an extreme cold weather event. Seals in this study were capable of considerable cardiorespiratory control and regularly demonstrated bradycardia during periods of resting apnoea. Apnoeic duration ranged from 33 to 291 s (mean 134 s). Apnoeic heart rates (mean 67 +/- 15 beats min(-1), range 40-114 beats min(-1)) were on average 19.7% lower than those exhibited during periods of eupnoea (mean 83 +/- 15 beats min(-1), range 44-124 beats min(-1)). The early development of the cardiorespiratory response is characterized by arrhythmic heart and respiration rates. The strong temporal patterns observed are being driven by the opposing requirements of maximizing time spent fasting in order to develop diving capabilities and of maximizing departure mass. This pilot study has highlighted a potentially large effect of ambient weather conditions on newly weaned southern elephant seal cardiorespiratory activity. Given the increasing westerlies and more erratic and increasing storminess associated with the Southern Annular Mode predicted in the Southern Ocean, the patterns observed here warrant further investigation.</t>
  </si>
  <si>
    <t>[Cummings, Cloe R.; Lea, Mary-Anne; Wotherspoon, Simon; Hindell, Mark A.] Univ Tasmania, Inst Marine &amp; Antarctic Studies, Hobart, Tas 7004, Australia; [Morrice, Margaret G.] Deakin Univ, Sch Life &amp; Environm Sci, Warrnambool, Vic 3280, Australia</t>
  </si>
  <si>
    <t>University of Tasmania; Deakin University</t>
  </si>
  <si>
    <t>Lea, MA (corresponding author), IMAS Hobart, Room 214,20 Castray Esplanade, Battery Point, Tas 7004, Australia.</t>
  </si>
  <si>
    <t>maryanne.lea@utas.edu.au</t>
  </si>
  <si>
    <t>Wotherspoon, Simon J/B-2390-2013; Hindell, Mark A/K-1131-2013; Lea, Mary-Anne/E-9054-2013</t>
  </si>
  <si>
    <t>Wotherspoon, Simon J/0000-0002-6947-4445; Morrice, Margie/0000-0001-6903-4565; Lea, Mary-Anne/0000-0001-8318-9299; Hindell, Mark/0000-0002-7823-7185</t>
  </si>
  <si>
    <t>Australian Research Council [A09332789]; Antarctic Scientific Advisory Committee [589]; Tasmanian National Parks and Wildlife Service; Antarctic Animal Ethics and Ionising Radiation Committee</t>
  </si>
  <si>
    <t>Australian Research Council(Australian Research Council); Antarctic Scientific Advisory Committee; Tasmanian National Parks and Wildlife Service; Antarctic Animal Ethics and Ionising Radiation Committee</t>
  </si>
  <si>
    <t>This work was supported by the Australian Research Council (grant no. A09332789) and the Antarctic Scientific Advisory Committee (grant no. 589) and was conducted under permits granted by Tasmanian National Parks and Wildlife Service and the Antarctic Animal Ethics and Ionising Radiation Committee.</t>
  </si>
  <si>
    <t>DEC 8</t>
  </si>
  <si>
    <t>cov049</t>
  </si>
  <si>
    <t>10.1093/conphys/cov049</t>
  </si>
  <si>
    <t>DK8TS</t>
  </si>
  <si>
    <t>Green Published, gold, Green Submitted, Green Accepted</t>
  </si>
  <si>
    <t>WOS:000375201800001</t>
  </si>
  <si>
    <t>Steinach, M; Kohlberg, E; Maggioni, MA; Mendt, S; Opatz, O; Stahn, A; Tiedemann, J; Gunga, HC</t>
  </si>
  <si>
    <t>Steinach, Mathias; Kohlberg, Eberhard; Maggioni, Martina Anna; Mendt, Stefan; Opatz, Oliver; Stahn, Alexander; Tiedemann, Josefine; Gunga, Hanns-Christian</t>
  </si>
  <si>
    <t>Changes of 25-OH-Vitamin D during Overwintering at the German Antarctic Stations Neumayer II and III</t>
  </si>
  <si>
    <t>VITAMIN-D STATUS; 25-HYDROXYVITAMIN D; DIETARY-INTAKE; D DEFICIENCY; BODY-COMPOSITION; SEASONAL-CHANGES; SERUM-LEVELS; FOOD; WOMEN; SUNLIGHT</t>
  </si>
  <si>
    <t>Purpose Humans in Antarctica face different environmental challenges, such as low ultra-violet radiation, which is crucial for vitamin D production in humans. Therefore we assessed changes in 25-OH-vitamin D serum concentration during 13 months of overwintering at the German Stations Neumayer II and III (2007-2012). We hypothesized that (i) 25-OH-vitamin D serum concentration would significantly decrease, (ii) changes would be affected by age, gender, baseline (i.e. pre-overwintering) fat mass, baseline 25-OH-vitamin D serum concentration, and station residence, and (iii) our results would not differ from similar previous studies in comparable high latitudes. Materials &amp; Methods 25-OH-vitamin D serum concentrations were determined before, after, and monthly during the campaigns from venous blood samples of n = 43 participants (28 men, 15 women). Baseline fat mass was determined via bio impedance analysis and body plethysmography. Data were analyzed for change over time, dependency on independent parameters, and after categorization for sufficiency (&gt; 50nmol/l), insufficiency (25-50nmol/l), and deficiency (&lt;25nmol/l). Results were compared with data from similar previous studies. Results We found a significant decrease of 25-OH-vitamin D with dependency on month. Age, gender, fat mass, and station residence had no influence. Only baseline 25-OH-vitamin D serum concentrations significantly affected subsequent 25-OH-vitamin D values. Conclusions Overwinterings at the Antarctic German research stations Neumayer II and III are associated with a decrease in 25-OH-vitamin D serum concentrations, unaffected by age, gender, baseline fat mass, and station residence. Higher baseline vitamin D serum concentrations might protect from subsequent deficiencies. Residence at the Neumayer Stations may lead to lower vitamin D serum concentrations than found in other comparable high latitudes.</t>
  </si>
  <si>
    <t>[Steinach, Mathias; Maggioni, Martina Anna; Mendt, Stefan; Opatz, Oliver; Stahn, Alexander; Tiedemann, Josefine; Gunga, Hanns-Christian] Charite, Ctr Space Med &amp; Extreme Environments Berlin, Inst Physiol, D-13353 Berlin, Germany; [Kohlberg, Eberhard] Alfred Wegener Inst Polar &amp; Marine Res, Bremerhaven, Germany; [Maggioni, Martina Anna] Univ Milan, Dept Biomed Sci Hlth, Milan, Italy</t>
  </si>
  <si>
    <t>Free University of Berlin; Humboldt University of Berlin; Charite Universitatsmedizin Berlin; Helmholtz Association; Alfred Wegener Institute, Helmholtz Centre for Polar &amp; Marine Research; University of Milan</t>
  </si>
  <si>
    <t>Steinach, M (corresponding author), Charite, Ctr Space Med &amp; Extreme Environments Berlin, Inst Physiol, D-13353 Berlin, Germany.</t>
  </si>
  <si>
    <t>mathias.steinach@charite.de</t>
  </si>
  <si>
    <t>Stahn, Alexander/HJI-0059-2023; Maggioni, Martina Anna/P-1351-2019</t>
  </si>
  <si>
    <t>Stahn, Alexander/0000-0002-4030-4944; Maggioni, Martina Anna/0000-0002-6319-8566; Mendt, Stefan/0000-0001-8227-9655</t>
  </si>
  <si>
    <t>Federal Ministry for Economic Affairs and Energy (BMWi, Berlin); German Space Administration (Raumfahrtmanagement DLR, Bonn-Oberkassel); German Aerospace Center (Deutsches Zentrum fur Luft- und Raumfahrt DLR, Cologne); Aktenzeichen 50 Forschung unter Weltraumbedingungen 0724 [AZ50WB0724]; Aktenzeichen 50 Forschung unter Weltraumbedingungen 1030 [AZ50WB1030]; Aktenzeichen 50 Forschung unter Weltraumbedingungen 1330 [AZ50WB1330]</t>
  </si>
  <si>
    <t>Federal Ministry for Economic Affairs and Energy (BMWi, Berlin)(Federal Ministry for Economic Affairs and Energy (BMWi)); German Space Administration (Raumfahrtmanagement DLR, Bonn-Oberkassel); German Aerospace Center (Deutsches Zentrum fur Luft- und Raumfahrt DLR, Cologne); Aktenzeichen 50 Forschung unter Weltraumbedingungen 0724; Aktenzeichen 50 Forschung unter Weltraumbedingungen 1030; Aktenzeichen 50 Forschung unter Weltraumbedingungen 1330</t>
  </si>
  <si>
    <t>All grants were received by the Federal Ministry for Economic Affairs and Energy (BMWi, Berlin, website:http://www.bmwi.de/en), the German Space Administration (Raumfahrtmanagement DLR, Bonn-Oberkassel, website:http://www.dlr.de/rd/en), and the German Aerospace Center (Deutsches Zentrum fur Luft- und Raumfahrt DLR, Cologne, website:http://www.dlr.de/dlr/en). Grant numbers: Aktenzeichen 50 Forschung unter Weltraumbedingungen 0724 (AZ50WB0724), Aktenzeichen 50 Forschung unter Weltraumbedingungen 1030 (AZ50WB1030), Aktenzeichen 50 Forschung unter Weltraumbedingungen 1330 (AZ50WB1330). Initials of author who received funding: HCG. The funder had no role in study design, data collection and analysis, decision to publish, or preparation of the manuscript.</t>
  </si>
  <si>
    <t>DEC 7</t>
  </si>
  <si>
    <t>e0144130</t>
  </si>
  <si>
    <t>10.1371/journal.pone.0144130</t>
  </si>
  <si>
    <t>CZ1YS</t>
  </si>
  <si>
    <t>WOS:000366902700060</t>
  </si>
  <si>
    <t>Wagner, M; Hendy, IL; McKay, JL; Pedersen, TF</t>
  </si>
  <si>
    <t>Wagner, Meghan; Hendy, Ingrid L.; McKay, Jennifer L.; Pedersen, Thomas F.</t>
  </si>
  <si>
    <t>Redox chemistry of West Antarctic Peninsula margin surface sediments</t>
  </si>
  <si>
    <t>CHEMICAL GEOLOGY</t>
  </si>
  <si>
    <t>Suboxia; Trace metals; Productivity; Continental margin; West Antarctic Peninsula</t>
  </si>
  <si>
    <t>SENSITIVE TRACE-METALS; WATER OXYGEN-CONTENT; MARINE-SEDIMENTS; ORGANIC-MATTER; NORTH PACIFIC; PHYTOPLANKTON ASSEMBLAGES; ACCUMULATION RATES; BRANSFIELD STRAIT; SOUTHERN-OCEAN; MINIMUM ZONE</t>
  </si>
  <si>
    <t>Continental margin sediments are commonly studied using trace metal enrichments as proxies for characterizing their modern redox conditions and tracking past changes in bottom water ventilation and marine primary productivity. Currently little is known about the sedimentary redox history of the continental shelf west of the Antarctic Peninsula. Yet, environmental conditions in the Antarctic Peninsula region have changed rapidly in recent decades in response to global warming. Paleoclimate archives including bulk sediment trace metal enrichments can provide insight into both past and future environmental changes in this climatically sensitive region, and characterization of redox conditions in surface (modern) sediments is essential for establishing a framework for paleoredox interpretations. In this study we measured concentrations of trace metals (Ag, Cd, Re, and Mo) and productivity proxies (total Ba, organic carbon, and biogenic silica) in surface sediments from the Marguerite Bay, Gerlache Strait, and Bransfield Strait areas. Proxy concentrations suggest that sediments are generally suboxic due to seasonally high export of organic carbon from surface waters. Comparison of West Antarctic Peninsula trace metal/Al ratios to trace metal data from continental margins outside the Antarctic region demonstrates that although the West Antarctic Peninsula water column differs from other locations (e.g., it lacks a strong oxygen minimumzone), sedimentary redox chemistry is similarly controlled by organic matter decomposition, through slow recycling of highly seasonal export production falling through a cold water column. (C) 2015 Elsevier B.V. All rights reserved.</t>
  </si>
  <si>
    <t>[Wagner, Meghan; Hendy, Ingrid L.] Univ Michigan, Dept Earth &amp; Environm Sci, Ann Arbor, MI 48109 USA; [McKay, Jennifer L.] Oregon State Univ, Coll Earth Ocean &amp; Atmospher Sci, Corvallis, OR 97331 USA; [Pedersen, Thomas F.] Univ Victoria, Sch Earth &amp; Ocean Sci, Bob Wright Ctr, Victoria, BC V8P 5C2, Canada</t>
  </si>
  <si>
    <t>University of Michigan System; University of Michigan; Oregon State University; University of Victoria</t>
  </si>
  <si>
    <t>Wagner, M (corresponding author), Washtenaw Community Coll, Dept Phys Sci, 4800 East Huron River Dr, Ann Arbor, MI 48105 USA.</t>
  </si>
  <si>
    <t>mewagner@wccnet.edu; ihendy@umich.edu; mckay@coas.oregonstate.edu; tfp@uvic.ca</t>
  </si>
  <si>
    <t>, Ingrid/AAT-1279-2021</t>
  </si>
  <si>
    <t>AAPG Foundation; Scott Turner Awards in Earth Science; Rackham Graduate School, University of Michigan; U.S. National Science Foundation [0838901]</t>
  </si>
  <si>
    <t>AAPG Foundation; Scott Turner Awards in Earth Science; Rackham Graduate School, University of Michigan(University of Michigan System); U.S. National Science Foundation(National Science Foundation (NSF))</t>
  </si>
  <si>
    <t>This work was supported by grants to MW from the AAPG Foundation Grants-in-Aid program, the Scott Turner Awards in Earth Science, and Rackham Graduate School, University of Michigan. WAP surface sediment samples were provided by the Antarctic Marine Geology Research Facility at Florida State University (AMGRF), which is sponsored by the U.S. National Science Foundation (0838901). Alice Chang (UBC) and Victoria Gray (UVic) provided invaluable training and assistance to MW. Comments from Tom Jilbert and several anonymous reviewers and the associate editor helped to greatly improve the manuscript.</t>
  </si>
  <si>
    <t>0009-2541</t>
  </si>
  <si>
    <t>1872-6836</t>
  </si>
  <si>
    <t>CHEM GEOL</t>
  </si>
  <si>
    <t>Chem. Geol.</t>
  </si>
  <si>
    <t>DEC 6</t>
  </si>
  <si>
    <t>10.1016/j.chemgeo.2015.10.002</t>
  </si>
  <si>
    <t>CW6HP</t>
  </si>
  <si>
    <t>WOS:000365098800009</t>
  </si>
  <si>
    <t>George, A</t>
  </si>
  <si>
    <t>George, Alison</t>
  </si>
  <si>
    <t>Huge crack forces early move for Antarctic base</t>
  </si>
  <si>
    <t>NEW SCIENTIST</t>
  </si>
  <si>
    <t>REED BUSINESS INFORMATION LTD</t>
  </si>
  <si>
    <t>SUTTON</t>
  </si>
  <si>
    <t>QUADRANT HOUSE THE QUADRANT, SUTTON SM2 5AS, SURREY, ENGLAND</t>
  </si>
  <si>
    <t>0262-4079</t>
  </si>
  <si>
    <t>NEW SCI</t>
  </si>
  <si>
    <t>New Sci.</t>
  </si>
  <si>
    <t>DEC 5</t>
  </si>
  <si>
    <t>CX6VX</t>
  </si>
  <si>
    <t>WOS:000365840900005</t>
  </si>
  <si>
    <t>Molinero, AG; Cantero, ALP</t>
  </si>
  <si>
    <t>Gonzalez Molinero, A.; Pena Cantero, A. L.</t>
  </si>
  <si>
    <t>SEM study of species of Oswaldella Stechow, 1919 (Cnidaria, Hydrozoa, Kirchenpaueriidae), with an annotated checklist of the species of the genus</t>
  </si>
  <si>
    <t>ZOOTAXA</t>
  </si>
  <si>
    <t>Hydrozoans; hydroids; Southern Ocean; taxonomy; geographic distribution</t>
  </si>
  <si>
    <t>BENTHIC HYDROIDS CNIDARIA; BRANSFIELD STRAIT ANTARCTICA; THECATE HYDROIDS; SOUTHERN-OCEAN; EXPEDITION; ENDEMISM; ISLANDS; SHELF; AREAS; US</t>
  </si>
  <si>
    <t>Oswaldella is the most speciose genus, and one of the most characteristic, of hydrozoans inhabiting the Antarctic benthic marine ecosystem. Its species have relatively many important taxonomic characters allowing for their identification. Some of them, however, are difficult to study properly with a compound microscope. With the aim of improving scientific knowledge concerning species of the genus, a SEM survey of species of Oswaldella was carried out to study key morphological characters. Fourteen out of the 27 known nominal species were considered. The study has revealed unknown important characters, such as the presence of nematothecae associated with the nematophores at the cauline apophyses, and has provided a better understanding of others, such as the shape of the nematotheca associated with the medial infrathecal nematophore. A final general discussion on some of the characters studied and on the bathymetrical and geographical distribution of all known species is also included. Finally, an annotated checklist including all known nominal species has also been assembled.</t>
  </si>
  <si>
    <t>[Gonzalez Molinero, A.; Pena Cantero, A. L.] Univ Valencia, Inst Cavanilles Biodiversidad &amp; Biol Evolutiva, Dept Zool, Valencia, Spain</t>
  </si>
  <si>
    <t>University of Valencia</t>
  </si>
  <si>
    <t>Molinero, AG (corresponding author), Univ Valencia, Inst Cavanilles Biodiversidad &amp; Biol Evolutiva, Dept Zool, Valencia, Spain.</t>
  </si>
  <si>
    <t>gonmoal@alumni.uv.es; alvaro.l.pena@uv.es</t>
  </si>
  <si>
    <t>Cantero, Álvaro Luis Peña/F-7888-2016</t>
  </si>
  <si>
    <t>Pena Cantero, Alvaro/0000-0003-3056-6673</t>
  </si>
  <si>
    <t>MAGNOLIA PRESS</t>
  </si>
  <si>
    <t>AUCKLAND</t>
  </si>
  <si>
    <t>PO BOX 41383, AUCKLAND, ST LUKES 1030, NEW ZEALAND</t>
  </si>
  <si>
    <t>1175-5326</t>
  </si>
  <si>
    <t>1175-5334</t>
  </si>
  <si>
    <t>Zootaxa</t>
  </si>
  <si>
    <t>DEC 4</t>
  </si>
  <si>
    <t>10.11646/zootaxa.4052.4.1</t>
  </si>
  <si>
    <t>CX7ME</t>
  </si>
  <si>
    <t>WOS:000365885200001</t>
  </si>
  <si>
    <t>Stuart-Smith, RD; Edgar, GJ; Barrett, NS; Kininmonth, SJ; Bates, AE</t>
  </si>
  <si>
    <t>Stuart-Smith, Rick D.; Edgar, Graham J.; Barrett, Neville S.; Kininmonth, Stuart J.; Bates, Amanda E.</t>
  </si>
  <si>
    <t>Thermal biases and vulnerability to warming in the world's marine fauna</t>
  </si>
  <si>
    <t>NATURE</t>
  </si>
  <si>
    <t>CLIMATE-CHANGE; RANGE SHIFTS; OXYGEN LIMITATION; CONTINENTAL-SCALE; BIODIVERSITY; TEMPERATURE; ECOSYSTEMS; TOLERANCE; CONSERVATION; DIVERSITY</t>
  </si>
  <si>
    <t>A critical assumption underlying projections of biodiversity change associated with global warming is that ecological communities comprise balanced mixes of warm-affinity and cool-affinity species which, on average, approximate local environmental temperatures. Nevertheless, here we find that most shallow water marine species occupy broad thermal distributions that are aggregated in either temperate or tropical realms. These distributional trends result in ocean-scale spatial thermal biases, where communities are dominated by species with warmer or cooler affinity than local environmental temperatures. We use community-level thermal deviations from local temperatures as a form of sensitivity to warming, and combine these with projected ocean warming data to predict warming-related loss of species from present-day communities over the next century. Large changes in local species composition appear likely, and proximity to thermal limits, as inferred from present-day species' distributional ranges, outweighs spatial variation in warming rates in contributing to predicted rates of local species loss.</t>
  </si>
  <si>
    <t>[Stuart-Smith, Rick D.; Edgar, Graham J.; Barrett, Neville S.; Kininmonth, Stuart J.] Univ Tasmania, Inst Marine &amp; Antarctic Studies, Hobart, Tas 7001, Australia; [Kininmonth, Stuart J.] Stockholm Univ, Stockholm Resilience Ctr, SE-10691 Kraftriket Stockholm, Sweden; [Bates, Amanda E.] Univ Southampton, Ocean &amp; Earth Sci, Natl Oceanog Ctr Southampton, Southampton SO14 3ZH, Hants, England</t>
  </si>
  <si>
    <t>University of Tasmania; Stockholm University; NERC National Oceanography Centre; University of Southampton</t>
  </si>
  <si>
    <t>Stuart-Smith, RD (corresponding author), Univ Tasmania, Inst Marine &amp; Antarctic Studies, Hobart, Tas 7001, Australia.</t>
  </si>
  <si>
    <t>rstuarts@utas.edu.au</t>
  </si>
  <si>
    <t>Stuart-Smith, Rick/I-5214-2019; Bates, Amanda E./ABD-6874-2021; Edgar, Graham/AAY-3797-2020; Kininmonth, Stuart/N-9299-2013; Stuart-Smith, Rick D/M-1829-2013; Barrett, Neville/J-7593-2014</t>
  </si>
  <si>
    <t>Stuart-Smith, Rick/0000-0002-8874-0083; Bates, Amanda E./0000-0002-0198-4537; Edgar, Graham/0000-0003-0833-9001; Kininmonth, Stuart/0000-0001-9198-3396; Stuart-Smith, Rick D/0000-0002-8874-0083; Barrett, Neville/0000-0002-6167-1356</t>
  </si>
  <si>
    <t>Ian Potter Foundation; CoastWest; National Geographic Society; Conservation International; Wildlife Conservation Society Indonesia; Winston Churchill Memorial Trust; Australian-American Fulbright Commission; ASSEMBLE Marine</t>
  </si>
  <si>
    <t>Ian Potter Foundation; CoastWest; National Geographic Society(National Geographic Society); Conservation International; Wildlife Conservation Society Indonesia; Winston Churchill Memorial Trust; Australian-American Fulbright Commission; ASSEMBLE Marine</t>
  </si>
  <si>
    <t>We thank the many Reef Life Survey (RLS) divers who participated in data collection and provide ongoing expertise and commitment to the program, University of Tasmania staff including J. Berkhout, A. Cooper, M. Davey, J. Hulls, E. Oh, J. Stuart-Smith and R. Thomson. Development of RLS was supported by the former Commonwealth Environment Research Facilities Program, and analyses were supported by the Australian Research Council, Institute for Marine and Antarctic Studies, and the Marine Biodiversity Hub, a collaborative partnership supported through the Australian Government's National Environmental Science Programme. Additional funding and support for field surveys was provided by grants from the Ian Potter Foundation, CoastWest, National Geographic Society, Conservation International, Wildlife Conservation Society Indonesia, The Winston Churchill Memorial Trust, Australian-American Fulbright Commission, and ASSEMBLE Marine.</t>
  </si>
  <si>
    <t>0028-0836</t>
  </si>
  <si>
    <t>1476-4687</t>
  </si>
  <si>
    <t>Nature</t>
  </si>
  <si>
    <t>DEC 3</t>
  </si>
  <si>
    <t>10.1038/nature16144</t>
  </si>
  <si>
    <t>CX3NO</t>
  </si>
  <si>
    <t>WOS:000365606000053</t>
  </si>
  <si>
    <t>Ritz, C; Edwards, TL; Durand, G; Payne, AJ; Peyaud, V; Hindmarsh, RCA</t>
  </si>
  <si>
    <t>Ritz, Catherine; Edwards, Tamsin L.; Durand, Gael; Payne, Antony J.; Peyaud, Vincent; Hindmarsh, Richard C. A.</t>
  </si>
  <si>
    <t>Potential sea-level rise from Antarctic ice-sheet instability constrained by observations</t>
  </si>
  <si>
    <t>PINE ISLAND; WEST ANTARCTICA; GROUNDING LINE; THWAITES; RETREAT; DISCHARGE; GLACIERS</t>
  </si>
  <si>
    <t>Large parts of the Antarctic ice sheet lying on bedrock below sea level may be vulnerable to marine-ice-sheet instability (MISI)(1), a self-sustaining retreat of the grounding line triggered by oceanic or atmospheric changes. There is growing evidence(2-4) that MISI may be underway throughout the Amundsen Sea embayment (ASE), which contains ice equivalent to more than a metre of global sea-level rise. If triggered in other regions(5-8), the centennial to millennial contribution could be several metres. Physically plausible projections are challenging(9): numerical models with sufficient spatial resolution to simulate grounding-line processes have been too computationally expensive(2,3,10) to generate large ensembles for uncertainty assessment, and lower-resolution model projections(11) rely on parameterizations that are only loosely constrained by present day changes. Here we project that the Antarctic ice sheet will contribute up to 30 cm sea-level equivalent by 2100 and 72 cm by 2200 (95% quantiles) where the ASE dominates. Our process-based, statistical approach gives skewed and complex probability distributions (single mode, 10 cm, at 2100; two modes, 49 cm and 6 cm, at 2200). The dependence of sliding on basal friction is a key unknown: nonlinear relationships favour higher contributions. Results are conditional on assessments of MISI risk on the basis of projected triggers under the climate scenario A1B (ref. 9), although sensitivity to these is limited by theoretical and topographical constraints on the rate and extent of ice loss. We find that contributions are restricted by a combination of these constraints, calibration with success in simulating observed ASE losses, and low assessed risk in some basins. Our assessment suggests that upper-bound estimates from low-resolution models and physical arguments9 (up to a metre by 2100 and around one and a half by 2200) are implausible under current understanding of physical mechanisms and potential triggers.</t>
  </si>
  <si>
    <t>[Ritz, Catherine; Durand, Gael; Peyaud, Vincent] CNRS, LGGE, F-38041 Grenoble, France; [Ritz, Catherine; Durand, Gael; Peyaud, Vincent] Univ Grenoble Alpes, LGGE, F-38041 Grenoble, France; [Edwards, Tamsin L.] Open Univ, Fac Sci, Dept Environm Earth &amp; Ecosyst, Milton Keynes MK7 6AA, Bucks, England; [Edwards, Tamsin L.; Payne, Antony J.] Univ Bristol, Dept Geog Sci, Bristol BS8 1SS, Avon, England; [Hindmarsh, Richard C. A.] British Antarctic Survey, Nat Environm Res Council, Cambridge CB3 0ET, England</t>
  </si>
  <si>
    <t>Centre National de la Recherche Scientifique (CNRS); Communaute Universite Grenoble Alpes; Universite Grenoble Alpes (UGA); Communaute Universite Grenoble Alpes; Universite Grenoble Alpes (UGA); Open University - UK; University of Bristol; UK Research &amp; Innovation (UKRI); Natural Environment Research Council (NERC); NERC British Antarctic Survey</t>
  </si>
  <si>
    <t>Edwards, TL (corresponding author), Open Univ, Fac Sci, Dept Environm Earth &amp; Ecosyst, Walton Hall, Milton Keynes MK7 6AA, Bucks, England.</t>
  </si>
  <si>
    <t>tamsin.edwards@open.ac.uk</t>
  </si>
  <si>
    <t>Hindmarsh, Richard/N-1195-2019; Edwards, Tamsin/H-6462-2019; payne, antony/A-8916-2008</t>
  </si>
  <si>
    <t>Hindmarsh, Richard/0000-0003-1633-2416; Edwards, Tamsin/0000-0002-4760-4704; Ritz, Catherine/0000-0003-0785-8571; Durand, Gael/0000-0001-8979-2355; payne, antony/0000-0001-8825-8425; Peyaud, Vincent/0000-0001-5583-4086</t>
  </si>
  <si>
    <t>ice2sea project - European Commission's 7th Framework Programme [226375, ice2sea119]; UK National Centre for Earth Observation; NERC iGlass project; NERC; UK Met Office Joint Weather and Climate Research Programme; French National Research Agency (ANR) under the SUMER [Blanc SIMI 6, ANR-12-BS06-0018]; Rhone-Alpes region [CPER07 13 CIRA]; Agence Nationale de la Recherche (ANR) [ANR-12-BS06-0018] Funding Source: Agence Nationale de la Recherche (ANR); Natural Environment Research Council [NE/I010874/1, bas0100034, NE/J008087/1, NE/F015526/1, NE/F01550X/1] Funding Source: researchfish; NERC [NE/J008087/1, NE/F01550X/1, bas0100034, NE/I010874/1, NE/F015526/1] Funding Source: UKRI</t>
  </si>
  <si>
    <t>ice2sea project - European Commission's 7th Framework Programme(European Union (EU)Marie Curie Actions); UK National Centre for Earth Observation; NERC iGlass project; NERC(UK Research &amp; Innovation (UKRI)Natural Environment Research Council (NERC)); UK Met Office Joint Weather and Climate Research Programme; French National Research Agency (ANR) under the SUMER(Agence Nationale de la Recherche (ANR)); Rhone-Alpes region(Region Auvergne-Rhone-Alpes); Agence Nationale de la Recherche (ANR)(Agence Nationale de la Recherche (ANR)); Natural Environment Research Council(UK Research &amp; Innovation (UKRI)Natural Environment Research Council (NERC)); NERC(UK Research &amp; Innovation (UKRI)Natural Environment Research Council (NERC))</t>
  </si>
  <si>
    <t>This work was supported by the ice2sea project funded by the European Commission's 7th Framework Programme through grant number 226375 (ice2sea contribution number ice2sea119), the UK National Centre for Earth Observation, NERC iGlass project, NERC and UK Met Office Joint Weather and Climate Research Programme, and the French National Research Agency (ANR) under the SUMER (Blanc SIMI 6) 2012 project ANR-12-BS06-0018. Most of the computations were performed using the CIMENT infrastructure (https://ciment.ujf-grenoble.fr), which is supported by the Rhone-Alpes region (grant CPER07 13 CIRA; http://www.ci-ra.org). We thank A. Shepherd and M. McMillan for observational data, H. Hellmer and R. Timmerman for model projection data, D. Vaughan and H. Hellmer for discussions about retreat onset, and J. C. Rougier for discussions about experimental design and calibration.</t>
  </si>
  <si>
    <t>10.1038/nature16147</t>
  </si>
  <si>
    <t>WOS:000365606000059</t>
  </si>
  <si>
    <t>Brévière, EHG; Bakker, DCE; Bange, HW; Bates, TS; Bell, TG; Boyd, PW; Duce, RA; Garçon, V; Johnson, MT; Law, CS; Marandino, CA; Olsen, A; Quack, B; Quinn, PK; Sabine, CL; Saltzman, ES</t>
  </si>
  <si>
    <t>Breviere, Emilie H. G.; Bakker, Dorothee C. E.; Bange, Hermann W.; Bates, Timothy S.; Bell, Thomas G.; Boyd, Philip W.; Duce, Robert A.; Garcon, Veronique; Johnson, Martin T.; Law, Cliff S.; Marandino, Christa A.; Olsen, Are; Quack, Birgit; Quinn, Patricia K.; Sabine, Christopher L.; Saltzman, Eric S.</t>
  </si>
  <si>
    <t>Surface ocean-lower atmosphere study: Scientific synthesis and contribution to Earth system science</t>
  </si>
  <si>
    <t>ANTHROPOCENE</t>
  </si>
  <si>
    <t>Ocean; Atmosphere; Processes; Biogeochemistry; Flux; Climate</t>
  </si>
  <si>
    <t>NATURAL IRON FERTILIZATION; MARINE BOUNDARY-LAYER; SEA-TO-AIR; NITROUS-OXIDE; GAS TRANSFER; DIMETHYLSULFIDE DMS; ANTHROPOGENIC NITROGEN; CARBON EXPORT; PACIFIC-OCEAN; DEPOSITION</t>
  </si>
  <si>
    <t>The domain of the surface ocean and lower atmosphere is a complex, highly dynamic component of the Earth system. Better understanding of the physics and biogeochemistry of the air-sea interface and the processes that control the exchange of mass and energy across that boundary define the scope of the Surface Ocean-Lower Atmosphere Study (SOLAS) project. The scientific questions driving SOLAS research, as laid out in the SOLAS Science Plan and Implementation Strategy for the period 2004-2014, are highly challenging, inherently multidisciplinary and broad. During that decade, SOLAS has significantly advanced our knowledge. Discoveries related to the physics of exchange, global trace gas budgets and atmospheric chemistry, the CLAW hypothesis (named after its authors, Charlson, Lovelock, Andreae and Warren), and the influence of nutrients and ocean productivity on important biogeochemical cycles, have substantially changed our views of how the Earth system works and revealed knowledge gaps in our understanding. As such SOLAS has been instrumental in contributing to the International Geosphere-Biosphere Programme (IGBP) mission of identification and assessment of risks posed to society and ecosystems by major changes in the Earth's biological, chemical and physical cycles and processes during the Anthropocene epoch. SOLAS is a bottom-up organization, whose scientific priorities evolve in response to scientific developments and community needs, which has led to the launch of a new 10-year phase. SOLAS (2015-2025) will focus on five core science themes that will provide a scientific basis for understanding and projecting future environmental change and for developing tools to inform societal decision-making. (C) 2015 The Authors. Published by Elsevier Ltd.</t>
  </si>
  <si>
    <t>[Breviere, Emilie H. G.; Bange, Hermann W.; Marandino, Christa A.; Quack, Birgit] GEOMAR Helmholtz Ctr Ocean Res Kiel, Dusternbrooker Weg 20, D-24105 Kiel, Germany; [Bakker, Dorothee C. E.; Johnson, Martin T.] Univ East Anglia, Sch Environm Sci, Norwich, Norfolk, England; [Bates, Timothy S.] Univ Washington, Joint Inst Study Atmosphere &amp; Ocean, Seattle, WA 98195 USA; [Bates, Timothy S.; Quinn, Patricia K.; Sabine, Christopher L.] NOAA, Pacific Marine Environm Lab, Seattle, WA 98115 USA; [Bell, Thomas G.] Plymouth Marine Lab, Plymouth, Devon, England; [Boyd, Philip W.] Univ Tasmania, Inst Marine &amp; Antarctic Studies, Hobart, Tas, Australia; [Duce, Robert A.] Texas A&amp;M Univ, Dept Oceanog, College Stn, TX 77843 USA; [Duce, Robert A.] Texas A&amp;M Univ, Dept Atmospher Sci, College Stn, TX 77843 USA; [Garcon, Veronique] UMR 5566, Lab Etud Geophys &amp; Oceanog Spatiales, Toulouse, France; [Law, Cliff S.] Natl Inst Water &amp; Atmospher Res, Wellington, New Zealand; [Law, Cliff S.] Univ Otago, Dept Chem, Dunedin, New Zealand; [Olsen, Are] Univ Bergen, Inst Geophys, N-5020 Bergen, Norway; [Olsen, Are] Bjerknes Ctr Climate Res, Bergen, Norway; [Saltzman, Eric S.] Univ Calif Irvine, Sch Phys Sci, Irvine, CA USA</t>
  </si>
  <si>
    <t>Helmholtz Association; GEOMAR Helmholtz Center for Ocean Research Kiel; University of East Anglia; University of Washington; University of Washington Seattle; National Oceanic Atmospheric Admin (NOAA) - USA; Plymouth Marine Laboratory; University of Tasmania; Texas A&amp;M University System; Texas A&amp;M University College Station; Texas A&amp;M University System; Texas A&amp;M University College Station;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 National Institute of Water &amp; Atmospheric Research (NIWA) - New Zealand; University of Otago; University of Bergen; Bjerknes Centre for Climate Research; University of California System; University of California Irvine</t>
  </si>
  <si>
    <t>Brévière, EHG (corresponding author), GEOMAR Helmholtz Ctr Ocean Res Kiel, Dusternbrooker Weg 20, D-24105 Kiel, Germany.</t>
  </si>
  <si>
    <t>ebreviere@geomar.de</t>
  </si>
  <si>
    <t>Bell, Tom/E-8488-2011; Bates, Timothy S/L-6080-2016; Marandino, Christa/HLX-5973-2023; Duce, Robert A/A-9917-2010; Johnson, Martin/C-1066-2008; Boyd, Philip/J-7624-2014; Bakker, Dorothee/E-4951-2015; Olsen, Are/A-1511-2011</t>
  </si>
  <si>
    <t>Bell, Tom/0000-0002-4108-7048; Johnson, Martin/0000-0002-4706-8294; Boyd, Philip/0000-0001-7850-1911; Bakker, Dorothee/0000-0001-9234-5337; Olsen, Are/0000-0003-1696-9142; Marandino, Christa/0000-0001-9947-4377; Law, Cliff/0000-0002-7669-2475</t>
  </si>
  <si>
    <t>Natural Environment Research Council [pml010002] Funding Source: researchfish; Division Of Ocean Sciences; Directorate For Geosciences [1546580] Funding Source: National Science Foundation; NERC [pml010002] Funding Source: UKRI</t>
  </si>
  <si>
    <t>Natural Environment Research Council(UK Research &amp; Innovation (UKRI)Natural Environment Research Council (NERC)); Division Of Ocean Sciences; Directorate For Geosciences(National Science Foundation (NSF)NSF - Directorate for Geosciences (GEO)); NERC(UK Research &amp; Innovation (UKRI)Natural Environment Research Council (NERC))</t>
  </si>
  <si>
    <t>2213-3054</t>
  </si>
  <si>
    <t>Anthropocene</t>
  </si>
  <si>
    <t>DEC</t>
  </si>
  <si>
    <t>10.1016/j.ancene.2015.11.001</t>
  </si>
  <si>
    <t>Environmental Sciences; Geography, Physical; Geosciences, Multidisciplinary</t>
  </si>
  <si>
    <t>Environmental Sciences &amp; Ecology; Physical Geography; Geology</t>
  </si>
  <si>
    <t>DU0OE</t>
  </si>
  <si>
    <t>Green Published, Green Accepted, hybrid</t>
  </si>
  <si>
    <t>WOS:000381903600006</t>
  </si>
  <si>
    <t>Young, MA; Sullivan, SR</t>
  </si>
  <si>
    <t>Young, Margaret A.; Sullivan, Sebastian Rioseco</t>
  </si>
  <si>
    <t>EVOLUTION THROUGH THE DUTY TO COOPERATE: IMPLICATIONS OF THE WHALING CASE AT THE INTERNATIONAL COURT OF JUSTICE</t>
  </si>
  <si>
    <t>MELBOURNE JOURNAL OF INTERNATIONAL LAW</t>
  </si>
  <si>
    <t>LAW; JAPAN</t>
  </si>
  <si>
    <t>International courts and tribunals face a special challenge when the treaty underlying a dispute was agreed in a distant past. How does (and should) the judicial branch allow for an evolution of international law that is responsive to major legal and social changes whilst remaining faithful to the intention of the treaty parties? We argue that there are two main methods: first, adjudicators may allow for evolution through treaty interpretation, for example by drawing on a treaty's object and purpose or subsequent practice; secondly, adjudicators may focus on the institutional specifics of the relevant regime to which the treaty belongs, for example by drawing on the obligations of parties to give due regard to emerging resolutions even if they are not binding. In resolving the dispute between Japan and Australia (New Zealand intervening) over whaling in the Antarctic, the International Court of Justice engaged primarily with the second method, focussing particularly on procedural arrangements overseen by the International Whaling Commission. This article demonstrates that the Court's formulation of a 'duty to cooperate' has major implications for states, international organisations and other actors in a fragmented legal order, especially in complex commons or shared-resource regimes involving scientific and technical matters updated through institutional or administrative arrangements. We evaluate related developments in the law of the sea, water management and climate regimes.</t>
  </si>
  <si>
    <t>[Young, Margaret A.] Melbourne Law Sch, Inst Int Law &amp; Humanities, Res Programme Fragmentat &amp; Regime Interact Int La, Melbourne, Vic, Australia; [Sullivan, Sebastian Rioseco] Univ Melbourne, Publ &amp; Int Law, Melbourne, Vic 3010, Australia</t>
  </si>
  <si>
    <t>Melbourne Genomics Health Alliance; Melbourne Genomics Health Alliance; University of Melbourne</t>
  </si>
  <si>
    <t>Young, MA (corresponding author), Melbourne Law Sch, Inst Int Law &amp; Humanities, Res Programme Fragmentat &amp; Regime Interact Int La, Melbourne, Vic, Australia.</t>
  </si>
  <si>
    <t>Young, Margaret/0000-0002-3033-5990; Rioseco, Sebastian/0000-0002-0236-0929</t>
  </si>
  <si>
    <t>UNIV MELBOURNE, MELBOURNE LAW SCH</t>
  </si>
  <si>
    <t>MELBOURNE LAW SCH, MELBOURNE, VIC 3010, AUSTRALIA</t>
  </si>
  <si>
    <t>1444-8602</t>
  </si>
  <si>
    <t>1444-8610</t>
  </si>
  <si>
    <t>MELB J INT LAW</t>
  </si>
  <si>
    <t>Melb. J. Int. Law</t>
  </si>
  <si>
    <t>DK7MC</t>
  </si>
  <si>
    <t>WOS:000375108600002</t>
  </si>
  <si>
    <t>Lloyd, AJ; Wiens, DA; Nyblade, AA; Anandakrishnan, S; Aster, RC; Huerta, AD; Wilson, TJ; Dalziel, IWD; Shore, PJ; Zhao, DP</t>
  </si>
  <si>
    <t>Lloyd, Andrew J.; Wiens, Douglas A.; Nyblade, Andrew A.; Anandakrishnan, Sridhar; Aster, Richard C.; Huerta, Audrey D.; Wilson, Terry J.; Dalziel, Ian W. D.; Shore, Patrick J.; Zhao, Dapeng</t>
  </si>
  <si>
    <t>A seismic transect across West Antarctica: Evidence for mantle thermal anomalies beneath the Bentley Subglacial Trench and the Marie Byrd Land Dome</t>
  </si>
  <si>
    <t>JOURNAL OF GEOPHYSICAL RESEARCH-SOLID EARTH</t>
  </si>
  <si>
    <t>GLACIAL ISOSTATIC-ADJUSTMENT; RIO-GRANDE; ICE-SHEET; RIFT SYSTEM; TRANSANTARCTIC MOUNTAINS; PRECAMBRIAN LITHOSPHERE; VELOCITY ANOMALIES; PALEOMAGNETIC DATA; CRUSTAL STRUCTURE; ROSS SEA</t>
  </si>
  <si>
    <t>West Antarctica consists of several tectonically diverse terranes, including the West Antarctic Rift System, a topographic low region of extended continental crust. In contrast, the adjacent Marie Byrd Land and Ellsworth-Whitmore mountains crustal blocks are on average over 1 km higher, with the former dominated by polygenetic shield and stratovolcanoes protruding through the West Antarctic ice sheet and the latter having a Precambrian basement. The upper mantle structure of these regions is important for inferring the geologic history and tectonic processes, as well as the influence of the solid earth on ice sheet dynamics. Yet this structure is poorly constrained due to a lack of seismological data. As part of the Polar Earth Observing Network, 13 temporary broadband seismic stations were deployed from January 2010 to January 2012 that extended from the Whitmore Mountains, across the West Antarctic Rift System, and into Marie Byrd Land with a mean station spacing of similar to 90 km. Relative P and S wave travel time residuals were obtained from these stations as well as five other nearby stations by cross correlation. The relative residuals, corrected for both ice and crustal structure using previously published receiver function models of crustal velocity, were inverted to image the relative P and S wave velocity structure of the West Antarctic upper mantle. Some of the fastest relative P and S wave velocities are observed beneath the Ellsworth-Whitmore mountains crustal block and extend to the southern flank of the Bentley Subglacial Trench. However, the velocities in this region are not fast enough to be compatible with a Precambrian lithospheric root, suggesting some combination of thermal, chemical, and structural modification of the lithosphere. The West Antarctic Rift System consists largely of relative fast uppermost mantle seismic velocities consistent with Late Cretaceous/early Cenozoic extension that at present likely has negligible rift related heat flow. In contrast, the Bentley Subglacial Trench, a narrow deep basin within the West Antarctic Rift System, has relative P and S wave velocities in the uppermost mantle that are similar to 1% and similar to 2% slower, respectively, and suggest a thermal anomaly of similar to 75 K. Models for the thermal evolution of a rift basin suggest that such a thermal anomaly is consistent with Neogene extension within the Bentley Subglacial Trench and may, at least in part, account for elevated heat flow reported at the nearby West Antarctic Ice Sheet Divide Ice Core and at Subglacial Lake Whillans. The slowest relative P and S wave velocity anomaly is observed extending to at least 200 km depth beneath the Executive Committee Range in Marie Byrd Land, which is consistent with warmpossibly plume-related, upper mantle. The imaged low-velocity anomaly and inferred thermal perturbation (similar to 150 K) are sufficient to support isostatically the anomalous long-wavelength topography of Marie Byrd Land, relative to the adjacent West Antarctic Rift System.</t>
  </si>
  <si>
    <t>[Lloyd, Andrew J.; Wiens, Douglas A.; Shore, Patrick J.] Washington Univ, Dept Earth &amp; Planetary Sci, St Louis, MO 63130 USA; [Nyblade, Andrew A.; Anandakrishnan, Sridhar] Penn State Univ, Dept Geosci, University Pk, PA 16802 USA; [Aster, Richard C.] Colorado State Univ, Dept Geosci, Ft Collins, CO 80523 USA; [Huerta, Audrey D.] Cent Washington Univ, Dept Geol Sci, Ellensburg, WA USA; [Wilson, Terry J.] Ohio State Univ, Byrd Polar Res Ctr, Columbus, OH 43210 USA; [Wilson, Terry J.] Ohio State Univ, Sch Earth Sci, Columbus, OH 43210 USA; [Dalziel, Ian W. D.] Univ Texas Austin, Jackson Sch Geosci, Inst Geophys, Austin, TX 78712 USA; [Zhao, Dapeng] Tohoku Univ, Dept Geophys, Sendai, Miyagi 980, Japan</t>
  </si>
  <si>
    <t>Washington University (WUSTL); Pennsylvania Commonwealth System of Higher Education (PCSHE); Pennsylvania State University; Pennsylvania State University - University Park; Colorado State University; Central Washington University; University System of Ohio; Ohio State University; University System of Ohio; Ohio State University; University of Texas System; University of Texas Austin; Tohoku University</t>
  </si>
  <si>
    <t>Lloyd, AJ (corresponding author), Washington Univ, Dept Earth &amp; Planetary Sci, St Louis, MO 63130 USA.</t>
  </si>
  <si>
    <t>a.j.lloyd@go.wustl.edu</t>
  </si>
  <si>
    <t>Huerta, Audrey D/A-8680-2009; Anandakrishnan, Sridhar/JCN-5026-2023; Dalziel, Ian W. D./G-5926-2010; Aster, Richard/E-5067-2013; Wiens, Douglas/J-9259-2016</t>
  </si>
  <si>
    <t>Aster, Richard/0000-0002-0821-4906; Wiens, Douglas/0000-0002-5169-4386; Huerta, Audrey/0000-0002-0252-8496; Lloyd, Andrew/0000-0002-2253-1342</t>
  </si>
  <si>
    <t>United States National Sciences Foundation (NSF) [ANT-0632230, 0632239, 0652322, 0632335, 0632136, 0632209, 0632185]; NASA Science Mission Directorate [1514454, NNH13ZDA001N 13-SLR13-0004]; National Science Foundation [EAR-1063471]; Directorate For Geosciences; Office of Polar Programs (OPP) [1246776, 1249631, 1419268] Funding Source: National Science Foundation</t>
  </si>
  <si>
    <t>United States National Sciences Foundation (NSF)(National Science Foundation (NSF)); NASA Science Mission Directorate(National Aeronautics &amp; Space Administration (NASA)); National Science Foundation(National Science Foundation (NSF)); Directorate For Geosciences; Office of Polar Programs (OPP)(National Science Foundation (NSF)NSF - Directorate for Geosciences (GEO))</t>
  </si>
  <si>
    <t>We wish to thank IRIS-PASSCAL Polar for providing field support during the installation and continued upkeep of the POLENET/A-NET array in Antarctica, as well as the pilots and staff of Kenn Borek Air and the New York Air National Guard for flight support. We thank all individuals that have aided and contributed to the success of POLENET/A-NET project. We also thank Anya Reading and an anonymous reviewer for their helpful critiques on this manuscript. POLENET/A-NET was supported by United States National Sciences Foundation (NSF) grants ANT-0632230, 0632239, 0652322, 0632335, 0632136, 0632209, and 0632185. Additionally, this research was funded by contract 1514454 provided by NASA Science Mission Directorate Award NNH13ZDA001N 13-SLR13-0004 (Sea Level Rise). Seismic instrumentation provided and supported by the Incorporated Research Institutions for Seismology (IRIS) through the PASSCAL Instrument Center at New Mexico Tech. Data are available through the IRIS Data Management Center. The facilities of the IRIS Consortium are supported by the National Science Foundation under cooperative agreement EAR-1063471, the NSF Office of Polar Programs, and the DOE National Nuclear Security Administration. Additional information regarding the POLENET/A-NET project, sites, and data are available at http://polenet.org. Figures in this paper were created using GMT [Wessel and Smith, 1998].</t>
  </si>
  <si>
    <t>2169-9313</t>
  </si>
  <si>
    <t>2169-9356</t>
  </si>
  <si>
    <t>J GEOPHYS RES-SOL EA</t>
  </si>
  <si>
    <t>J. Geophys. Res.-Solid Earth</t>
  </si>
  <si>
    <t>10.1002/2015JB012455</t>
  </si>
  <si>
    <t>DG6OG</t>
  </si>
  <si>
    <t>WOS:000372204600026</t>
  </si>
  <si>
    <t>Masich, J; Chereskin, TK; Mazloff, MR</t>
  </si>
  <si>
    <t>Masich, Jessica; Chereskin, Teresa K.; Mazloff, Matthew R.</t>
  </si>
  <si>
    <t>Topographic form stress in the Southern Ocean State Estimate</t>
  </si>
  <si>
    <t>Southern Ocean; momentum balance; topographic form stress; wind stress; Antarctic Circumpolar Current; bottom form stress</t>
  </si>
  <si>
    <t>ANTARCTIC CIRCUMPOLAR CURRENT; BETA-PLANE CHANNEL; WIND-DRIVEN; MOMENTUM BALANCE; ZONAL MOMENTUM; CLIMATE-CHANGE; MODEL; CIRCULATION; TRANSPORT; DYNAMICS</t>
  </si>
  <si>
    <t>We diagnose the Southern Ocean momentum balance in a 6 year, eddy-permitting state estimate of the Southern Ocean. We find that 95% of the zonal momentum input via wind stress at the surface is balanced by topographic form stress across ocean ridges, while the remaining 5% is balanced via bottom friction and momentum flux divergences at the northern and southern boundaries of the analysis domain. While the time-mean zonal wind stress field exhibits a relatively uniform spatial distribution, time-mean topographic form stress concentrates at shallow ridges and across the continents that lie within the Antarctic Circumpolar Current (ACC) latitudes; nearly 40% of topographic form stress occurs across South America, while the remaining 60% occurs across the major submerged ridges that underlie the ACC. Topographic form stress can be divided into shallow and deep regimes: the shallow regime contributes most of the westward form stress that serves as a momentum sink for the ACC system, while the deep regime consists of strong eastward and westward form stresses that largely cancel in the zonal integral. The time-varying form stress signal, integrated longitudinally and over the ACC latitudes, tracks closely with the wind stress signal integrated over the same domain; at zero lag, 88% of the variance in the 6 year form stress time series can be explained by the wind stress signal, suggesting that changes in the integrated wind stress signal are communicated via rapid barotropic response down to the level of bottom topography.</t>
  </si>
  <si>
    <t>[Masich, Jessica; Chereskin, Teresa K.; Mazloff, Matthew R.] Univ Calif San Diego, Scripps Inst Oceanog, San Diego, CA 92103 USA</t>
  </si>
  <si>
    <t>University of California System; University of California San Diego; Scripps Institution of Oceanography</t>
  </si>
  <si>
    <t>Masich, J (corresponding author), Univ Calif San Diego, Scripps Inst Oceanog, San Diego, CA 92103 USA.</t>
  </si>
  <si>
    <t>jemillar@ucsd.edu</t>
  </si>
  <si>
    <t>Mazloff, Matthew/AAG-6463-2019</t>
  </si>
  <si>
    <t>Mazloff, Matthew/0000-0002-1650-5850; Masich, Jessica/0000-0003-1514-5248</t>
  </si>
  <si>
    <t>National Science Foundation [PLR-1141922, PLR-0961218]; Department of Defense through the National Defense Science and Engineering Graduate Fellowship Program; NSF [OCE-1234473, PLR-1425989, MCA06N007]; Directorate For Geosciences; Office of Polar Programs (OPP) [1425989, 1141922] Funding Source: National Science Foundation; Division Of Ocean Sciences; Directorate For Geosciences [1234473] Funding Source: National Science Foundation</t>
  </si>
  <si>
    <t>National Science Foundation(National Science Foundation (NSF)); Department of Defense through the National Defense Science and Engineering Graduate Fellowship Program(United States Department of Defense); NSF(National Science Foundation (NSF)); Directorate For Geosciences; Office of Polar Programs (OPP)(National Science Foundation (NSF)NSF - Directorate for Geosciences (GEO)); Division Of Ocean Sciences; Directorate For Geosciences(National Science Foundation (NSF)NSF - Directorate for Geosciences (GEO))</t>
  </si>
  <si>
    <t>SOSE data are available at sose.ucsd.edu. This work was supported by National Science Foundation grants PLR-1141922 and PLR-0961218. J. Masich was also supported by the Department of Defense through the National Defense Science and Engineering Graduate Fellowship Program. M. R. Mazloff acknowledges the NSF for support of this research through grants OCE-1234473 and PLR-1425989. SOSE was produced using the Extreme Science and Engineering Discovery Environment (XSEDE), which is supported by NSF grant number MCA06N007. Thanks to Sarah Gille and C. S. Jones for useful discussion, and to two anonymous reviewers for their insightful comments.</t>
  </si>
  <si>
    <t>10.1002/2015JC011143</t>
  </si>
  <si>
    <t>DC3XO</t>
  </si>
  <si>
    <t>WOS:000369153200012</t>
  </si>
  <si>
    <t>Pilo, GS; Oke, PR; Rykova, T; Coleman, R; Ridgway, K</t>
  </si>
  <si>
    <t>Pilo, Gabriela S.; Oke, Peter R.; Rykova, Tatiana; Coleman, Richard; Ridgway, Ken</t>
  </si>
  <si>
    <t>Do East Australian Current anticyclonic eddies leave the Tasman Sea?</t>
  </si>
  <si>
    <t>western boundary current; anticyclonic eddies; eddy-resolving model; satellite altimetry</t>
  </si>
  <si>
    <t>MESOSCALE EDDIES; CURRENT SYSTEM; EDDY; PROPAGATION; GENERATION; DECAY</t>
  </si>
  <si>
    <t>Using satellite altimetry and high-resolution model output we analyze the pathway of large, long-lived anticyclonic eddies that originate near the East Australian Current (EAC) separation point. We show that 25-30% of these eddies propagate southward, around Tasmania, leave the Tasman Sea, and decay in the Great Australian Bight. This pathway has not been previously documented owing to poor satellite sampling off eastern Tasmania. As eddies propagate southward, they often stall for several months at near-constant latitude. Along the pathway eddies become increasingly barotropic. Eddy intensity is primarily influenced by merging with other eddies and a gradual decay otherwise. Surface temperature anomaly associated with anticyclonic eddies changes as they propagate, while surface salinity anomaly tends to remain relatively unchanged as they propagate.</t>
  </si>
  <si>
    <t>[Pilo, Gabriela S.; Coleman, Richard] Univ Tasmania, Inst Marine &amp; Antarctic Studies, Hobart, Tas, Australia; [Pilo, Gabriela S.; Oke, Peter R.; Rykova, Tatiana; Ridgway, Ken] CSIRO Oceans &amp; Atmosphere Flagship, Hobart, Tas, Australia; [Coleman, Richard] Antarctic Climate &amp; Ecosyst CRC, Hobart, Tas, Australia</t>
  </si>
  <si>
    <t>University of Tasmania; Commonwealth Scientific &amp; Industrial Research Organisation (CSIRO); University of Tasmania</t>
  </si>
  <si>
    <t>Pilo, GS (corresponding author), Univ Tasmania, Inst Marine &amp; Antarctic Studies, Hobart, Tas, Australia.</t>
  </si>
  <si>
    <t>Gabriela.SemoliniPilo@utas.edu.au</t>
  </si>
  <si>
    <t>Ridgway, Ken/AAA-4040-2019; Oke, Peter R/C-5127-2011; Rykova, Tatiana/L-4135-2018; Coleman, Richard/H-4425-2012</t>
  </si>
  <si>
    <t>Pilo, Gabriela/0000-0002-8590-8645; Rykova, Tatiana/0000-0002-1808-5829; Ridgway, Ken/0000-0002-5861-1360; Coleman, Richard/0000-0002-9731-7498</t>
  </si>
  <si>
    <t>CAPES Foundation; Brazilian Ministry of Education [0520-136]; Cnes</t>
  </si>
  <si>
    <t>CAPES Foundation(Coordenacao de Aperfeicoamento de Pessoal de Nivel Superior (CAPES)); Brazilian Ministry of Education; Cnes(Centre National D'etudes Spatiales)</t>
  </si>
  <si>
    <t>Gabriela S. Pilo acknowledges support by the CAPES Foundation, Brazilian Ministry of Education (grant 0520-136). The authors gratefully acknowledge input from Maxim Nikurashin, that led to improvements in this work, and the comments from both anonymous reviewers. The Reference Series' Aviso altimeter products were produced by Ssalto/Duacs and distributed by Aviso, with support from Cnes (http://www.aviso.altimetry.fr/duacs, downloaded in September/2013). The Ocean Current altimeter products were produced by CSIRO and distributed by the Integrated Marine Observing System (http://oceancurrent.imos.org.au, downloaded in February/2014). OFAM3 was developed under Bluelink: a partnership between CSIRO, the Bureau of Meteorology, and the Royal Australian Navy (http://wp.csiro.au/bluelink/, downloaded in January/2014). The global eddy data set was developed and made freely available by D. Chelton and M. Schlax (cioss.coas.oregonstate.edu/eddies/, downloaded in December/2011).</t>
  </si>
  <si>
    <t>10.1002/2015JC011026</t>
  </si>
  <si>
    <t>Green Accepted, Bronze</t>
  </si>
  <si>
    <t>WOS:000369153200021</t>
  </si>
  <si>
    <t>Zhang, JX; Zhan, LY; Chen, LQ; Li, YH; Chen, JF</t>
  </si>
  <si>
    <t>Zhang, Jiexia; Zhan, Liyang; Chen, Liqi; Li, Yuhong; Chen, Jianfang</t>
  </si>
  <si>
    <t>Coexistence of nitrous oxide undersaturation and oversaturation in the surface and subsurface of the western Arctic Ocean</t>
  </si>
  <si>
    <t>nitrous oxide; Chukchi Sea shelf; Chukchi Abyssal Plain; Saturation</t>
  </si>
  <si>
    <t>AMMONIA-OXIDIZING ARCHAEA; NORTH PACIFIC; DISSOLVED-OXYGEN; CHUKCHI SEA; N2O; DENITRIFICATION; WATER; NITRIFICATION; CIRCULATION; DIVERSITY</t>
  </si>
  <si>
    <t>The nitrous oxide (N2O) distributions in a shelf-slope-basin section from the Chukchi Sea shelf to the Chukchi Abyssal Plain (CAP) in the western Arctic Ocean were observed for the first time during the fourth Chinese National Arctic Research Expedition (4th CHINARE) in late August 2010. The N2O concentrations were 11.4-16.9 nmol L-1, corresponding to saturation values of 92-118% in the surface water. In the surface, biological factor was negligible to N2O production, and physical process dominated the surface N2O distribution. The N2O undersaturation may be the result of dilution by sea ice meltwater. The oversaturation may be caused by the diffusing of N2O-rich shelf bottom water. Below the surface, N2O concentrations ranged from 11.4 to 21.4 nmol L-1. On the Chukchi Sea shelf, N2O concentrations increased from the surface to the near-bottom water, indicating sediment N2O produced by nitrification or denitrification emission may be a significant source. The subsurface maxima in the upper halocline layer (UHL) may receive partial contribution from nitrification production but was primarily caused by the spreading of shelf water.</t>
  </si>
  <si>
    <t>[Zhang, Jiexia; Zhan, Liyang; Chen, Liqi; Li, Yuhong] State Ocean Adm, Inst Oceanog 3, Key Lab Global Change &amp; Marine Atmospher Chem, Xiamen, Peoples R China; [Zhang, Jiexia; Chen, Liqi] Xiamen Univ, Coll Ocean &amp; Earth Sci, Xiamen, Peoples R China; [Chen, Jianfang] State Ocean Adm, Inst Oceanog 2, Lab Marine Ecosyst &amp; Biogeochem, Hangzhou, Zhejiang, Peoples R China</t>
  </si>
  <si>
    <t>Third Institute of Oceanography, Ministry of Natural Resources; Xiamen University</t>
  </si>
  <si>
    <t>Chen, LQ (corresponding author), State Ocean Adm, Inst Oceanog 3, Key Lab Global Change &amp; Marine Atmospher Chem, Xiamen, Peoples R China.</t>
  </si>
  <si>
    <t>National Natural Science Foundation of China [41230529, 41476172]; Chinese Projects for Investigations and Assessments of the Arctic and Antarctic [CHINARE2012-15]; Chinese International Cooperation Projects [S2015GR1195, IC201201, IC201308, IC201513]</t>
  </si>
  <si>
    <t>National Natural Science Foundation of China(National Natural Science Foundation of China (NSFC)); Chinese Projects for Investigations and Assessments of the Arctic and Antarctic; Chinese International Cooperation Projects</t>
  </si>
  <si>
    <t>Data from Zhuang [2014], Li [2013], and Zhan [2013]. This work was funded by the National Natural Science Foundation of China (grant 41230529 and 41476172), Chinese Projects for Investigations and Assessments of the Arctic and Antarctic (grants CHINARE2012-15 for 01-04, 02-01, and 03-04), and Chinese International Cooperation Projects (S2015GR1195, IC201201, IC201308, and IC201513). We would like to thank the officers, captain, and crew of the R/V Xuelong for help with the sampling. We also thank the scientists onboard during the cruise for providing technical assistance. Finally, we thank the anonymous reviewers for their helpful comments on the manuscript.</t>
  </si>
  <si>
    <t>10.1002/2015JC011245</t>
  </si>
  <si>
    <t>WOS:000369153200038</t>
  </si>
  <si>
    <t>Miyoshi, Y; Fujiwara, H; Jin, H; Shinagawa, H</t>
  </si>
  <si>
    <t>Miyoshi, Yasunobu; Fujiwara, Hitoshi; Jin, Hidekatsu; Shinagawa, Hiroyuki</t>
  </si>
  <si>
    <t>Impacts of sudden stratospheric warming on general circulation of the thermosphere</t>
  </si>
  <si>
    <t>GRAVITY-WAVES; MODEL; VARIABILITY; MECHANISM</t>
  </si>
  <si>
    <t>Impacts of sudden stratospheric warming (SSW) on the thermosphere were studied using a gravity wave (GW)-resolving whole atmosphere model. During an SSW event, the mesosphere at high latitudes cools, and the lower thermosphere becomes warm. At the peak of the SSW event, a temperature drop occurs above an altitude of 150 km at high latitudes. Our results indicate that the SSW event strongly affects meridional circulation and GW drag in the thermosphere. In the lower thermosphere, upward wind in the Arctic region, southward wind in the region between the North Pole and the South Pole, and downward wind in the Antarctic region are dominant before SSW occurs. The SSW event reverses meridional circulation at altitudes between 90 and 125 km in the Northern Hemisphere. During the SSW event, downward wind in the Arctic region and northward wind in the Northern Hemisphere prevail in the lower thermosphere. A detailed analysis revealed that during the SSW event, the change in meridional circulation is caused by the attenuation of the GW drag, and we identified the mechanism responsible for this attenuation. Moreover, we assessed the impacts of SSW on temperatures in the equatorial region and Southern Hemisphere.</t>
  </si>
  <si>
    <t>[Miyoshi, Yasunobu] Kyushu Univ, Dept Earth &amp; Planetary Sci, Fukuoka 812, Japan; [Fujiwara, Hitoshi] Seikei Univ, Fac Sci &amp; Technol, Tokyo, Japan; [Jin, Hidekatsu; Shinagawa, Hiroyuki] Natl Inst Informat &amp; Commun Technol, Tokyo, Japan</t>
  </si>
  <si>
    <t>Kyushu University; Seikei University; National Institute of Information &amp; Communications Technology (NICT) - Japan</t>
  </si>
  <si>
    <t>Miyoshi, Y (corresponding author), Kyushu Univ, Dept Earth &amp; Planetary Sci, Fukuoka 812, Japan.</t>
  </si>
  <si>
    <t>y.miyoshi.527@m.kyushu-u.ac.jp</t>
  </si>
  <si>
    <t>JSPS [15H03733]; Grants-in-Aid for Scientific Research [15H03733, 24740336] Funding Source: KAKEN</t>
  </si>
  <si>
    <t>This work was supported by a JSPS grant-in-aid for scientific research (B) (15H03733). The GFD/DENNOU library was used to produce the figures. The calculations were mainly performed using the computer systems at the Research Institute for Information Technology of Kyushu University and at the National Institute of Information and Communications Technology, Japan. To access the simulation data, contact the corresponding author. The authors would like to thank Enago (www.enago.jp) for the English language review.</t>
  </si>
  <si>
    <t>10.1002/2015JA021894</t>
  </si>
  <si>
    <t>DC4GZ</t>
  </si>
  <si>
    <t>WOS:000369180200050</t>
  </si>
  <si>
    <t>Zhou, C; Lei, Y; Li, BF; An, JC; Zhu, P; Jiang, CH; Zhao, ZY; Zhang, YN; Ni, BB; Wang, ZM; Zhou, XH</t>
  </si>
  <si>
    <t>Zhou, Chen; Lei, Yong; Li, Bofeng; An, Jiachun; Zhu, Peng; Jiang, Chunhua; Zhao, Zhengyu; Zhang, Yuannong; Ni, Binbin; Wang, Zemin; Zhou, Xuhua</t>
  </si>
  <si>
    <t>Comparisons of ionospheric electron density distributions reconstructed by GPS computerized tomography, backscatter ionograms, and vertical ionograms</t>
  </si>
  <si>
    <t>3-DIMENSIONAL IONOSPHERE; IONOSONDE INPUT; DIVERSE DATA; INVERSION; ALGORITHM; RADAR; PROFILES; MODEL; RAY; IMPROVEMENTS</t>
  </si>
  <si>
    <t>Global Positioning System (GPS) computerized ionosphere tomography (CIT) and ionospheric sky wave ground backscatter radar are both capable of measuring the large-scale, two-dimensional (2-D) distributions of ionospheric electron density (IED). Here we report the spatial and temporal electron density results obtained by GPS CIT and backscatter ionogram (BSI) inversion for three individual experiments. Both the GPS CIT and BSI inversion techniques demonstrate the capability and the consistency of reconstructing large-scale IED distributions. To validate the results, electron density profiles obtained from GPS CIT and BSI inversion are quantitatively compared to the vertical ionosonde data, which clearly manifests that both methods output accurate information of ionopsheric electron density and thereby provide reliable approaches to ionospheric soundings. Our study can improve current understanding of the capability and insufficiency of these two methods on the large-scale IED reconstruction.</t>
  </si>
  <si>
    <t>[Zhou, Chen; Lei, Yong; Zhu, Peng; Jiang, Chunhua; Zhao, Zhengyu; Zhang, Yuannong; Ni, Binbin] Wuhan Univ, Sch Elect Informat, Dept Space Phys, Wuhan 430072, Peoples R China; [Li, Bofeng] Tongji Univ, Coll Surveying &amp; Geoinformat, Shanghai 200092, Peoples R China; [An, Jiachun; Wang, Zemin] Wuhan Univ, Chinese Antarctic Ctr Surveying &amp; Mapping, Wuhan 430072, Peoples R China; [Zhou, Xuhua] Chinese Acad Sci, Shanghai Astron Observ, Shanghai, Peoples R China</t>
  </si>
  <si>
    <t>Wuhan University; Tongji University; Wuhan University; Chinese Academy of Sciences; Shanghai Astronomical Observatory, CAS</t>
  </si>
  <si>
    <t>Zhou, C (corresponding author), Wuhan Univ, Sch Elect Informat, Dept Space Phys, Wuhan 430072, Peoples R China.</t>
  </si>
  <si>
    <t>chenzhou@whu.edu.cn</t>
  </si>
  <si>
    <t>An, Jiachun/ABG-4275-2020; ZeMin, Wang/AAU-3422-2020</t>
  </si>
  <si>
    <t>National Natural Science Foundation of China (NSFC) [41204111, 41574146, 41374031, 41174029]; Fundamental Research Funds for the Central Universities of China [2042014kf0266]; Wuhan University</t>
  </si>
  <si>
    <t>National Natural Science Foundation of China (NSFC)(National Natural Science Foundation of China (NSFC)); Fundamental Research Funds for the Central Universities of China(Fundamental Research Funds for the Central Universities); Wuhan University</t>
  </si>
  <si>
    <t>The authors would like to thank the data center of the Crustal Movement Observation Network of China (CMONOC) for providing the ground-based global positioning system tracking station data. This work was supported by the National Natural Science Foundation of China (NSFC grant 41204111, 41574146, 41374031, and 41174029) and by the Fundamental Research Funds for the Central Universities of China (grant 2042014kf0266). C.Z. appreciates the support by Wuhan University 351 Talents Project. The GPS data can be obtained from data center of CMONOC (http://www.cmonoc.cn/). The vertical ionosonde and backscatter radar data can be obtained from C.Z. (email: chenzhou@whu.edu.cn)</t>
  </si>
  <si>
    <t>10.1002/2015JA021855</t>
  </si>
  <si>
    <t>WOS:000369180200059</t>
  </si>
  <si>
    <t>Buizert, C; Schmittner, A</t>
  </si>
  <si>
    <t>Buizert, Christo; Schmittner, Andreas</t>
  </si>
  <si>
    <t>Southern Ocean control of glacial AMOC stability and Dansgaard-Oeschger interstadial duration</t>
  </si>
  <si>
    <t>ATLANTIC DEEP-WATER; MERIDIONAL OVERTURNING CIRCULATION; ABRUPT CLIMATE-CHANGE; SEA-SURFACE TEMPERATURES; WESTERLY WIND CHANGES; NORTH-ATLANTIC; THERMOHALINE CIRCULATION; HEMISPHERE WESTERLIES; ANTARCTIC TEMPERATURE; ATMOSPHERIC CO2</t>
  </si>
  <si>
    <t>Glacial periods exhibit abrupt Dansgaard-Oeschger (DO) climatic oscillations that are thought to be linked to instabilities in the Atlantic meridional overturning circulation (AMOC). Great uncertainty remains regarding the dynamics of the DO cycle, as well as controls on the timing and duration of individual events. Using ice core data we show that the duration of warm (interstadial) periods is strongly correlated with Antarctic climate, and presumably with Southern Ocean (SO) temperature and the position of the Southern Hemisphere (SH) westerlies. We propose a SO control on AMOC stability and interstadial duration via the rate of Antarctic bottom water formation, meridional density/pressure gradients, Agulhas Leakage, and SO adiabatic upwelling. This hypothesis is supported by climate model experiments that demonstrate SO warming leads to a stronger AMOC that is less susceptible to freshwater perturbations. In the AMOC stability diagram, SO warming and strengthening of the SH westerlies both shift the vigorous AMOC branch toward higher freshwater values, thus raising the threshold for AMOC collapse. The proposed mechanism could provide a consistent explanation for several diverse observations, including maximum DO activity during intermediate ice volume/SH temperature, and successively shorter DO durations within each Bond cycle. It may further have implications for the fate of the AMOC under future global warming.</t>
  </si>
  <si>
    <t>[Buizert, Christo; Schmittner, Andreas] Oregon State Univ, Coll Earth Ocean &amp; Atmospher Sci, Corvallis, OR 97331 USA</t>
  </si>
  <si>
    <t>Oregon State University</t>
  </si>
  <si>
    <t>Buizert, C (corresponding author), Oregon State Univ, Coll Earth Ocean &amp; Atmospher Sci, Corvallis, OR 97331 USA.</t>
  </si>
  <si>
    <t>buizertc@science.oregonstate.edu</t>
  </si>
  <si>
    <t>Schmittner, Andreas/O-9647-2015</t>
  </si>
  <si>
    <t>Schmittner, Andreas/0000-0002-8376-0843; Buizert, Christo/0000-0002-2227-1747</t>
  </si>
  <si>
    <t>NOAA Climate and Global Change postdoctoral fellowship program; NSF grants from the Marine Geology and Geophysics Program [OCE-1131834]; Office of Polar Programs (OPP); Directorate For Geosciences [0944348] Funding Source: National Science Foundation</t>
  </si>
  <si>
    <t>NOAA Climate and Global Change postdoctoral fellowship program(National Oceanic Atmospheric Admin (NOAA) - USA); NSF grants from the Marine Geology and Geophysics Program(National Science Foundation (NSF)); Office of Polar Programs (OPP); Directorate For Geosciences(National Science Foundation (NSF)NSF - Directorate for Geosciences (GEO))</t>
  </si>
  <si>
    <t>We want to thank Ed Brook, Feng He, Jeff Severinghaus, Alan Mix, Dave Ullman, Brad Markle, and Shaun Marcott for support and/or fruitful discussions. All paleoclimate data used in this work are publicly available with their original publications as cited in the figure captions. Data can be obtained via http://dx.doi.org/10.1038/nature14401 (WAIS delta18O and CH4), http://dx.doi.org/10.1126/science.1226368 (Antarctic Temperature Stack), or through the NOAA climatic data center at http://www.ncdc.noaa.gov/paleo/ (all other data). The code of the UVic climate model is available at http://climate.uvic.ca/model/2.9/. Requests for materials or information should be addressed to Christo Buizert (buizertc@science.oregonstate.edu). We acknowledge funding through the NOAA Climate and Global Change postdoctoral fellowship program, administered by the University Corporation for Atmospheric Research (to C.B.) and through NSF grants from the Marine Geology and Geophysics Program (OCE-1131834; to A.S.).</t>
  </si>
  <si>
    <t>10.1002/2015PA002795</t>
  </si>
  <si>
    <t>DC0LS</t>
  </si>
  <si>
    <t>WOS:000368909400001</t>
  </si>
  <si>
    <t>DeMets, C; Merkouriev, S; Sauter, D</t>
  </si>
  <si>
    <t>DeMets, C.; Merkouriev, S.; Sauter, D.</t>
  </si>
  <si>
    <t>High-resolution estimates of Southwest Indian Ridge plate motions, 20 Ma to present</t>
  </si>
  <si>
    <t>Plate motions; Africa; Antarctica</t>
  </si>
  <si>
    <t>II FRACTURE-ZONE; NUBIA-SOMALIA; NORTH-AMERICA; FINITE-ROTATIONS; TRIPLE JUNCTION; ANTARCTICA; AFRICA; OCEAN; DEFORMATION; ULTRASLOW</t>
  </si>
  <si>
    <t>We present the first estimates of Southwest Indian Ridge (SWIR) plate motions at high temporal resolution during the Quaternary and Neogene based on nearly 5000 crossings of 21 magnetic reversals out to C6no (19.72 Ma) and the digitized traces of 17 fracture zones and transform faults. Our reconstructions of this slow-spreading mid-ocean ridge reveal several unexpected results with notable implications for regional and global plate reconstructions since 20 Ma. Extrapolations of seafloor opening distances to zero-age seafloor based on reconstructions of reversals C1n (0.78 Ma) through C3n. 4 (5.2 Ma) reveal evidence for surprisingly large outward displacement of 5 +/- 1 km west of 32 degrees E, where motion between the Nubia and Antarctic plates occurs, but 2 +/- 1 km east of 32 degrees E, more typical of most mid-ocean ridges. Newly estimated SWIR seafloor spreading rates are up to 15 per cent slower everywhere along the ridge than previous estimates. Reconstructions of the numerous observations for times back to 11 Ma confirm the existence of the hypothesized Lwandle plate at high confidence level and indicate that the Lwandle plate's western and eastern boundaries respectively intersect the ridge near the Andrew Bain transform fault complex at 32 degrees E and between similar to 45 degrees E and 52 degrees E, in accord with previous results. The Nubia-Antarctic, Lwandle-Antarctic and Somalia-Antarctic rotation sequences that best fit many magnetic reversal, fracture zone and transform fault crossings define previously unknown changes in the Neogene motions of all three plate pairs, consisting of similar to 20 per cent slowdowns in their spreading rates at 7.2(-1.4)(+0.9) Ma if we enforce a simultaneous change in motion everywhere along the SWIR and gradual 3 degrees-7 degrees anticlockwise rotations of the relative slip directions. We apply trans-dimensional Bayesian analysis to our noisy, best-fitting rotation sequences in order to estimate less-noisy rotation sequences suitable for use in future global plate reconstructions and geodynamic studies. Notably, our new Nubia-Antarctic reconstruction of C5n.2 (11.0 Ma) predicts 20 per cent less opening than do two previous estimates, with important implications for motion that is estimated between the Nubia and Somalia plates. A Nubia-Somalia rotation determined from our Nubia-Antarctic and Somalia-Antarctic plate rotations for C5n.2 (11.0 Ma) predicts cumulative opening of 45 +/- 4 km (95 per cent uncertainty) across the northernmost East Africa rift since 11.0 Ma, 70 per cent less than a recent 129 +/- 62 km opening estimate based on a now-superseded interpretation of Anomaly 5 along the western portion of the SWIR.</t>
  </si>
  <si>
    <t>[DeMets, C.] Univ Wisconsin, Dept Geosci, Madison, WI 53706 USA; [Merkouriev, S.] Russian Acad Sci, Pushkov Inst Terr Magnetism, St Petersburg Filial, 1 Mendeleevskaya Liniya, St Petersburg 199034, Russia; [Merkouriev, S.] St Petersburg State Univ, Inst Earth Sci, Univ Skaya Nab,7-9, St Petersburg 199034, Russia; [Sauter, D.] Ecole &amp; Inst Phys Globe, CNRS, UMR 7516, 5 Rue Descartes, Strasbourg, France</t>
  </si>
  <si>
    <t>University of Wisconsin System; University of Wisconsin Madison; Russian Academy of Sciences; Saint Petersburg State University; Universites de Strasbourg Etablissements Associes; Universite de Strasbourg; Centre National de la Recherche Scientifique (CNRS); CNRS - National Institute for Earth Sciences &amp; Astronomy (INSU)</t>
  </si>
  <si>
    <t>DeMets, C (corresponding author), Univ Wisconsin, Dept Geosci, Madison, WI 53706 USA.</t>
  </si>
  <si>
    <t>chuck@geology.wisc.edu</t>
  </si>
  <si>
    <t>sauter, daniel/K-6532-2014; sauter, daniel/Q-5519-2019; Merkuryev, Sergey/K-1202-2015</t>
  </si>
  <si>
    <t>sauter, daniel/0000-0003-3651-8090; sauter, daniel/0000-0003-3651-8090; Merkuryev, Sergey/0000-0002-1520-110X</t>
  </si>
  <si>
    <t>U.S. National Science Foundation [OCE-0926274, OCE-1433323]</t>
  </si>
  <si>
    <t>U.S. National Science Foundation(National Science Foundation (NSF))</t>
  </si>
  <si>
    <t>We thank Steve Cande for providing us with South African cruise data. This work was supported by grants OCE-0926274 and OCE-1433323 from the U.S. National Science Foundation. Figures were drafted using Generic Mapping Tools software (Wessel &amp; Smith 1991).</t>
  </si>
  <si>
    <t>10.1093/gji/ggv366</t>
  </si>
  <si>
    <t>DB3QQ</t>
  </si>
  <si>
    <t>WOS:000368426800004</t>
  </si>
  <si>
    <t>Tang, WY; Guan, ZY</t>
  </si>
  <si>
    <t>Tang Weiya; Guan Zhaoyong</t>
  </si>
  <si>
    <t>ENSO-Independent Contemporaneous Variations of Anomalous Circulations in the Northern and Southern Hemispheres: The Polar-Tropical Seesaw Mode</t>
  </si>
  <si>
    <t>JOURNAL OF METEOROLOGICAL RESEARCH</t>
  </si>
  <si>
    <t>Northern and Southern Hemispheres; polar-tropical seesaw mode; climate anomaly; boreal winter</t>
  </si>
  <si>
    <t>INTERHEMISPHERIC OSCILLATIONS; GEOPOTENTIAL HEIGHT; ARCTIC OSCILLATION; LAST MILLENNIUM; INDIAN-OCEAN; CLIMATE; TEMPERATURE; CHINA; TELECONNECTIONS; PRECIPITATION</t>
  </si>
  <si>
    <t>Using the NCEP/NCAR reanalysis and the ENSO indices from the Climate Prediction Center over the period 1978-2014, we have investigated the contemporaneous circulation variations in the Northern and Southern Hemispheres by performing the singular value decomposition analysis of sea level pressure anomalies (SLPA) after the ENSO signal is regressed out. It is found that there exists a polar-tropical seesaw mode (PTSM) that characterizes with the out of phase fluctuations of SLPA between the polar and tropical regions in the Northern and Southern Hemispheres in boreal winter. This PTSM explains 47.74% of the total covariance of SLPA and is almost independent of ENSO. It demonstrates a long-term trend and oscillation cycles of 2-3 and 4-6 yr. The long-term trend in PTSM indicates that the sea level pressure gradually decreases in the tropics and increases in the polar region with time. This PTSM looks roughly symmetric about the equator besides the seesaw pattern of SLPA between the tropics and polar region in each hemisphere. The disturbances in the geopotential height field in association with the PTSM shows baroclinic features in the tropics whereas equivalent barotropic features in the mid and high latitudes in the troposphere. The anomalous thermal forcing in the tropical region is possibly one of the factors facilitating the formation of this PTSM. Significant global precipitation and temperature anomalies related to the PTSM are observed. In the positive PTSM phase, precipitation and temperature are higher than normal in southern Europe and the Mediterranean and surrounding areas, but lower than normal in northern Europe and Siberia. Precipitation is higher than normal while temperature is lower than normal in Northeast Asia. Significant temperature and precipitation anomalies possibly occur in the regions of western China, northern India, parts of North America, parts of subtropical Africa, Maritime Continent, and Antarctic. These results are helpful for better understanding of the circulation variations and the mechanisms behind the interactions between the Northern and Southern Hemispheres and the related winter climate anomalies over globe.</t>
  </si>
  <si>
    <t>[Tang Weiya; Guan Zhaoyong] Nanjing Univ Informat Sci &amp; Technol, Collaborat Innovat Ctr Forecast &amp; Evaluat Meteoro, Nanjing 210044, Jiangsu, Peoples R China; [Tang Weiya] Chinese Acad Meteorol Sci, State Key Lab Severe Weather, Beijing 100081, Peoples R China; [Tang Weiya; Guan Zhaoyong] Nanjing Univ Informat Sci &amp; Technol, Minist Educ, Key Lab Meteorol Disaster, Nanjing 210044, Jiangsu, Peoples R China; [Guan Zhaoyong] Nanjing Univ Informat Sci &amp; Technol, Polar Climate Syst &amp; Global Change Lab, Nanjing 210044, Jiangsu, Peoples R China</t>
  </si>
  <si>
    <t>Nanjing University of Information Science &amp; Technology; China Meteorological Administration; Chinese Academy of Meteorological Sciences (CAMS); Nanjing University of Information Science &amp; Technology; Nanjing University of Information Science &amp; Technology</t>
  </si>
  <si>
    <t>Guan, ZY (corresponding author), Nanjing Univ Informat Sci &amp; Technol, Collaborat Innovat Ctr Forecast &amp; Evaluat Meteoro, Nanjing 210044, Jiangsu, Peoples R China.</t>
  </si>
  <si>
    <t>guanzy@nuist.edu.cn</t>
  </si>
  <si>
    <t>National Natural Science Foundation of China [41175062, 41330425]; State Key Laboratory of Severe Weather, Chinese Academy of Meteorological Sciences [2015LASW-A03]</t>
  </si>
  <si>
    <t>National Natural Science Foundation of China(National Natural Science Foundation of China (NSFC)); State Key Laboratory of Severe Weather, Chinese Academy of Meteorological Sciences</t>
  </si>
  <si>
    <t>Supported by the National Natural Science Foundation of China (41175062 and 41330425) and Science Innovation Program of the State Key Laboratory of Severe Weather, Chinese Academy of Meteorological Sciences (2015LASW-A03).</t>
  </si>
  <si>
    <t>2095-6037</t>
  </si>
  <si>
    <t>2198-0934</t>
  </si>
  <si>
    <t>J METEOROL RES-PRC</t>
  </si>
  <si>
    <t>J. Meteorol. Res.</t>
  </si>
  <si>
    <t>10.1007/s13351-015-5095-6</t>
  </si>
  <si>
    <t>DB6GB</t>
  </si>
  <si>
    <t>WOS:000368611300004</t>
  </si>
  <si>
    <t>Schönau, MC; Rudnick, DL; Cerovecki, I; Gopalakrishnan, G; Cornuelle, BD; McClean, JL; Qiu, B</t>
  </si>
  <si>
    <t>Schoenau, Martha C.; Rudnick, Daniel L.; Cerovecki, Ivana; Gopalakrishnan, Ganesh; Cornuelle, Bruce D.; McClean, Julie L.; Qiu, Bo</t>
  </si>
  <si>
    <t>The Mindanao Current Mean Structure and Connectivity</t>
  </si>
  <si>
    <t>OCEANOGRAPHY</t>
  </si>
  <si>
    <t>WESTERN EQUATORIAL PACIFIC; ANTARCTIC INTERMEDIATE WATER; OCEAN CIRCULATION; BOUNDARY CURRENTS; UNDERCURRENT JETS; PHILIPPINE SEA; SOUTH-PACIFIC; VARIABILITY; CLIMATE; COAST</t>
  </si>
  <si>
    <t>The Mindanao Current (MC), a low-latitude western boundary current in the Pacific Ocean, plays an important role in heat and freshwater transport to the western Pacific warm pool and the Indian Ocean. However, there have been relatively few comprehensive studies of the structure and variability of the MC and its connectivity to regional circulation. The Origins of the Kuroshio and Mindanao Current (OKMC) initiative combines four years of glider observations of the MC, a historical conductivity-temperature-depth (CTD)/float climatology, and results from a global strongly eddying forward ocean general circulation model simulation and a regional ocean state estimate. The MC is resolved as a strong southward current primarily within the upper 200 m, approaching 1 m s(-1), and extending roughly 300 km offshore of Mindanao. Observations and model simulations show a persistent northward Mindanao Undercurrent (MUC) below the thermocline. The MC transports water masses of North Pacific origin southward, while the MUC carries water with South Pacific characteristics northward. The subthermocline transport of the MC and the MUC is connected to other undercurrents in the Philippine Sea. The variability of this transport is a topic of continuing research.</t>
  </si>
  <si>
    <t>[Schoenau, Martha C.; Rudnick, Daniel L.; Cerovecki, Ivana; Gopalakrishnan, Ganesh; Cornuelle, Bruce D.; McClean, Julie L.] Univ Calif San Diego, Scripps Inst Oceanog, La Jolla, CA 92093 USA; [Qiu, Bo] Univ Hawaii Manoa, Dept Oceanog, Honolulu, HI 96822 USA</t>
  </si>
  <si>
    <t>University of California System; University of California San Diego; Scripps Institution of Oceanography; University of Hawaii System; University of Hawaii Manoa</t>
  </si>
  <si>
    <t>Schönau, MC (corresponding author), Univ Calif San Diego, Scripps Inst Oceanog, La Jolla, CA 92093 USA.</t>
  </si>
  <si>
    <t>mcschonau@ucsd.edu</t>
  </si>
  <si>
    <t>Qiu, Bo/D-9569-2017; Rudnick, Daniel L/J-8948-2016</t>
  </si>
  <si>
    <t>Rudnick, Daniel L/0000-0002-2624-7074; Schonau, Martha/0000-0002-2344-5075; Cornuelle, Bruce/0000-0003-2110-3319</t>
  </si>
  <si>
    <t>Office of Naval Research (ONR) project Origins of the Kuroshio and Mindanao Currents (OKMC) [N00014-10-1-0273, N00013-11-1-0429, N00014-10-1-0267]; US Department of Energy (DOE) Office of Science via Los Alamos National Laboratory</t>
  </si>
  <si>
    <t>Office of Naval Research (ONR) project Origins of the Kuroshio and Mindanao Currents (OKMC); US Department of Energy (DOE) Office of Science via Los Alamos National Laboratory</t>
  </si>
  <si>
    <t>This study was supported by the Office of Naval Research (ONR) project Origins of the Kuroshio and Mindanao Currents (OKMC): N00014-10-1-0273 (DLR, JLM, BDC, MCS, IC and GG), N00013-11-1-0429 (DLR and MCS), and N00014-10-1-0267 (BQ). The global CESM simulation was conducted using computer resources (Yellowstone) (ark:/85065/d7wd3xhc) provided by the Climate Simulation Laboratory at the National Center for Atmospheric Research (NCAR) Computational and Information Systems Laboratory. JLM and IC were also supported by a US Department of Energy (DOE) Office of Science grant, Ultra-High Resolution Global Climate Simulation, via a Los Alamos National Laboratory subcontract. We thank Lori and Pat Colin at the Coral Reef Research Foundation in Palau for glider deployment support, and the Instrument Development Group at Scripps Institution of Oceanography for all operations of the Spray gliders, including Jeff Sherman, Kyle Grindley, Brent Jones, Evan Randall-Goodwin, and Derek Vana. We thank an anonymous reviewer for critical feedback and recommendations for this paper. Argo data were collected and made freely available by the international Argo Program and the national programs that contribute to it (http://www.argo.ucsd.edu, http://argo.jcommops.org). The Argo Program is part of the Global Ocean Observing System.</t>
  </si>
  <si>
    <t>OCEANOGRAPHY SOC</t>
  </si>
  <si>
    <t>ROCKVILLE</t>
  </si>
  <si>
    <t>P.O. BOX 1931, ROCKVILLE, MD USA</t>
  </si>
  <si>
    <t>1042-8275</t>
  </si>
  <si>
    <t>10.5670/oceanog.2015.79</t>
  </si>
  <si>
    <t>DB3XN</t>
  </si>
  <si>
    <t>WOS:000368447000006</t>
  </si>
  <si>
    <t>Perera, E; Simon, C</t>
  </si>
  <si>
    <t>Perera, Erick; Simon, Cedric</t>
  </si>
  <si>
    <t>Digestive physiology of spiny lobsters: implications for formulated diet development</t>
  </si>
  <si>
    <t>REVIEWS IN AQUACULTURE</t>
  </si>
  <si>
    <t>aquaculture; crustacea; digestive biochemistry; digestive physiology; formulated diets; spiny lobsters</t>
  </si>
  <si>
    <t>SOUTHERN ROCK LOBSTER; PANULIRUS-ARGUS-LATREILLE; JASUS-EDWARDSII HUTTON; STOMATOGASTRIC NERVOUS-SYSTEM; ENZYME-ACTIVITIES; NUTRITIONAL CONDITION; REDCLAW CRAYFISH; FEED INGREDIENTS; PROTEIN-SOURCES; MANNAN OLIGOSACCHARIDE</t>
  </si>
  <si>
    <t>The development of cost-effective and nutritionally adequate formulated feeds is a key step for developing sustainable technologies for new aquaculture species. There has been many research effort for over 30 years on feed development for spiny lobsters, but amazingly, poor performance of formulated feeds remains one of the major obstacles to progressing commercial aquaculture of these crustaceans. This is partially due to a lack of information on how spiny lobsters digest and assimilate formulated feeds. The aim of this review is to integrate recent information on the digestive physiology of spiny lobsters to identify areas where further studies are needed for advancing to more physiologically tailored formulated feeds. Increasing the efficiency of mechanical and chemical digestion is imperative for better digestion of formulated feeds. This is likely to be achieved by improving feed format, reducing the particle size of ingredients, using digestible binders, preprocessing or selecting more soluble macronutrients and supplementing feeds with additives such as pH buffers, emulsifying agents and/or exogenous enzymes. Future research needs to adopt a holistic approach for investigating the digestive processes in spiny lobsters by focusing on digestion as well as downstream processes. The protein-sparing effect of lipids and carbohydrates on spiny lobster metabolism is of a particular significance as the spiny lobster metabolism is strongly directed towards the use of protein. This review provides important insights, practical solutions and key research directions to improve both our understanding of spiny lobster digestive physiology and the performance of formulated feeds for spiny lobsters.</t>
  </si>
  <si>
    <t>[Perera, Erick] Univ Havana, Ctr Marine Res, Havana, Cuba; [Perera, Erick] CSIC, Inst Ciencias Marinas Andalucia ICMAN, Apartado Oficial, Cadiz 11510, Spain; [Simon, Cedric] Univ Tasmania, Inst Marine &amp; Antarctic Studies, Taroona, Tas, Australia</t>
  </si>
  <si>
    <t>Universidad de la Habana; Consejo Superior de Investigaciones Cientificas (CSIC); CSIC - Instituto de Ciencias Marinas de Andalucia (ICMAN); University of Tasmania</t>
  </si>
  <si>
    <t>Perera, E (corresponding author), Univ Havana, Ctr Marine Res, Havana, Cuba.;Perera, E (corresponding author), CSIC, Inst Ciencias Marinas Andalucia ICMAN, Apartado Oficial, Cadiz 11510, Spain.</t>
  </si>
  <si>
    <t>erick.perera@icman.csic.es; cedric.simon@utas.edu.au</t>
  </si>
  <si>
    <t>Perera, Erick/E-9908-2018; Simon, Cedric/AET-0945-2022; Simon, Cedric/AAX-5264-2020</t>
  </si>
  <si>
    <t>Perera, Erick/0000-0001-6108-1340; Simon, Cedric/0000-0002-7535-3332; Simon, Cedric/0000-0002-7535-3332</t>
  </si>
  <si>
    <t>Australian Research Council [IH120100032]; International Foundation for Science (IFS) [A/4306-1, A/4306-2]; AUIP/AECI/UCA from Spain; Australian Research Council [IH120100032] Funding Source: Australian Research Council</t>
  </si>
  <si>
    <t>Australian Research Council(Australian Research Council); International Foundation for Science (IFS)(International Foundation for Science); AUIP/AECI/UCA from Spain; Australian Research Council(Australian Research Council)</t>
  </si>
  <si>
    <t>Authors are deeply indebted to Prof. Andrew Jeffs for his constructive criticism and useful suggestions which have greatly assisted in improving the manuscript. This research was supported under the Australian Research Council's Industrial Transformation Research Program (project number IH120100032), by the International Foundation for Science (IFS) (project numbers A/4306-1 and No. A/4306-2), and by AUIP/AECI/UCA from Spain.</t>
  </si>
  <si>
    <t>1753-5123</t>
  </si>
  <si>
    <t>1753-5131</t>
  </si>
  <si>
    <t>REV AQUACULT</t>
  </si>
  <si>
    <t>Rev. Aquac.</t>
  </si>
  <si>
    <t>10.1111/raq.12066</t>
  </si>
  <si>
    <t>DB4XH</t>
  </si>
  <si>
    <t>WOS:000368516400002</t>
  </si>
  <si>
    <t>Lodolo, E; Pérez, LF</t>
  </si>
  <si>
    <t>Lodolo, Emanuele; Perez, Lara F.</t>
  </si>
  <si>
    <t>An abandoned rift in the southwestern part of the South Scotia Ridge (Antarctica): Implications for the genesis of the Bransfield Strait</t>
  </si>
  <si>
    <t>TECTONICS</t>
  </si>
  <si>
    <t>SHACKLETON FRACTURE-ZONE; BACK-ARC BASIN; PLATE BOUNDARY; POWELL BASIN; WEST ANTARCTICA; DRAKE PASSAGE; TECTONIC DEVELOPMENT; MAGNETIC-ANOMALIES; SEISMIC STRUCTURE; BAIKAL RIFT</t>
  </si>
  <si>
    <t>The western segment of the South Scotia Ridge is a narrow submarine ridge composed of continental crustal blocks, which hosts the left-lateral boundary between the Scotia and Antarctic plates. This plate boundary segment gradually merges westward with the Bransfield Strait, a young (&lt;4 Ma) basin located between the South Shetland Islands and the northern segment of the Antarctic Peninsula. Here we present a series of multichannel seismic profiles that reveal the presence of a linear chain of submarine volcanic edifices running parallel to the present-day Scotia-Antarctic plate boundary. These edifices consist of alkali basalts (similar to 4 Ma), as shown by published data from a dredge haul. The occurrence, distribution, and shape of these magmatic manifestations suggest that they were emplaced in a rift-related environment, associated with the activity of the former western segment of the Scotia-Antarctic plate boundary. When spreading centers of the Phoenix-Antarctic ridge NW of the South Shetland Islands became inactive at about 3.3 Ma, the former western Scotia-Antarctic plate boundary was abandoned, and it moved to the present-day location of the Bransfield Strait, where the motion was accommodated, and where active extension is ongoing. The proposed mechanism for the development of the Bransfield Strait, consistent with the temporal sequence of tectonic events, reconciles discrepancies in tectonic evolutionary models presented till now and does not require the presence of slab-pull and/or slab retreat forces. The Bransfield Strait is not a classic back-arc basin, but rather an actively extending marginal basin at the transition from mature rifting to incipient, punctiform spreading.</t>
  </si>
  <si>
    <t>[Lodolo, Emanuele] Ist Nazl Oceanografia &amp; Geofis Sperimentale, Trieste, Italy; [Perez, Lara F.] Inst Andaluz Ciencias Tierra CSIC UGR, Granada, Spain; [Perez, Lara F.] Geol Survey Denmark &amp; Greenland, Geophys Dept, Copenhagen, Denmark</t>
  </si>
  <si>
    <t>Istituto Nazionale di Oceanografia e di Geofisica Sperimentale; Consejo Superior de Investigaciones Cientificas (CSIC); CSIC - Instituto Andaluz de Ciencias de la Tierra (IACT); University of Granada; Geological Survey Of Denmark &amp; Greenland</t>
  </si>
  <si>
    <t>Lodolo, E (corresponding author), Ist Nazl Oceanografia &amp; Geofis Sperimentale, Trieste, Italy.</t>
  </si>
  <si>
    <t>elodolo@ogs.trieste.it</t>
  </si>
  <si>
    <t>Pérez, Lara F./H-3572-2015</t>
  </si>
  <si>
    <t>Pérez, Lara F./0000-0002-6229-4564; LODOLO, Emanuele/0000-0002-4706-2095</t>
  </si>
  <si>
    <t>This study was partially funded by the Italian Programma Nazionale di Ricerche in Antartide (PNRA). The commercial software package Kingdom Suite (R) was used to interpret the MCS profiles. Seismic data presented in this study are available from the following website: http://sdls.ogs.trieste.it. Luca Baradello processed the seismic profiles. The magnetic profile can be made available upon request. We gratefully acknowledge the Editor J. Geissman for the constructive comments and suggestions and two anonymous reviewers that helped to improve the manuscript.</t>
  </si>
  <si>
    <t>0278-7407</t>
  </si>
  <si>
    <t>1944-9194</t>
  </si>
  <si>
    <t>Tectonics</t>
  </si>
  <si>
    <t>10.1002/2015TC004041</t>
  </si>
  <si>
    <t>DB7BR</t>
  </si>
  <si>
    <t>WOS:000368669900006</t>
  </si>
  <si>
    <t>Ueno, K; Kurobe, K; Imaizumi, F; Nishii, R</t>
  </si>
  <si>
    <t>Ueno, Kenichi; Kurobe, Kousei; Imaizumi, Fumitoshi; Nishii, Ryoko</t>
  </si>
  <si>
    <t>Effects of deforestation and weather on diurnal frost heave processes on the steep mountain slopes in south central Japan</t>
  </si>
  <si>
    <t>EARTH SURFACE PROCESSES AND LANDFORMS</t>
  </si>
  <si>
    <t>diurnal frost heave; deforestation; micrometeorology; snow cover; central Japan</t>
  </si>
  <si>
    <t>NEEDLE ICE GROWTH; ANTARCTIC MARION ISLAND; FIELD-MEASUREMENTS; BRITISH-COLUMBIA; SOIL-MOISTURE; DEBRIS FLOWS; LABORATORY EXPERIMENT; ALPINE ENVIRONMENT; LANDSLIDES; SURFACE</t>
  </si>
  <si>
    <t>Freezing and thawing processes play an important role for the gravitational transport of surface materials on steep mountain slopes in Japan. The effects of deforestation on frost heave activity were observed through the 2012/2013 winter season in Ikawa University Forest, a southern mountainous area in central Japan (1180-1310 m above sea level). During periods without snow cover, needle ice development prevailed at a clear-cut site, and the downslope sediment movement of upper soil was 10 to 15 cm through the winter season. At a non-cut site, rise and fall in the ground surface level prevailed on a weekly scale, with no evident downslope movements at the surface; ice lens formation in the soil layer is assumed. Abrupt changes in the radiation budget, such as the strengthening of nighttime radiative cooling and increases in daytime direct insolation, induced frequent development/deformation of needle ice at the clear-cut site. In snow-free periods, the day-to-day variability in needle ice growth length and in nighttime averaged net radiation showed significant correlations; cloudy weather with warmer and moist air intrusion associated with synoptic disturbances prevented the occurrence of needle ice. Namely, day-to-day weather changes directly affected the mass movement of the upper soil after deforestation. Shallow snow cover occurred discontinuously through the winter and is likely an important factor in keeping the soil moisture sufficiently high in the upper soil layer for initiating needle ice during snow-free periods. We also discuss contributions of coastal extratropical cyclone activities providing both snow cover and cloudy weather in the southern mountain areas of central Japan to the intra-seasonal variability in frost heave and its indirect effect on soil creep and landslides on the deforested steep slopes. Copyright (c) 2015 John Wiley &amp; Sons, Ltd.</t>
  </si>
  <si>
    <t>[Ueno, Kenichi] Univ Tsukuba, Life &amp; Environm Sci, Tsukuba, Ibaraki, Japan; [Kurobe, Kousei] Pacific Consultants Co Ltd, Tokyo, Japan; [Imaizumi, Fumitoshi] Shizuoka Univ, Fac Agr, Shizuoka, Japan; [Nishii, Ryoko] Publ Works Res Inst, Tsukuba, Ibaraki, Japan</t>
  </si>
  <si>
    <t>University of Tsukuba; Shizuoka University; PWRI: Public Works Research Institute</t>
  </si>
  <si>
    <t>Ueno, K (corresponding author), Univ Tsukuba, Life &amp; Environm Sci, Tsukuba, Ibaraki, Japan.</t>
  </si>
  <si>
    <t>ueno.kenichi.fw@u.tsukuba.ac.jp</t>
  </si>
  <si>
    <t>Ueno, Kenichi/B-3154-2014</t>
  </si>
  <si>
    <t>Ueno, Kenichi/0000-0002-6612-4984; Imaizumi, Fumitoshi/0000-0002-1400-3005</t>
  </si>
  <si>
    <t>Japanese Alps (JALPS) inter-university cooperative project under the Ministry of Education, Culture, Sports, Science and Technology</t>
  </si>
  <si>
    <t>This study was supported by the Japanese Alps (JALPS) inter-university cooperative project under the Ministry of Education, Culture, Sports, Science and Technology. Observations were supported by the technical staff members Mr Endo and Mr Ueji in the Ikawa University Forest, and we appreciate all of the staff who established and maintained the observation system. The authors also thank two reviewers for their very constructive comments.</t>
  </si>
  <si>
    <t>0197-9337</t>
  </si>
  <si>
    <t>1096-9837</t>
  </si>
  <si>
    <t>EARTH SURF PROC LAND</t>
  </si>
  <si>
    <t>Earth Surf. Process. Landf.</t>
  </si>
  <si>
    <t>10.1002/esp.3776</t>
  </si>
  <si>
    <t>DA7SM</t>
  </si>
  <si>
    <t>WOS:000368004400003</t>
  </si>
  <si>
    <t>McMahon, CR; New, LF; Fairley, EJ; Hindell, MA; Burton, HR</t>
  </si>
  <si>
    <t>McMahon, C. R.; New, L. F.; Fairley, E. J.; Hindell, M. A.; Burton, H. R.</t>
  </si>
  <si>
    <t>The effects of body size and climate on post-weaning survival of elephant seals at Heard Island</t>
  </si>
  <si>
    <t>JOURNAL OF ZOOLOGY</t>
  </si>
  <si>
    <t>age-specific survival; Bayesian; length; Mirounga leonina; Southern Annular Mode; state-space model</t>
  </si>
  <si>
    <t>MIROUNGA-LEONINA; DECLINING POPULATION; ANNULAR MODE; HOT-IRON; TRENDS; UNCERTAINTY; MARKING</t>
  </si>
  <si>
    <t>The population size of southern elephant seals in the southern Indian and Pacific Oceans decreased precipitously between the 1950s and 1990s. To investigate the reasons behind this, we studied the population of southern elephant seals at Heard Island between 1949 and 1954, using data collected by the early Australian National Antarctic Research Expeditions. Seals were marked and measured (lengths) as weaned pups, and resighted at Heard and Marion islands and in the Vestfold Hills, Antarctica in subsequent years. Bayesian state-space mark-recapture models were used to determine post-weaning survival. Yearling survival was consistently lower (phi y: 0.28-0.40) than sub-adult survival (phi s: 0.79-0.83). We found evidence for constant sub-adult survival and time-dependent resight probabilities. Weaning length was an important determinate of yearling survival, with the probability of survival increasing with individual length. There was some suggestion that the Southern Annular Mode influenced yearling survival but this evidence was not strong. Nonetheless, our results provide further support showing that size at independence affects yearling survival. Given the known sensitivity of southern elephant seal populations to survival early in life, it is possible that the decline in population size at Heard Island between the 1950s and 1990s like that at Macquarie Island was due to low yearling survival mediated through maternal ability to produce large pups and the dominant environmental conditions mothers experience during pregnancy.</t>
  </si>
  <si>
    <t>[McMahon, C. R.] Sydney Inst Marine Sci, Mosman, NSW 2088, Australia; [McMahon, C. R.; Fairley, E. J.; Burton, H. R.] Australian Antarctic Div, Hobart, Tas, Australia; [New, L. F.] US Marine Mammal Commiss, Bethesda, MD USA; [New, L. F.] USGS, Patuxent Wildlife Res Ctr, Laurel, MD USA; [New, L. F.] Washington State Univ, Vancouver, WA USA; [Hindell, M. A.] Univ Tasmania, Inst Marine &amp; Antarctic Studies, Hobart, Tas, Australia</t>
  </si>
  <si>
    <t>Sydney Institute of Marine Science; Australian Antarctic Division; United States Department of the Interior; United States Geological Survey; Washington State University; University of Tasmania</t>
  </si>
  <si>
    <t>McMahon, CR (corresponding author), Sydney Inst Marine Sci, 19 Chowder Bay Rd, Mosman, NSW 2088, Australia.</t>
  </si>
  <si>
    <t>clive.mcmahon@utas.edu.au</t>
  </si>
  <si>
    <t>Hindell, Mark A/K-1131-2013; New, Leslie/C-8796-2018; McMahon, Clive R/D-5713-2013</t>
  </si>
  <si>
    <t>McMahon, Clive R/0000-0001-5241-8917; Hindell, Mark/0000-0002-7823-7185</t>
  </si>
  <si>
    <t>0952-8369</t>
  </si>
  <si>
    <t>1469-7998</t>
  </si>
  <si>
    <t>J ZOOL</t>
  </si>
  <si>
    <t>J. Zool.</t>
  </si>
  <si>
    <t>10.1111/jzo.12279</t>
  </si>
  <si>
    <t>DB1OS</t>
  </si>
  <si>
    <t>WOS:000368278600007</t>
  </si>
  <si>
    <t>Han, J; Brearley, AJ; Keller, LP</t>
  </si>
  <si>
    <t>Han, Jangmi; Brearley, Adrian J.; Keller, Lindsay P.</t>
  </si>
  <si>
    <t>Microstructural evidence for a disequilibrium condensation origin for hibonite-spinel inclusions in the ALHA77307 CO3.0 chondrite</t>
  </si>
  <si>
    <t>METEORITICS &amp; PLANETARY SCIENCE</t>
  </si>
  <si>
    <t>REFRACTORY INCLUSIONS; RICH INCLUSIONS; MURCHISON; METEORITE; CM; ANOMALIES; CORUNDUM; HISTORY; TI-50; REE</t>
  </si>
  <si>
    <t>Two hibonite-spinel inclusions (CAIs 03 and 08) in the ALHA77307 CO3.0 chondrite have been characterized in detail using the focused ion beam sample preparation technique combined with transmission electron microscopy. These hibonite-spinel inclusions are irregularly shaped and porous objects and consist of randomly oriented hibonite laths enclosed by aggregates of spinel with fine-grained perovskite inclusions finally surrounded by a partial rim of diopside. Melilite is an extremely rare phase in this type of CAI and occurs only in one inclusion (CAI 03) as interstitial grains between hibonite laths and on the exterior of the inclusion. The overall petrologic and mineralogical observations suggest that the hibonite-spinel inclusions represent high-temperature condensates from a cooling nebular gas. The textural relationships indicate that hibonite is the first phase to condense, followed by perovskite, spinel, and diopside. Texturally, melilite condensation appears to have occurred after spinel, suggesting that the condensation conditions were far from equilibrium. The crystallographic orientation relationships between hibonite and spinel provide evidence of epitaxial nucleation and growth of spinel on hibonite surfaces, which may have lowered the activation energy for spinel nucleation compared with that of melilite and consequently inhibited melilite condensation. Hibonite contains abundant stacking defects along the (001) plane consisting of different ratios of the spinel and Ca-containing blocks within the ideal hexagonal hibonite structure. This modification of the stacking sequence is likely the result of accommodation of excess Al in the gas into hibonite due to incomplete condensation of corundum from a cooling gas under disequilibrium conditions. We therefore conclude that these two hibonite-spinel inclusions in ALHA77307 formed by high-temperature condensation under disequilibrium conditions.</t>
  </si>
  <si>
    <t>[Han, Jangmi; Brearley, Adrian J.] Univ New Mexico, Dept Earth &amp; Planetary Sci, Albuquerque, NM 87131 USA; [Han, Jangmi] USRA, Lunar &amp; Planetary Inst, Houston, TX 77058 USA; [Han, Jangmi; Keller, Lindsay P.] NASA, Johnson Space Ctr, Houston, TX 77058 USA</t>
  </si>
  <si>
    <t>University of New Mexico; National Aeronautics &amp; Space Administration (NASA)</t>
  </si>
  <si>
    <t>Han, J (corresponding author), Univ New Mexico, Dept Earth &amp; Planetary Sci, Albuquerque, NM 87131 USA.</t>
  </si>
  <si>
    <t>jangmi.han@nasa.gov</t>
  </si>
  <si>
    <t>Brearley, Adrian/0000-0002-7364-8815</t>
  </si>
  <si>
    <t>NASA [NNG06GG37G, NNX12AH59G, 10-COS10-0049]; State of New Mexico; National Science Foundation; NASA</t>
  </si>
  <si>
    <t>NASA(National Aeronautics &amp; Space Administration (NASA)); State of New Mexico; National Science Foundation(National Science Foundation (NSF)); NASA(National Aeronautics &amp; Space Administration (NASA))</t>
  </si>
  <si>
    <t>We thank Dr. Denton Ebel and Dr. Rhonda Stroud for their helpful and constructive reviews and Dr. Ed Scott for his comments and editorial handling. The Antarctic Meteorite Working Group is thanked for the loan of the sample of ALHA77307 from the Antarctic Meteorite Collection. This work was supported by NASA grants NNG06GG37G and NNX12AH59G (A. J. Brearley, P.I.) and 10-COS10-0049 (L. P. Keller, P.I.). Electron microprobe analysis was carried out in the Electron Microbeam Analysis Facility, Department of Earth and Planetary Sciences and Institute of Meteoritics at the University of New Mexico. The facility is supported by funds from the State of New Mexico, the National Science Foundation, and NASA. We are grateful to Mike Spilde for his assistance with electron microprobe analyses and Dr. Ying-Bing Jiang for his assistance with TEM analyses. LPI contribution No. 1867.</t>
  </si>
  <si>
    <t>1086-9379</t>
  </si>
  <si>
    <t>1945-5100</t>
  </si>
  <si>
    <t>METEORIT PLANET SCI</t>
  </si>
  <si>
    <t>Meteorit. Planet. Sci.</t>
  </si>
  <si>
    <t>10.1111/maps.12563</t>
  </si>
  <si>
    <t>DA7XJ</t>
  </si>
  <si>
    <t>WOS:000368018600010</t>
  </si>
  <si>
    <t>Ball, BA; Virginia, RA</t>
  </si>
  <si>
    <t>Ball, Becky A.; Virginia, Ross A.</t>
  </si>
  <si>
    <t>Controls on diel soil CO2 flux across moisture gradients in a polar desert</t>
  </si>
  <si>
    <t>ANTARCTIC SCIENCE</t>
  </si>
  <si>
    <t>carbon cycle; McMurdo Dry Valleys; polar soils; soil respiration; water pulse</t>
  </si>
  <si>
    <t>MCMURDO DRY VALLEYS; TAYLOR VALLEY; ORGANIC-MATTER; CLIMATE-CHANGE; SPATIAL SCALES; ICE-SHEET; RESPIRATION; ANTARCTICA; ECOSYSTEMS; GEOCHEMISTRY</t>
  </si>
  <si>
    <t>The McMurdo Dry Valleys of Antarctica are a climate-sensitive ecosystem, where future projected climate warming will increase liquid water availability to release soil biology from physical limitations and alter ecosystem processes. For example, many studies have shown that CO2 flux, an important aspect of the carbon cycle, is controlled by temperature and moisture, which often overwhelm biotic contributions in desert ecosystems. However, these studies used either single-point measurements during peak times of biological activity or diel cycles at individual locations. Here, we present diel cycles of CO2 flux from a range of soil moisture conditions and a variety of locations and habitats to determine how diel cycles of CO2 flux vary across gradients of wet-to-dry soil and whether the water source influences the diel cycle of moist soil. Soil temperature, water content and microbial biomass significantly influenced CO2 flux. Soil temperature explained most of the variation. Soil CO2 flux moderately increased with microbial biomass, demonstrating a sometimes small but significant role of biological fluxes. Our results show that over gradients of soil moisture, both geochemical and biological fluxes contribute to soil CO2 flux, and physical factors must be considered when estimating biological CO2 flux in systems with low microbial biomass.</t>
  </si>
  <si>
    <t>[Ball, Becky A.] Arizona State Univ, Sch Math &amp; Nat Sci, Glendale, AZ 85306 USA; [Virginia, Ross A.] Dartmouth Coll, Environm Studies Program, Hanover, NH 03755 USA</t>
  </si>
  <si>
    <t>Arizona State University; Dartmouth College</t>
  </si>
  <si>
    <t>Ball, BA (corresponding author), Arizona State Univ, Sch Math &amp; Nat Sci, West Campus, Glendale, AZ 85306 USA.</t>
  </si>
  <si>
    <t>becky.ball@asu.edu</t>
  </si>
  <si>
    <t>Ball, Becky A/E-6573-2011</t>
  </si>
  <si>
    <t>Ball, Becky A/0000-0001-8592-1316</t>
  </si>
  <si>
    <t>National Science Foundation Office of Polar Program [ANT-0423595]; Office of Polar Programs (OPP); Directorate For Geosciences [1115245] Funding Source: National Science Foundation</t>
  </si>
  <si>
    <t>National Science Foundation Office of Polar Program(National Science Foundation (NSF)); Office of Polar Programs (OPP); Directorate For Geosciences(National Science Foundation (NSF)NSF - Directorate for Geosciences (GEO))</t>
  </si>
  <si>
    <t>Logistical support was provided by Raytheon Polar Services Corporation and Petroleum Helicopters. This research was supported by National Science Foundation Office of Polar Program grants to the McMurdo Long-Term Ecological Research Program ANT-0423595. We thank the anonymous reviewers for their insightful comments.</t>
  </si>
  <si>
    <t>0954-1020</t>
  </si>
  <si>
    <t>1365-2079</t>
  </si>
  <si>
    <t>ANTARCT SCI</t>
  </si>
  <si>
    <t>Antarct. Sci.</t>
  </si>
  <si>
    <t>10.1017/S0954102015000255</t>
  </si>
  <si>
    <t>DA6HW</t>
  </si>
  <si>
    <t>WOS:000367904800002</t>
  </si>
  <si>
    <t>La Mesa, M; Catalano, B; Jones, CD</t>
  </si>
  <si>
    <t>La Mesa, Mario; Catalano, Barbara; Jones, Christopher D.</t>
  </si>
  <si>
    <t>Early life history traits of Trematomus scotti in the Bransfield Strait</t>
  </si>
  <si>
    <t>age and growth; Antarctic Peninsula; feeding; larvae; nototheniidae</t>
  </si>
  <si>
    <t>ANTARCTIC PENINSULA; CHAMPSOCEPHALUS-GUNNARI; AGE-DETERMINATION; MACKEREL ICEFISH; ADJACENT WATERS; SOUTH-GEORGIA; FISH; REGION; STRATEGIES; GROWTH</t>
  </si>
  <si>
    <t>Early life history traits of the blackfin notothen, Trematomus scotti, were investigated through otolith microincrement pattern and stomach content analyses. Post-larval specimens of 12-20 mm standard length (SL) were collected in the Bransfield Strait and adjacent waters during the 2010-11 summer. Catches were unevenly distributed across the surveyed area, yielding a relative abundance of 0.3-3.6 specimens per 1000 m(3) of filtered sea water. Age estimates ranged from 34 to 67 days, with good consistency and no apparent bias between readings. Based on an exponential model fitted to the age-length dataset, the growth rate was 0.17 mm day(-1), corresponding to a daily percentage increment in size of 1.07% SL. In agreement with previous studies, larval hatching occurred at a mean size of 9.0mm and was spread over a relatively short period, lasting from late December to late January. Prey composition consisted exclusively of copepods, mainly larval stages of copepodites. Feeding intensity ranged from 1-14 prey items per stomach, being positively correlated with larval fish size. In summary, T. scotti shares a common early life history strategy with several other notothenioids, consisting of small larvae hatching in summer and overwintering as pelagic early juveniles until the following summer season.</t>
  </si>
  <si>
    <t>[La Mesa, Mario] Ist Sci Marine, ISMAR CNR, I-60125 Ancona, Italy; [Catalano, Barbara] Ist Super Protez &amp; Ric Ambientale, ISPRA, I-00144 Rome, Italy; [Jones, Christopher D.] NOAA, Natl Marine Fisheries Serv, Southwest Fisheries Sci Ctr, La Jolla, CA 92037 USA</t>
  </si>
  <si>
    <t>Consiglio Nazionale delle Ricerche (CNR); Istituto di Scienze Marine (ISMAR-CNR); Italian Institute for Environmental Protection &amp; Research (ISPRA); National Oceanic Atmospheric Admin (NOAA) - USA</t>
  </si>
  <si>
    <t>La Mesa, M (corresponding author), Ist Sci Marine, ISMAR CNR, I-60125 Ancona, Italy.</t>
  </si>
  <si>
    <t>Catalano, Barbara/GRR-7882-2022</t>
  </si>
  <si>
    <t>PNRA (Italian National Program for Antarctic Research) [2009/A1.07]</t>
  </si>
  <si>
    <t>PNRA (Italian National Program for Antarctic Research)</t>
  </si>
  <si>
    <t>We thank the US AMLR and foreign scientific staff, and the crew members and personnel aboard the RV Moana Wave for their support in sampling activities. We would like to thank Esteban Barrera-Oro and an anonymous reviewer for their helpful advice on the earlier version of the manuscript. This study was carried out within the project 2009/A1.07 funded by the PNRA (Italian National Program for Antarctic Research).</t>
  </si>
  <si>
    <t>10.1017/S0954102015000280</t>
  </si>
  <si>
    <t>WOS:000367904800003</t>
  </si>
  <si>
    <t>Dilley, BJ; Davies, D; Bond, AL; Ryan, PG</t>
  </si>
  <si>
    <t>Dilley, Ben J.; Davies, Delia; Bond, Alexander L.; Ryan, Peter G.</t>
  </si>
  <si>
    <t>Effects of mouse predation on burrowing petrel chicks at Gough Island</t>
  </si>
  <si>
    <t>burrow cameras; introduced mammals; islands; mouse eradication; Mus musculus; video recording</t>
  </si>
  <si>
    <t>BREEDING BIOLOGY; ATLANTIC PETREL; HOUSE MICE; PTERODROMA-INCERTA; HALOBAENA-CAERULEA; ERADICATION; OCCUPANCY; ALBATROSS; SEABIRDS; BIRDS</t>
  </si>
  <si>
    <t>Since 2004 there has been mounting evidence of the severe impact of introduced house mice (Mus musculus L.) killing chicks of burrow-nesting petrels at Gough Island. We monitored seven species of burrow-nesting petrels in 2014 using a combination of infra-red video cameras augmented by burrowscope nest inspections. All seven camera-monitored Atlantic petrel (Pterodroma incerta Schlegel) chicks were killed by mice within hours of hatching (average 7.2 +/- 4.0 hours) with an 87% chick failure rate (n = 83 hatchlings). Several grey petrel (Procellaria cinerea Gmelin) chicks were found with mouse wounds and 60% of chicks failed (n = 35 hatchlings). Video surveillance revealed one (of seven nests filmed) fatal attack on a great shearwater (Puffinus gravis O'Reilly) chick and two (of nine) on softplumaged petrel (Pterodroma mollis Gould) chicks. Mice killed the chicks of the recently discovered summer-breeding MacGillivray's prion (Pachyptila macgillivrayi Mathews), with a chick mortality rate of 82% in 2013/14 and 100% in 2014/15. The closely-related broad-billed prion (P. vittata Forster) breeds in late winter and also had a chick mortality rate of 100% in 2014. The results provide further evidence of the dire situation for seabirds nesting on Gough Island and the urgent need for mouse eradication.</t>
  </si>
  <si>
    <t>[Dilley, Ben J.; Davies, Delia; Ryan, Peter G.] Univ Cape Town, DST NRF Ctr Excellence, Percy Fitzpatrick Inst African Ornithol, ZA-7701 Rondebosch, South Africa; [Bond, Alexander L.] Royal Soc Protect Birds, RSPB Ctr Conservat Sci, Sandy SG19 2DL, Beds, England</t>
  </si>
  <si>
    <t>National Research Foundation - South Africa; University of Cape Town; Royal Society for Protection of Birds</t>
  </si>
  <si>
    <t>Dilley, BJ (corresponding author), Univ Cape Town, DST NRF Ctr Excellence, Percy Fitzpatrick Inst African Ornithol, ZA-7701 Rondebosch, South Africa.</t>
  </si>
  <si>
    <t>dilleyben@gmail.com</t>
  </si>
  <si>
    <t>South African Department of Environmental Affairs, through the South African National Antarctic Programme; National Research Foundation; University of Cape Town; Royal Society for the Protection of Birds (RSPB); UK Foreign and Commonwealth Office; UK Government's Overseas Territories Environment Programme; RSPB; Agreement on the Conservation of Albatrosses and Petrels</t>
  </si>
  <si>
    <t>We thank the fieldworkers on Gough Island for their monitoring efforts, in particular R. Wanless, R. Cuthbert, C. Jones, M. Risi and W. Kuntz. J. Bradley found the diving petrel nest and R. Meyer helped to develop the system of burrow cameras and LED lighting. Permission to undertake the work on Gough Island was obtained from the Tristan Conservation Department. Logistical and financial support was provided by the South African Department of Environmental Affairs, through the South African National Antarctic Programme, the National Research Foundation, the University of Cape Town and the Royal Society for the Protection of Birds (RSPB). Long-term monitoring on Gough Island was established with a grant from the UK Foreign and Commonwealth Office with further support over the years from the UK Government's Overseas Territories Environment Programme, the RSPB, and the Agreement on the Conservation of Albatrosses and Petrels. We thank two anonymous reviewers for their useful comments which improved previous drafts.</t>
  </si>
  <si>
    <t>10.1017/S0954102015000279</t>
  </si>
  <si>
    <t>WOS:000367904800004</t>
  </si>
  <si>
    <t>Petersen, ED; Valls, FCL; Aver, GF; Petry, MV</t>
  </si>
  <si>
    <t>Petersen, Elisa De Souza; Leal Valls, Fernanda Caminha; Aver, Gustavo Francisco; Petry, Maria Virginia</t>
  </si>
  <si>
    <t>Unusual breeding site for kelp gulls on Deception Island, Antarctica</t>
  </si>
  <si>
    <t>LARUS-DOMINICANUS</t>
  </si>
  <si>
    <t>[Petersen, Elisa De Souza; Leal Valls, Fernanda Caminha; Aver, Gustavo Francisco; Petry, Maria Virginia] INCT APA Inst Nacl Ciencia Tecnol Antartico Pesqu, BR-05508120 Sao Paulo, SP, Brazil; [Petersen, Elisa De Souza] Univ Sao Paulo, Lab Quim Inorgan Marinha, BR-05508120 Sao Paulo, SP, Brazil; [Leal Valls, Fernanda Caminha; Aver, Gustavo Francisco; Petry, Maria Virginia] Univ Vale Rio dos Sinos, Lab Ornitol &amp; Anim Marinhos, BR-93022000 Sao Leopoldo, RS, Brazil</t>
  </si>
  <si>
    <t>Universidade de Sao Paulo; Universidade do Vale do Rio dos Sinos (Unisinos)</t>
  </si>
  <si>
    <t>Petersen, ED (corresponding author), INCT APA Inst Nacl Ciencia Tecnol Antartico Pesqu, Praca Oceanog 191, BR-05508120 Sao Paulo, SP, Brazil.</t>
  </si>
  <si>
    <t>elisapetersen@yahoo.com.br</t>
  </si>
  <si>
    <t>Petry, Maria Virginia/AAG-5333-2021; petry, maria/K-8410-2013</t>
  </si>
  <si>
    <t>petry, maria/0000-0002-7870-7394</t>
  </si>
  <si>
    <t>National Institute of Science and Technology Antarctic Environmental Research (INCT-APA); National Council for Research and Development (CNPq) [574018/2008-5]; Carlos Chagas Research Support Foundation of the State of Rio de Janeiro (FAPERJ) [E-16/170.023/2008]; Brazilian Ministries of Science, Technology and Innovation (MCTI); Environment (MMA); Inter-Ministry Commission for Sea Resources (CIRM)</t>
  </si>
  <si>
    <t>National Institute of Science and Technology Antarctic Environmental Research (INCT-APA); 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Brazilian Ministries of Science, Technology and Innovation (MCTI); Environment (MMA); Inter-Ministry Commission for Sea Resources (CIRM)</t>
  </si>
  <si>
    <t>The project received funding from the National Institute of Science and Technology Antarctic Environmental Research (INCT-APA) that receives scientific and financial support from the National Council for Research and Development (CNPq process: no 574018/2008-5) and Carlos Chagas Research Support Foundation of the State of Rio de Janeiro (FAPERJ no E-16/170.023/2008). The authors also acknowledge the support of the Brazilian Ministries of Science, Technology and Innovation (MCTI), Environment (MMA), and Inter-Ministry Commission for Sea Resources (CIRM).</t>
  </si>
  <si>
    <t>10.1017/S0954102015000267</t>
  </si>
  <si>
    <t>WOS:000367904800005</t>
  </si>
  <si>
    <t>Padrón, E; Hernández, PA; Carmona, E; Pérez, NM; Melián, G; Sumino, H; Almendros, J; Kusakabe, M; Wakita, H; Padilla, GD</t>
  </si>
  <si>
    <t>Padron, Eleazar; Hernandez, Pedro A.; Carmona, Enrique; Perez, Nemesio M.; Melian, Gladys; Sumino, Hirochika; Almendros, Javier; Kusakabe, Minoru; Wakita, Hiroshi; Padilla, German D.</t>
  </si>
  <si>
    <t>Geochemical evidence of different sources of long-period seismic events at Deception volcano, South Shetland Islands, Antarctica</t>
  </si>
  <si>
    <t>CO2; Deception Island; diffuse emission; seismic array; volcanic activity</t>
  </si>
  <si>
    <t>NOBLE-GAS; EMISSIONS</t>
  </si>
  <si>
    <t>This is the first detailed analysis of a CO2 diffuse degassing time series from Deception volcano, South Shetland Islands, Antarctica, performed during an episode of anomalously high long-period (LP) seismicity. Diffuse CO2 emissions measured by an automatic geochemical station between 7 December 2009 and 13 February 2010 showed an excellent temporal agreement with the LP seismicity in December 2009. The absence of such a temporal correlation with the second burst of seismicity that occurred in late January 2010 suggests a different source for this LP activity. This was confirmed by analysis of seismic array data. The LP seismicity observed during December 2009 was caused by fluid-driven cracks that originated from pressure fluctuations in the volcano-hydrothermal systems beneath Deception volcano that were probably caused by a deep injection of undegassed magma before December 2009. The diffuse CO2 degassing data have provided evidence of the activation of at least two different sources of seismicity during the study period at Deception volcano.</t>
  </si>
  <si>
    <t>[Padron, Eleazar; Hernandez, Pedro A.; Perez, Nemesio M.; Melian, Gladys; Padilla, German D.] Inst Tecnol &amp; Energias Renovables, Div Environm Res, 38611 Granadilla Abona, Santa Cruz De Tenerife, Canary Isl, Spain; [Padron, Eleazar; Hernandez, Pedro A.; Perez, Nemesio M.; Melian, Gladys; Padilla, German D.] Inst Volcanol Canarias INVOLCAN, Tenerife, Canary Isl, Spain; [Carmona, Enrique; Almendros, Javier] Univ Granada, Inst Andaluz Geofis, E-18071 Granada, Spain; [Carmona, Enrique] Univ Almeria, Dept Quim &amp; Fis, Almeria 04120, Spain; [Sumino, Hirochika; Wakita, Hiroshi] Univ Tokyo, Grad Sch Sci, Geochem Res Ctr, Bunkyo Ku, Tokyo 1130033, Japan; [Kusakabe, Minoru] Toyama Univ, Dept Environm Biol &amp; Chem, Toyama 9308555, Japan</t>
  </si>
  <si>
    <t>University of Granada; Universidad de Almeria; University of Tokyo; University of Toyama</t>
  </si>
  <si>
    <t>Padrón, E (corresponding author), Inst Tecnol &amp; Energias Renovables, Div Environm Res, 38611 Granadilla Abona, Santa Cruz De Tenerife, Canary Isl, Spain.</t>
  </si>
  <si>
    <t>eleazar@iter.es</t>
  </si>
  <si>
    <t>Hernández, Germán Domingo Padilla/AAB-8166-2019; Sumino, Hirochika/G-4912-2014; Almendros, Javier/M-2468-2014; Kusakabe, Minoru/Q-3258-2019; HERNANDEZ, PEDRO A/H-8079-2015; Sumino, Hirochika/AAH-2640-2019; Melián, Gladys/H-7196-2015; Padron, Eleazar/L-5506-2013; Perez Rodriguez, Nemesio M./H-9295-2015</t>
  </si>
  <si>
    <t>Hernández, Germán Domingo Padilla/0000-0002-4524-3829; Almendros, Javier/0000-0001-5936-6160; HERNANDEZ, PEDRO A/0000-0003-4707-515X; Padron, Eleazar/0000-0003-3907-5766; Perez Rodriguez, Nemesio M./0000-0003-1410-7717; Sumino, Hirochika/0000-0002-4689-6231</t>
  </si>
  <si>
    <t>[CGL2007-29839-E]; Grants-in-Aid for Scientific Research [26610179] Funding Source: KAKEN</t>
  </si>
  <si>
    <t>; Grants-in-Aid for Scientific Research(Ministry of Education, Culture, Sports, Science and Technology, Japan (MEXT)Japan Society for the Promotion of ScienceGrants-in-Aid for Scientific Research (KAKENHI))</t>
  </si>
  <si>
    <t>This research was financially supported by CGL2007-29839-E complementary action from the Spanish National R&amp;D&amp;i Plan 2008-11 of the Spanish Government and Cabildo Insular de Tenerife. We are grateful to the personnel of the Spanish Army in charge of the Spanish Antarctic base Gabriel de Castilla, specially to Cdr Jose Gonzalvez, the crew of the RV BIO La Palmas, from the Spanish navy, and Unidad de Tecnologia Marina (UTM-CSIC) for their assistance. We are also grateful to Dr Daniel Stich for providing the seismic counting in the first stage of the paper and Laboratorio de Astronomia, Geodesia y Cartografia of University of Cadiz for the orthophotomap of Deception volcano. We thank two anonymous reviewers for their constructive comments.</t>
  </si>
  <si>
    <t>10.1017/S0954102015000346</t>
  </si>
  <si>
    <t>WOS:000367904800006</t>
  </si>
  <si>
    <t>O'Brien, PE; Smith, J; Stark, JS; Johnstone, G; Riddle, M; Franklin, D</t>
  </si>
  <si>
    <t>O'Brien, Philip E.; Smith, Jodie; Stark, Jonathan S.; Johnstone, Glenn; Riddle, Martin; Franklin, Dennis</t>
  </si>
  <si>
    <t>Submarine geomorphology and sea floor processes along the coast of Vestfold Hills, East Antarctica, from multibeam bathymetry and video data</t>
  </si>
  <si>
    <t>marine processes; marine sediments; sea bed geomorphology; sea bed video; swath bathymetry</t>
  </si>
  <si>
    <t>RIPPLED SCOUR DEPRESSIONS; PRYDZ BAY; MARINE PLAIN; SEDIMENTS; EVOLUTION; HISTORY; ORIGIN; WATERS; REGION; SHELF</t>
  </si>
  <si>
    <t>A survey of nearshore areas in the Vestfold Hills, Antarctica, using high-resolution multibeam swath bathymetry provided both a detailed digital bathymetric model and information on sediment acoustic backscatter. Combined with underwater video transects and sediment sampling, these data were used to identify and map geomorphic units. Six geomorphic units identified in the survey region include: rocky outcrops, basins, pediments, valleys, scarps and embayments. In addition to geomorphic units, the data revealed sedimentary features that provide insights into post-glacial sediment transport and erosion in the area. Ice keel pits and scours are common, and sea floor channels, scour depressions and sand ribbons indicate transport and deposition by wind-driven currents and oceanographic circulation. Gullies and sediment lobes observed on steep slopes indicate mass movement of sediment. Some of these processes have not been directly observed to date, but their effectiveness in shaping the modern sea floor is clearly indicated by the sea floor mapping data. The embayments preserve a mantle of boulder sand probably deposited by cold-based glaciers which were flanked by faster-flowing ice in adjoining regions.</t>
  </si>
  <si>
    <t>[O'Brien, Philip E.] Macquarie Univ, Dept Geog &amp; Environm, Barton, ACT 2600, Australia; [Smith, Jodie] Geosci Australia, Canberra, ACT 2601, Australia; [Stark, Jonathan S.; Johnstone, Glenn; Riddle, Martin] Australian Antarctic Div, Kingston, Tas 7050, Australia; [Franklin, Dennis] Indago Partners, Melbourne, Vic, Australia</t>
  </si>
  <si>
    <t>Macquarie University; Geoscience Australia; Australian Antarctic Division; Melbourne Genomics Health Alliance</t>
  </si>
  <si>
    <t>O'Brien, PE (corresponding author), Macquarie Univ, Dept Geog &amp; Environm, 31-5 Burbury Close, Barton, ACT 2600, Australia.</t>
  </si>
  <si>
    <t>phil.obrien.ant@gmail.com</t>
  </si>
  <si>
    <t>Smith, Jodie/H-5815-2019; Stark, Jonathan/ABF-4025-2020</t>
  </si>
  <si>
    <t>Smith, Jodie/0000-0002-4706-4269; Stark, Jonathan/0000-0002-4268-8072; Johnstone, Glenn/0000-0002-9302-4794; , Tushar/0000-0002-8527-8719; O'Brien, Philip/0000-0003-3446-3292</t>
  </si>
  <si>
    <t>Australian Antarctic Science (AAS) Project [2201]; Australian Antarctic Division non-science Project [3259]</t>
  </si>
  <si>
    <t>Australian Antarctic Science (AAS) Project; Australian Antarctic Division non-science Project</t>
  </si>
  <si>
    <t>We thank Ian Atkinson (GA), Ross Bowden, Dean Forrest, Jade Paddison and Steven Swanson (RAN) for survey assistance, Michele Spinoccia, Olivia Wilson and Dr Justy Siwabessy (GA) for processing the multibeam data, and Dr Alix Post (GA) for assisting with interpretation and analysis of the underwater video data. This research was part of Australian Antarctic Science (AAS) Project 2201 - Natural Variability and Human Induced Change on Antarctic Nearshore Marine Benthic Communities (CI: Martin Riddle). The bathymetry data collection was part of Australian Antarctic Division non-science Project 3259 - Hydrographic Charting of Antarctic Waters. Dr Scott Nichol, Dr Kim Picard, Prof Mike Hambrey and an anonymous reviewer are thanked for their review of this manuscript. This paper is published with the permission of the Chief Executive Officer, Geoscience Australia.</t>
  </si>
  <si>
    <t>10.1017/S0954102015000371</t>
  </si>
  <si>
    <t>WOS:000367904800007</t>
  </si>
  <si>
    <t>Banwell, AF; Macayeal, DR</t>
  </si>
  <si>
    <t>Banwell, Alison F.; Macayeal, Douglas R.</t>
  </si>
  <si>
    <t>Ice-shelf fracture due to viscoelastic flexure stress induced by fill/drain cycles of supraglacial lakes</t>
  </si>
  <si>
    <t>Antarctica; hydrofracture; ice-shelf instability; melt ponds; viscoelasticity</t>
  </si>
  <si>
    <t>ANTARCTIC PENINSULA; BREAK-UP; CLIMATE</t>
  </si>
  <si>
    <t>Using a previously derived treatment of viscoelastic flexure of floating ice shelves, we simulated multiple years of evolution of a single, axisymmetric supraglacial lake when it is subjected to annual fill/drain cycles. Our viscoelastic treatment follows the assumptions of the well-known thin-beam and thin-plate analysis but, crucially, also covers power-law creep rheology. As the ice-shelf surface does not completely return to its un-flexed position after a 1-year fill/drain cycle, the lake basin deepens with each successive cycle. This deepening process is significantly amplified when lake-bottom ablation is taken into account. We evaluate the timescale over which a typical lake reaches a sufficient depth such that ice-shelf fracture can occur well beyond the lake itself in response to lake filling/drainage. We show that, although this is unlikely during one fill/drain cycle, fracture is possible after multiple years assuming surface meltwater availability is unlimited. This extended zone of potential fracture implies that flexural stresses in response to a single lake filling/drainage event can cause neighbouring lakes to drain, which, in turn, can cause lakes farther afield to drain. Such self-stimulating behaviour may have accounted for the sudden, widespread appearance of a fracture system that drove the Larsen B Ice Shelf to break-up in 2002.</t>
  </si>
  <si>
    <t>[Banwell, Alison F.] Univ Cambridge, Scott Polar Res Inst, Cambridge CB2 1ER, England; [Macayeal, Douglas R.] Univ Chicago, Dept Geophys Sci, Chicago, IL 60637 USA</t>
  </si>
  <si>
    <t>University of Cambridge; University of Chicago</t>
  </si>
  <si>
    <t>Banwell, AF (corresponding author), Univ Cambridge, Scott Polar Res Inst, Cambridge CB2 1ER, England.</t>
  </si>
  <si>
    <t>afb39@cam.ac.uk</t>
  </si>
  <si>
    <t>Banwell, Alison/W-8180-2018</t>
  </si>
  <si>
    <t>Banwell, Alison/0000-0001-9545-829X</t>
  </si>
  <si>
    <t>St Catharine's College, Cambridge; Antarctic Science International Bursary from Antarctic Science Ltd</t>
  </si>
  <si>
    <t>The authors would like to thank Sebastian Rosier and Hilmar Gudmundsson for help implementing a full-Stokes version of the ice-shelf flexure model with viscoelastic rheology used to check results of the simpler model presented here. Alison Banwell acknowledges the support of an Antarctic Science International Bursary from Antarctic Science Ltd and a Bowring Junior Research Fellowship from St Catharine's College, Cambridge. We thank Olga Sergienko for valuable modelling assistance and discussions throughout the research. We are grateful to the Editor, Laurie Padman, and to two anonymous reviewers for their valuable comments that helped to improve our initial manuscript.</t>
  </si>
  <si>
    <t>10.1017/S0954102015000292</t>
  </si>
  <si>
    <t>WOS:000367904800008</t>
  </si>
  <si>
    <t>Ricaud, P; Grigioni, P; Zbinden, R; Attié, JL; Genoni, L; Galeandro, A; Moggio, L; Montaguti, S; Petenko, I; Legovini, P</t>
  </si>
  <si>
    <t>Ricaud, P.; Grigioni, P.; Zbinden, R.; Attie, J. -L.; Genoni, L.; Galeandro, A.; Moggio, L.; Montaguti, S.; Petenko, I.; Legovini, P.</t>
  </si>
  <si>
    <t>Review of tropospheric temperature, absolute humidity and integrated water vapour from the HAMSTRAD radiometer installed at Dome C, Antarctica, 2009-14</t>
  </si>
  <si>
    <t>ground-based microwave radiometer; polar atmosphere; radiosonde; statistical analyses; troposphere</t>
  </si>
  <si>
    <t>CONCORDIA STATION; RADIOSOUNDINGS; TRENDS</t>
  </si>
  <si>
    <t>The HAMSTRAD (H2O Antarctica Microwave Stratospheric and Tropospheric Radiometers) instrument is a microwave radiometer installed at Dome C (Antarctica, 75 degrees 06'S, 123 degrees 21'E, 3233 m a.m.s.l.) dedicated to the troposphericmeasurements of temperature, absolute humidity and integrated water vapour (IWV). The aim of the present paper is to review the entire HAMSTRAD dataset from 2009 to 2014 with a 7-minute integration time from 0 to 10 km by comparison with coincident radiosondes launched at 12h00 UTC at Dome C. Based upon an extensive evaluation of biases and time correlation coefficients (r), we can state: i) IWV is of excellent quality (r &gt; 0.98) and can be used without retrieving significant bias, ii) temperature is suitable for scientific analyses over 0-10 km with a high time correlation with radiosondes (r &gt; 0.80) and iii) absolute humidity is suitable for scientific analyses over 0-4 km with a moderate time correlation against radiosondes (r &gt; 0.70). The vertical distribution of temperature (0-10 km) and absolute humidity (0-4 km) is subject to biases that need to be removed if the analyses require the use of vertical profiling. The HAMSTRAD dataset is provided in open access to the scientific community.</t>
  </si>
  <si>
    <t>[Ricaud, P.; Zbinden, R.; Attie, J. -L.] Meteo France Ctr Natl Rech Sci, Toulouse, France; [Grigioni, P.] ENEA, Rome, Italy; [Attie, J. -L.] Lab Aerol, Toulouse, France; [Genoni, L.] Univ Trieste, Trieste, Italy; [Galeandro, A.] Politecn Bari, Bari, Italy; [Moggio, L.; Montaguti, S.] Inst Atmospher Sci &amp; Climate, Bologna, Italy; [Petenko, I.; Legovini, P.] Inst Atmospher Sci &amp; Climate, Rome, Italy; [Petenko, I.] Obukhov Inst Atmospher Phys, Moscow, Russia</t>
  </si>
  <si>
    <t>Meteo France; Italian National Agency New Technical Energy &amp; Sustainable Economics Development; Universite de Toulouse; Universite Toulouse III - Paul Sabatier; Centre National de la Recherche Scientifique (CNRS); University of Trieste; Politecnico di Bari; Consiglio Nazionale delle Ricerche (CNR); Istituto di Scienze dell'Atmosfera e del Clima (ISAC-CNR); Russian Academy of Sciences; Obukhov Institute of Atmospheric Physics of Russian Academy of Sciences</t>
  </si>
  <si>
    <t>Ricaud, P (corresponding author), Meteo France Ctr Natl Rech Sci, Toulouse, France.</t>
  </si>
  <si>
    <t>philippe.ricaud@meteo.fr</t>
  </si>
  <si>
    <t>Grigioni, paolo/AAH-5193-2020; Ricaud, Philippe/AAC-2991-2020</t>
  </si>
  <si>
    <t>PETENKO, IGOR/0000-0002-8475-5018</t>
  </si>
  <si>
    <t>Institut National des Sciences de l'Univers (INSU)/Centre National de la Recherche Scientifique (CNRS); Institut polaire francais Paul-Emile Victor (IPEV), Meteo-France; Centre National d'Etudes Spatiales (CNES)</t>
  </si>
  <si>
    <t>Institut National des Sciences de l'Univers (INSU)/Centre National de la Recherche Scientifique (CNRS); Institut polaire francais Paul-Emile Victor (IPEV), Meteo-France; Centre National d'Etudes Spatiales (CNES)(Centre National D'etudes Spatiales)</t>
  </si>
  <si>
    <t>The HAMSTRAD programme is funded by the Institut National des Sciences de l'Univers (INSU)/Centre National de la Recherche Scientifique (CNRS), the Institut polaire francais Paul-Emile Victor (IPEV), Meteo-France and the Centre National d'Etudes Spatiales (CNES). The permanently manned Concordia Station is jointly operated by IPEV and the Italian Programma Nazionale Ricerche in Antartide (PNRA). We would like to thank all the overwinter personnel who have worked at Dome C since 2009 on the two projects: HAMSTRAD and radiosondes. Finally, the two anonymous reviewers are acknowledged for their fruitful comments.</t>
  </si>
  <si>
    <t>10.1017/S0954102015000334</t>
  </si>
  <si>
    <t>WOS:000367904800009</t>
  </si>
  <si>
    <t>Zuev, VV; Zueva, NE; Savelieva, ES; Gerasimov, VV</t>
  </si>
  <si>
    <t>Zuev, V. V.; Zueva, N. E.; Savelieva, E. S.; Gerasimov, V. V.</t>
  </si>
  <si>
    <t>The Antarctic ozone depletion caused by Erebus volcano gas emissions</t>
  </si>
  <si>
    <t>Springtime ozone depletion; Erebus volcano; Polar vortex; High-latitude cyclones; Hydrogen chloride; Sulfur dioxide</t>
  </si>
  <si>
    <t>IN-SITU MEASUREMENTS; ULTRAVIOLET-RADIATION; STRATOSPHERIC OZONE; HOLE SPLIT; VARIABILITY; DYNAMICS</t>
  </si>
  <si>
    <t>Heterogeneous chemical reactions releasing photochemically active molecular chlorine play a key role in Antarctic stratospheric ozone destruction, resulting in the Antarctic ozone hole. Hydrogen chloride (HCl) is one of the principal components in these reactions on the surfaces of polar stratospheric clouds (PSCs). PSCs form during polar nights at extremely low temperatures (lower than -78 degrees C) mainly on sulfuric acid (H2SO4) aerosols, acting as condensation nuclei and formed from sulfur dioxide (SO2). However, the cause of HCl and H2SO4 high concentrations in the Antarctic stratosphere, leading to considerable springtime ozone depletion, is still not clear. Based on the NCEP/NCAR reanalysis data over the last 35 years and by using the NOAA HYSPLIT trajectory model, we show that Erebus volcano gas emissions (including HCl and SO2) can reach the Antarctic stratosphere via high-latitude cyclones with the annual average probability (P) over bar (ann). of at least similar to 0.235 (23.5%). Depending on Erebus activity, this corresponds to additional annual stratospheric HCl mass of 1.0-14.3 kilotons (kt) and SO2 mass of 1.4-19.7 kt. Thus, Erebus volcano is the natural and powerful source of additional stratospheric HCl and SO2, and hence, the cause of the Antarctic ozone depletion, together with man-made chlorofluorocarbons. (C) 2015 The Authors. Published by Elsevier Ltd.</t>
  </si>
  <si>
    <t>[Zuev, V. V.; Zueva, N. E.; Savelieva, E. S.; Gerasimov, V. V.] Russian Acad Sci, Siberian Branch, Inst Monitoring Climat &amp; Ecol Syst, Tomsk 634055, Russia; [Zuev, V. V.; Gerasimov, V. V.] Natl Res Tomsk State Univ, Tomsk 634050, Russia; [Zuev, V. V.] Natl Res Tomsk Polytech Univ, Tomsk 634050, Russia</t>
  </si>
  <si>
    <t>Russian Academy of Sciences; Institute of Monitoring of Climatic &amp; Ecological Systems of the Siberian Branch of the RAS; Tomsk State University; Tomsk Polytechnic University</t>
  </si>
  <si>
    <t>Savelieva, ES (corresponding author), Russian Acad Sci, Siberian Branch, Inst Monitoring Climat &amp; Ecol Syst, 10-3 Acad Ave, Tomsk 634055, Russia.</t>
  </si>
  <si>
    <t>vvzuev@imces.ru; vzuev@list.ru; ekat.savelieva@gmail.com; gvvsnake@mail.ru</t>
  </si>
  <si>
    <t>Savelieva, Ekaterina/HCH-5908-2022; Gerasimov, Vladislav V./O-6696-2014; Savelieva, Ekaterina S/E-4782-2014; Zuev, Vladimir/E-5470-2014; Zueva, Nina/E-6621-2014</t>
  </si>
  <si>
    <t>Savelieva, Ekaterina S/0000-0002-6560-7386; Zuev, Vladimir/0000-0002-2351-8924; Zueva, Nina/0000-0002-4920-9126</t>
  </si>
  <si>
    <t>10.1016/j.atmosenv.2015.10.005</t>
  </si>
  <si>
    <t>CZ9JJ</t>
  </si>
  <si>
    <t>WOS:000367413600040</t>
  </si>
  <si>
    <t>Ali, K; Trivedi, DK; Sahu, S</t>
  </si>
  <si>
    <t>Ali, Kaushar; Trivedi, D. K.; Sahu, Saroj</t>
  </si>
  <si>
    <t>Physico-chemical characterization of total suspended particulate matter over two coastal stations of Antarctica and adjoining ocean</t>
  </si>
  <si>
    <t>TSPM; Antarctica; pH value; Chemical ions; Acidity</t>
  </si>
  <si>
    <t>SEA-SALT PARTICLES; SIZE DISTRIBUTION; SYOWA STATION; ATMOSPHERIC DIMETHYLSULFIDE; AEROSOL MEASUREMENTS; PHYSICAL-PROPERTIES; SEASONAL-VARIATIONS; SULFATE AEROSOLS; BOUNDARY-LAYER; SULFURIC-ACID</t>
  </si>
  <si>
    <t>Physical and chemical characteristics of the total suspended particulate matter (TSPM) measured during 11 January-21 March, 2009 and 09 December 2009-09 January, 2010 over two stations of Antarctica (Larsemann Hills and Maitri) and adjoining ocean are investigated. It is found that the concentration of TSPM is low over all the observational locations. Day-to-day variation in the concentration of TSPM is mainly controlled by variation in the weather systems and associated meteorological parameters. Average concentration of TSPM over Larsemann Hills is 7.6 mu g/m(3) during Jan Mar 2009 and 2.4 mu g/m(3) during Dec. 2009 Jan 2010. It is 9.0 mu g/m(3) over Maitri during Jan Mar 2009. On excluding the TSPM data of the disturbed weather days during Jan Mar 2009, the concentration of TSPM is found to be 4.2 mu g/m(3) over Larsemann Hills and 4.3 mu g/m(3) over Maitri. The TSPM at all the observational locations is acidic in nature with a maximum pH value of 5.56 at Larsemann Hills. The pH value of TSPM over Maitri is found to be 5.28. The acidic nature of TSPM indicates the absence of sufficient neutralizing alkaline minerals. Among the measured chemical anions Cl- dominates at all the locations except at Maitri where SO42- ion shows maximum concentration. The dominant cation is Na+ at all the observational stations. Sizeable fraction of SO42- is found at all the observational locations. Abundance of SO42- in the atmosphere of Antarctica and its surrounding region is mainly due to emission of dimethylsulfide (DMS) phytoplankton and its oxidation finally to SO42- particles by gas-to-particle conversion. The highest concentration of SO42- over Maitri is attributed to the contribution from anthropogenic activity at Maitri, in addition to the biogenic SO42-center dot NH4+ plays dominant role in neutralizing the acidic components of the aerosols. (C) 2015 Elsevier Ltd. All rights reserved.</t>
  </si>
  <si>
    <t>[Ali, Kaushar; Trivedi, D. K.; Sahu, Saroj] Indian Inst Trop Meteorol, Pune 411008, Maharashtra, India</t>
  </si>
  <si>
    <t>Ministry of Earth Sciences (MoES) - India; Indian Institute of Tropical Meteorology (IITM)</t>
  </si>
  <si>
    <t>Ali, K (corresponding author), Indian Inst Trop Meteorol, Dr Homi Bhabha Rd,NCL Post Off, Pune 411008, Maharashtra, India.</t>
  </si>
  <si>
    <t>kaushar@tropmet.res.in</t>
  </si>
  <si>
    <t>Sahu, Saroj Kumar/AAI-3720-2020; Sahu, Saroj Kumar/AAB-9659-2022</t>
  </si>
  <si>
    <t>Sahu, Saroj Kumar/0000-0002-5365-795X; Sahu, Saroj Kumar/0000-0002-5365-795X</t>
  </si>
  <si>
    <t>National Centre for Antarctic and Ocean Research (NCAOR); Ministry of Earth Sciences (MoES)</t>
  </si>
  <si>
    <t>The authors are grateful to the Director, IITM, Pune, and Dr. G. Beig, Scientist F, IITM, Pune for their support and encouragement given to undertake this work. Thanks are also due to the National Centre for Antarctic and Ocean Research (NCAOR) and Ministry of Earth Sciences (MoES) for the financial support towards participation in the 29th Indian Antarctic Expedition.</t>
  </si>
  <si>
    <t>10.1016/j.atmosenv.2015.10.021</t>
  </si>
  <si>
    <t>WOS:000367413600055</t>
  </si>
  <si>
    <t>Zecchin, M; Catuneanu, O; Rebesco, M</t>
  </si>
  <si>
    <t>Zecchin, Massimo; Catuneanu, Octavian; Rebesco, Michele</t>
  </si>
  <si>
    <t>High-resolution sequence stratigraphy of clastic shelves IV: High-latitude settings</t>
  </si>
  <si>
    <t>MARINE AND PETROLEUM GEOLOGY</t>
  </si>
  <si>
    <t>High-resolution sequence stratigraphy; Clastic shelves; High-latitude shelves; High-latitude sequence stratigraphic model</t>
  </si>
  <si>
    <t>ANTARCTIC ICE-SHEET; TROUGH-MOUTH FANS; ORBITALLY-INDUCED OSCILLATIONS; CARBONIFEROUS-PERMIAN GLACIATION; OLIGOCENE BATHYMETRIC CHANGES; WESTERN ROSS SEA; BARENTS SEA; CONTINENTAL-MARGIN; KAROO BASIN; LEVEL</t>
  </si>
  <si>
    <t>High-frequency clastic shelf sequences deposited in high-latitude settings display marked differences, in term of facies and stratigraphic architecture, with respect to their lower latitude counterparts. This is due to the presence of ice which (1) leads to the accumulation of glacigenic and glacimarine deposits; (2) provides an additional control on accommodation; and (3) determines the position of the shoreline. Transgressions and regressions in glaciated settings are controlled respectively by the retreat and advance of the 'ice' shoreline (i.e., the water/ice contact) irrespective of relative sea-level changes; once the ice retreats across the land, the traditional 'land' shoreline is exposed and the control on sequence architecture is exerted by the interplay between relative sea-level changes and sediment supply as in low- and middle-latitude settings. A general model that includes both glacial and non-glacial climatic regimes is provided by this paper. In this frame, the classic sequence stratigraphic model represents one (ice-free) end member, which is opposed to an ice-permanent end member. Between these end members, sequences may accumulate in part under ice-free conditions and in part under conditions dominated by ice on the shelf. The main implication of this is that the classic sequence stratigraphic model may be viewed as only a possible scenario in the stratigraphic record rather than the rule. (C) 2015 Elsevier Ltd. All rights reserved.</t>
  </si>
  <si>
    <t>[Zecchin, Massimo; Rebesco, Michele] OGS Ist Nazl Oceanog &amp; Geofis Sperimentale, I-34010 Sgonico, TS, Italy; [Catuneanu, Octavian] Univ Alberta, Dept Earth &amp; Atmospher Sci, Edmonton, AB T6G 2E3, Canada</t>
  </si>
  <si>
    <t>Istituto Nazionale di Oceanografia e di Geofisica Sperimentale; University of Alberta</t>
  </si>
  <si>
    <t>Zecchin, M (corresponding author), OGS Ist Nazl Oceanog &amp; Geofis Sperimentale, I-34010 Sgonico, TS, Italy.</t>
  </si>
  <si>
    <t>mzecchin@ogs.trieste.it</t>
  </si>
  <si>
    <t>Rebesco, Michele/B-7462-2014; Zecchin, Massimo/J-3155-2015</t>
  </si>
  <si>
    <t>Rebesco, Michele/0000-0002-9492-4081; Zecchin, Massimo/0000-0003-2912-8457</t>
  </si>
  <si>
    <t>Italian ARCA Project (ARctic: present Climatic change and pAst extreme events) [F82I12000630001]</t>
  </si>
  <si>
    <t>Italian ARCA Project (ARctic: present Climatic change and pAst extreme events)</t>
  </si>
  <si>
    <t>This work was supported by the Italian ARCA Project (ARctic: present Climatic change and pAst extreme events) (F82I12000630001). We thank Christopher R. Fielding and Pat G. Eriksson for helpful and constructive comments during the review process.</t>
  </si>
  <si>
    <t>0264-8172</t>
  </si>
  <si>
    <t>1873-4073</t>
  </si>
  <si>
    <t>MAR PETROL GEOL</t>
  </si>
  <si>
    <t>Mar. Pet. Geol.</t>
  </si>
  <si>
    <t>10.1016/j.marpetgeo.2015.09.004</t>
  </si>
  <si>
    <t>DA4GE</t>
  </si>
  <si>
    <t>WOS:000367757300026</t>
  </si>
  <si>
    <t>Giacomelli, S; Buonocore, F; Albanese, F; Scapigliati, G; Gerdol, M; Oreste, U; Coscia, MR</t>
  </si>
  <si>
    <t>Giacomelli, Stefano; Buonocore, Francesco; Albanese, Fabio; Scapigliati, Giuseppe; Gerdol, Marco; Oreste, Umberto; Coscia, Maria Rosaria</t>
  </si>
  <si>
    <t>New insights into evolution of IgT genes coming from Antarctic teleosts</t>
  </si>
  <si>
    <t>MARINE GENOMICS</t>
  </si>
  <si>
    <t>Teleost IgT; Antarctic fish; Immunoglobulin heavy chain constant domains; Exon loss; Genome evolution</t>
  </si>
  <si>
    <t>IMMUNOGLOBULIN HEAVY-CHAIN; EXPRESSION; ZEBRAFISH; DIVERSITY; SEQUENCE; LOCUS; COLD; IDENTIFICATION; TRANSCRIPTOME; DUPLICATIONS</t>
  </si>
  <si>
    <t>Cloning and characterization of IgT heavy chain genes were performed in the Antarctic Notothenioid teleost Trematomus bernacchii and in a non-Antarctic Notothenioid species, Bovichtus diacanthus, belonging to a phyletically basal lineage of Notothenioids. Compared to IgT from other non-Antarctic teleost species, including B. diacanthus, T. bernacchii IgT lacked most of the second constant domain but maintained only a few amino acid residues, which could be aligned to B. diacanthus CH2 domain. By analyzing several cDNA clones from a single specimen, three differently sized IgT transcript variants, named Long, Short and Shortest, were identified. Genomic analysis of T. bernacchii and B. diacanthus IgH loci revealed that, in the case of T. bernacchii, within the intron between the exons coding for the entire first and second constant domains a reminiscence of the ancestral second exon was present. The Long and Short variants were found to be encoded by indel alleles, whereas the Shortest variant was generated by alternative splicing that led to the CH2 exonic remnant skipping. Through comparison between genomic and cDNA sequences we hypothesized the presence of three different copies of the IgT heavy chain gene, one of which being-considered the functional gene since the corresponding transcripts were identified. Moreover, either Long or Short exonic variants were found to be used in IgT heavy chain membrane form in an unbiased manner, as seen for the secretory form. Phylogenetic analysis was performed on the constant region from all teleost IgT available to date, including IgT from another Antarctic Notothenioid species, Notothenia coriiceps, identified by searching the transcriptome. The loss of almost an entire domain together with the conservation of some amino acids such as praline, glycine and cysteine in the CH2 domain remnant, could be interpreted as another distinctive feature of the Antarctic fish genome evolution, providing also new insights into the structural variation of teleost immunoglobulin genes. (C) 2015 Elsevier B.V. All rights reserved.</t>
  </si>
  <si>
    <t>[Giacomelli, Stefano; Albanese, Fabio; Oreste, Umberto; Coscia, Maria Rosaria] CNR, Inst Prot Biochem, I-80131 Naples, Italy; [Buonocore, Francesco; Scapigliati, Giuseppe] Univ Tuscia, Dept Innovat Biol Agrofood &amp; Forest Syst, Viterbo, Italy; [Gerdol, Marco] Univ Trieste, Dept Life Sci, Trieste, Italy</t>
  </si>
  <si>
    <t>Consiglio Nazionale delle Ricerche (CNR); Istituto di Biochimica delle Proteine (IBP-CNR); Tuscia University; University of Trieste</t>
  </si>
  <si>
    <t>Coscia, MR (corresponding author), CNR, Inst Prot Biochem, Via Pietro Castellino 111, I-80131 Naples, Italy.</t>
  </si>
  <si>
    <t>mr.coscia@ibp.cnr.it</t>
  </si>
  <si>
    <t>Coscia, Maria Rosaria/AAU-1808-2021; Gerdol, Marco/D-2115-2013; Buonocore, Francesco/AAA-5236-2020</t>
  </si>
  <si>
    <t>Gerdol, Marco/0000-0001-6411-0813; scapigliati, giuseppe/0000-0001-9730-9394; Buonocore, Francesco/0000-0001-8045-5651; Albanese, Fabio/0000-0003-0408-3395</t>
  </si>
  <si>
    <t>Italian National Program for Antarctic Research (PNRA) [PEA2009/A1.12]</t>
  </si>
  <si>
    <t>Italian National Program for Antarctic Research (PNRA)</t>
  </si>
  <si>
    <t>We would like to thank Dr. Ennio Cocca at Institute of Protein Biochemistry, CNR, Naples, Italy for kindly providing us with tissue samples collected during the ICEFISH (International Collaborative Expedition to collect and study Fish Indigenous to Sub-Antarctic Habitats) expedition 2004 and for helpful discussion. This work was supported by the Italian National Program for Antarctic Research (PNRA), grant PEA2009/A1.12.</t>
  </si>
  <si>
    <t>1874-7787</t>
  </si>
  <si>
    <t>1876-7478</t>
  </si>
  <si>
    <t>MAR GENOM</t>
  </si>
  <si>
    <t>Mar. Genom.</t>
  </si>
  <si>
    <t>10.1016/j.margen.2015.06.009</t>
  </si>
  <si>
    <t>Genetics &amp; Heredity; Marine &amp; Freshwater Biology</t>
  </si>
  <si>
    <t>DA4MV</t>
  </si>
  <si>
    <t>WOS:000367774900008</t>
  </si>
  <si>
    <t>Papetti, C; Harms, L; Windisch, HS; Frickenhaus, S; Sandersfeld, T; Jürgens, J; Koschnick, N; Knust, R; Pörtner, HO; Lucassen, M</t>
  </si>
  <si>
    <t>Papetti, Chiara; Harms, Lars; Windisch, Heidrun Sigrid; Frickenhaus, Stephan; Sandersfeld, Tina; Juergens, Jutta; Koschnick, Nils; Knust, Rainer; Poertner, Hans-Otto; Lucassen, Magnus</t>
  </si>
  <si>
    <t>A first insight into the spleen transcriptome of the notothenioid fish Lepidonotothen nudifrons: Resource description and functional overview</t>
  </si>
  <si>
    <t>Antarctic Peninsula; Immune system; Non-model species; Nototheniidae; RNA-Seq</t>
  </si>
  <si>
    <t>RNA-SEQ DATA; ALIGNMENT</t>
  </si>
  <si>
    <t>In this study, we describe a de novo sequencing and assembly of the spleen transcriptome of Lepidonotothen nudifrons, a notothenioid fish widely distributed around the Antarctic Peninsula and the Scotia Arc Sequences were generated on an Illumina MiSeq system and assembled to a total of 112,477 transcripts. Putative functional annotation was possible for more than 34% of the transcripts. This data will be relevant for future studies targeting the erythrocyte turnover, oxygen transport mechanism and immune system, which are key functional traits to investigate cold adaptation and thermal sensitivity of Antarctic notothenioids. (c) 2015 Elsevier B.V. All rights reserved.</t>
  </si>
  <si>
    <t>[Papetti, Chiara; Harms, Lars; Windisch, Heidrun Sigrid; Frickenhaus, Stephan; Sandersfeld, Tina; Juergens, Jutta; Koschnick, Nils; Knust, Rainer; Poertner, Hans-Otto; Lucassen, Magnus] Alfred Wegener Inst, Helmholtz Ctr Polar &amp; Marine Res, D-27570 Bremerhaven, Germany</t>
  </si>
  <si>
    <t>Papetti, C (corresponding author), Alfred Wegener Inst, Helmholtz Ctr Polar &amp; Marine Res, Handelshafen 12, D-27570 Bremerhaven, Germany.</t>
  </si>
  <si>
    <t>chiara.papetti@gmail.com; lars.harms@awi.de; heidrun.windisch@hhu.de; stephan.frickenhaus@awi.de; tina.sandersfeld@awi.de; jutta.juergens@awi.de; nils.koschnick@awi.de; rainer.knust@awi.de; hans.poertner@awi.de; magnus.lucassen@awi.de</t>
  </si>
  <si>
    <t>Windisch, Heidrun S/H-9505-2014; Pörtner, Hans-O./ISU-9397-2023; Pörtner, Hans-O./K-9429-2016; Lucassen, Magnus/ABA-8396-2021; Lucassen, Magnus/E-8433-2011</t>
  </si>
  <si>
    <t>Pörtner, Hans-O./0000-0001-6535-6575; Lucassen, Magnus/0000-0003-4276-4781; Papetti, Chiara/0000-0002-4567-459X; Frickenhaus, Stephan/0000-0002-0356-9791</t>
  </si>
  <si>
    <t>European Marie Curie project Polarexpress grant [622320]; Hanse-Wissenschaftskolleg, Institute for Advanced Study in Delmenhorst, Germany</t>
  </si>
  <si>
    <t>European Marie Curie project Polarexpress grant; Hanse-Wissenschaftskolleg, Institute for Advanced Study in Delmenhorst, Germany</t>
  </si>
  <si>
    <t>This work was supported by the European Marie Curie project Polarexpress grant n. 622320 to CP. This paper is a contribution to the research program PACES II, Topic 1, workpackage 6 and Topic 4, workpackage 2 of the Alfred Wegener Institute, Helmholtz Centre for Polar and Marine Research. The authors thank the RV Polarstern crew for their precious help during the sample collection (expeditions ANT-XXVIII/4 and ANT-XXVIII/5). Silvia Hardenberg, Fredy Veliz Moraleda and Guido Krieten are thanked for fish husbandry and aquaria maintenance. CP also acknowledges the financial support of the Hanse-Wissenschaftskolleg (travel award), Institute for Advanced Study in Delmenhorst, Germany. The authors are grateful to Imke Fries, Nancy Lange and Lars Henning (AWI) for their support in the Marie Curie project development and management.</t>
  </si>
  <si>
    <t>10.1016/j.margen.2015.06.006</t>
  </si>
  <si>
    <t>DA4IA</t>
  </si>
  <si>
    <t>WOS:000367762400015</t>
  </si>
  <si>
    <t>Karig, S; Kim, S; Park, H</t>
  </si>
  <si>
    <t>Karig, Seunghyun; Kim, Sanghee; Park, Hyun</t>
  </si>
  <si>
    <t>Transcriptome of the Antarctic amphipod Gondogeneia antarctica and its response to pollutant exposure</t>
  </si>
  <si>
    <t>Gondogeneia antarctica; Antarctica; Amphipod; Transcriptome</t>
  </si>
  <si>
    <t>POLYCHLORINATED BIPHENYL CONGENERS; SOUTH SHETLAND ISLANDS; KING GEORGE ISLAND; SUBTIDAL MACROALGAE; PENINSULA</t>
  </si>
  <si>
    <t>Gondogeneia antarctica is widely distributed off the western Antarctic Peninsula and is a key species in the Antarctic food web. In this study, we performed Illumina sequencing to produce a total of 4,599,079,601 (4.6 Gb) nucleotides and a comprehensive transcript dataset for G. antarctica. Over 46 million total reads were assembled into 20,749 contigs, and 12,461 annotated genes were predicted by Blastx. The RNA-seq results after exposure to three pollutants showed that 658, 169 and 367 genes that were potential biomarkers of responses to pollutants for this species were specifically upregulated after exposure to PCBs (Polychlorinated biphenyls), PFOS (Perfluorooctanesulfonic acid) and PFOA (Perfluorooctanoic acid), respectively. These data represent the first transcriptome resource for the Antarctic amphipod G. antarctica and provide a useful resource for studying Antarctic marine species. (c) 2015 Elsevier B.V. All rights reserved.</t>
  </si>
  <si>
    <t>[Karig, Seunghyun; Kim, Sanghee; Park, Hyun] Korea Polar Res Inst, Div Polar Life Sci, Inchon 406840, South Korea; [Park, Hyun] Univ Sci &amp; Technol, Polar Sci, Daejeon 305333, South Korea</t>
  </si>
  <si>
    <t>Korea Polar Research Institute (KOPRI); Korea Institute of Ocean Science &amp; Technology (KIOST); University of Science &amp; Technology (UST)</t>
  </si>
  <si>
    <t>Park, H (corresponding author), Korea Polar Res Inst, Div Polar Life Sci, Inchon 406840, South Korea.</t>
  </si>
  <si>
    <t>hpark@kopri.re.kr</t>
  </si>
  <si>
    <t>Antarctic Organisms: Cold-adaptation Mechanism and Its Application - Korea Polar Research Institute [PE15070]</t>
  </si>
  <si>
    <t>Antarctic Organisms: Cold-adaptation Mechanism and Its Application - Korea Polar Research Institute</t>
  </si>
  <si>
    <t>This work was supported by Antarctic Organisms: Cold-adaptation Mechanism and Its Application (research.grant PE15070 to H. Park) funded by the Korea Polar Research Institute.</t>
  </si>
  <si>
    <t>10.1016/j.margen.2015.07.012</t>
  </si>
  <si>
    <t>WOS:000367762400019</t>
  </si>
  <si>
    <t>Kulakov, MY; Demchev, DM</t>
  </si>
  <si>
    <t>Kulakov, M. Yu.; Demchev, D. M.</t>
  </si>
  <si>
    <t>Simulation of iceberg drift as a component of ice monitoring in the West Arctic</t>
  </si>
  <si>
    <t>RUSSIAN METEOROLOGY AND HYDROLOGY</t>
  </si>
  <si>
    <t>Arcticseas; simulation; iceberg drift; forecast; ice monitoring</t>
  </si>
  <si>
    <t>Discussed is the hydrodynamic model of iceberg drift. Presented are the examples ofits use in operational practice for predicting iceberg drift in the Kara Sea and for enhancing ice monitoring in the Barents Sea.</t>
  </si>
  <si>
    <t>[Kulakov, M. Yu.; Demchev, D. M.] Arctic &amp; Antarctic Res Inst, St Petersburg 199397, Russia</t>
  </si>
  <si>
    <t>Kulakov, MY (corresponding author), Arctic &amp; Antarctic Res Inst, Ul Beringa 38, St Petersburg 199397, Russia.</t>
  </si>
  <si>
    <t>mod@aari.ru</t>
  </si>
  <si>
    <t>Demchev, Denis/AAI-2822-2020; Kulakov, Mikhail/AAX-4924-2020; Demchev, Denis/K-5354-2016</t>
  </si>
  <si>
    <t>Demchev, Denis/0000-0001-6907-1729; Demchev, Denis/0000-0001-6907-1729</t>
  </si>
  <si>
    <t>Ministry of Education and Science of Russian Federation [14.610.21.0006, RFMEFI61014X0006]</t>
  </si>
  <si>
    <t>Ministry of Education and Science of Russian Federation(Ministry of Education and Science, Russian Federation)</t>
  </si>
  <si>
    <t>The research was supported by the Ministry of Education and Science of the Russian Federation in the frame work of applied scientific research and experimental developments (ASRED) on Creation of New Methods and Instruments of Monitoring of Hydro meteorological and Geophysical Conditions on the Svalbard Archipelago and in the West Arctic Zone of the Russian Federation (Agreement on the Provision of Subsidy on 20.10.2014 No. 14.610.21.0006, ASRED unique identifier RFMEFI61014X0006).</t>
  </si>
  <si>
    <t>PLEIADES PUBLISHING INC</t>
  </si>
  <si>
    <t>PLEIADES PUBLISHING INC, MOSCOW, 00000, RUSSIA</t>
  </si>
  <si>
    <t>1068-3739</t>
  </si>
  <si>
    <t>1934-8096</t>
  </si>
  <si>
    <t>RUSS METEOROL HYDRO+</t>
  </si>
  <si>
    <t>Russ. Meteorol. Hydrol.</t>
  </si>
  <si>
    <t>10.3103/S1068373915120055</t>
  </si>
  <si>
    <t>DA1GG</t>
  </si>
  <si>
    <t>WOS:000367543700005</t>
  </si>
  <si>
    <t>Lowther, A. D.; Lydersen, C.; Kovacs, K. M.</t>
  </si>
  <si>
    <t>A sum greater than its parts: merging multi-predator tracking studies to increase ecological understanding</t>
  </si>
  <si>
    <t>ECOSPHERE</t>
  </si>
  <si>
    <t>biotelemetry; Bouvetoya; diving; Eudyptes chrysolophus; habitat modelling; Miroungia leonina; oceanography; penguins; Pygoscelis antarctica; Southern Ocean</t>
  </si>
  <si>
    <t>MACARONI PENGUINS; HABITAT SELECTION; ELEPHANT SEALS; SOUTHERN-OCEAN; TEMPERATURE; PATTERNS; BEHAVIOR; MODEL; KRILL; FISH</t>
  </si>
  <si>
    <t>Understanding how animals find prey in heterogeneous environments is a central goal of ecology. Placing this process in an environmental context requires a lot of information regarding the characteristics of both the habitat selected by the animal and its surroundings. In high-latitude marine systems, information about subsurface habitats of marine predators is often very limited. Animal-borne oceanographic instruments have added a new modality to improve our understanding of marine predators and their habitats. While these instruments do not collect environmental information beyond that experienced by the animals carrying them, our study makes use of an oceanographic dataset collected by southern elephant seals (Mirounga leonina; N = 15), to provide environmental context for two sympatrically foraging penguin species in the waters close to the subantarctic island of Bouvetoya. The seals collected 154 CTD profiles during the study period, averaging 4.9 (+/- 3.67) profiles per day, documenting the stratification of the upper water layer in terms of both seawater density and temperature. Using these data, we quantitatively describe the relationship between the diving behavior of the penguins (N = 3,745 dives) and the hydrographic properties of the three-dimensional area in which they were foraging. Both penguin species appeared to favor water characterized by a shallow mixed layer. The chinstrap penguins (Pygoscelis antarctica) dove within a shallow, unstable body of water close to the colony, whereas macaroni penguins (Eudyptes chrysolophus) exploited the bottom of the surface mixed layer further offshore. The hydrographic properties preferred by the penguins match closely those that describe the highest densities of their preferred prey, krill (Euphausia superba), identified during a temporally and spatially concurrent study. We demonstrate how merging multiple telemetric data streams from animals can shed new light on aspects of foraging behavior beyond simply relating movements to two-dimensional, remotely sensed measurements of the environment.</t>
  </si>
  <si>
    <t>[Lowther, A. D.; Lydersen, C.; Kovacs, K. M.] Norwegian Polar Res Inst, Fram Ctr, N-9296 Tromso, Norway</t>
  </si>
  <si>
    <t>Lowther, AD (corresponding author), Norwegian Polar Res Inst, Fram Ctr, N-9296 Tromso, Norway.</t>
  </si>
  <si>
    <t>Andrew.Lowther@npolar.no</t>
  </si>
  <si>
    <t>Norwegian Antarctic Research Expedition to Bouvetoya</t>
  </si>
  <si>
    <t>This study is part of MEOP (Marine Mammals Exploring the Oceans Pole to Pole), Norway, which was an International Polar Year (IPY) programme. Fieldwork was funded and carried out as part of the Norwegian Antarctic Research Expedition to Bouvetoya. We are greatly indebted to Martin Biuw, Greg Hofmeyr, Nico deBruyn, Petrus Kritzinger and Aline Arriola for their efforts during the 2007-2008 fieldwork.</t>
  </si>
  <si>
    <t>2150-8925</t>
  </si>
  <si>
    <t>Ecosphere</t>
  </si>
  <si>
    <t>10.1890/ES15-00293.1</t>
  </si>
  <si>
    <t>CZ7WS</t>
  </si>
  <si>
    <t>WOS:000367311800004</t>
  </si>
  <si>
    <t>Telesetsky, A; Lee, S</t>
  </si>
  <si>
    <t>Telesetsky, Anastasia; Lee, Seokwoo</t>
  </si>
  <si>
    <t>After Whaling in the Antarctic: Amending Article VIII to Fix a Broken Treaty Regime</t>
  </si>
  <si>
    <t>INTERNATIONAL JOURNAL OF MARINE AND COASTAL LAW</t>
  </si>
  <si>
    <t>International Convention for the Regulation of Whaling (ICRW); International Whaling Commission (IWC); Whaling in the Antarctic; IWC Scientific Committee; ICRW Article VIII</t>
  </si>
  <si>
    <t>Since the global decline in commercial whaling, the International Whaling Commission (IWC) has been at the centre of a long-standing debate between pro-whaling industry States and whale preservation States that threatens the collapse of the International Convention for the Regulation of Whaling (ICRW) as a treaty regime. This article describes the ongoing treaty regime disagreement that led to the International Court of Justice (ICJ) Whaling in the Antarctic case and suggests that the ICJ's decision highlights further weaknesses in the existing ICRW treaty regime. The fissures in the treaty regime have become even more apparent with the IWC Scientific Committee's request for more data from the Japanese government on the Proposed Research Plan for New Scientific Whale Research Program in the Antarctic Ocean (NEWREP-A) and Japan's diplomatic threat to unilaterally resume whaling. The article concludes with a suggestion that States amend Article VIII in order to strengthen the existing ICRW framework.</t>
  </si>
  <si>
    <t>[Telesetsky, Anastasia] Univ Idaho, Coll Law, Int Law, Moscow, ID 83843 USA; [Lee, Seokwoo] Inha Univ, Sch Law, Law, Inchon, South Korea</t>
  </si>
  <si>
    <t>Idaho; University of Idaho; Inha University</t>
  </si>
  <si>
    <t>Telesetsky, A (corresponding author), Univ Idaho, Coll Law, Int Law, Moscow, ID 83843 USA.</t>
  </si>
  <si>
    <t>LEE, SEOKWOO/HCH-8836-2022</t>
  </si>
  <si>
    <t>MARTINUS NIJHOFF PUBL</t>
  </si>
  <si>
    <t>PO BOX 9000, LEIDEN, 2300 PA, NETHERLANDS</t>
  </si>
  <si>
    <t>0927-3522</t>
  </si>
  <si>
    <t>1571-8085</t>
  </si>
  <si>
    <t>INT J MAR COAST LAW</t>
  </si>
  <si>
    <t>Int. J. Mar. Coast. Law</t>
  </si>
  <si>
    <t>10.1163/15718085-12341377</t>
  </si>
  <si>
    <t>CZ9KG</t>
  </si>
  <si>
    <t>WOS:000367415900004</t>
  </si>
  <si>
    <t>Cordonnery, L; Hemmings, AD; Kriwoken, L</t>
  </si>
  <si>
    <t>Cordonnery, Laurence; Hemmings, Alan D.; Kriwoken, Lorne</t>
  </si>
  <si>
    <t>Nexus and Imbroglio: CCAMLR, the Madrid Protocol and Designating Antarctic Marine Protected Areas in the Southern Ocean</t>
  </si>
  <si>
    <t>Antarctic; Areas beyond National Jurisdiction (ABNJ); marine protected areas (MPAS); Southern Ocean; CCAMLR; Madrid Protocol</t>
  </si>
  <si>
    <t>CONSERVATION; IMPLEMENTATION; BIODIVERSITY; CHALLENGES; FISHERIES</t>
  </si>
  <si>
    <t>The paper examines the process and context of international efforts to designate Marine Protected Areas (MPAS) in the Southern Ocean. The relationship between the Convention on the Conservation of Antarctic Marine Living Resources (CAMLA Convention) and the Madrid Protocol is examined in relation to legal, political and administrative norms and practices. A contextual overview of the Antarctic MPA system is considered, followed by an analysis of the overlapping competencies of the CAMLR Commission (CCAMLR) and the Madrid Protocol. The Antarctic MPA debate is placed in a wider international legal context of the management of global oceans space in areas beyond national jurisdiction. We provide an analysis of the politico-legal discourse and point to complicating factors within, and external to, the Antarctic system. The concluding section suggests options for breathing new life into the Southern Ocean MPA discourse.</t>
  </si>
  <si>
    <t>[Cordonnery, Laurence; Kriwoken, Lorne] Univ Tasmania, Sch Land &amp; Food, Geog &amp; Spatial Sci Discipline, Hobart, Tas, Australia; [Hemmings, Alan D.] Univ Canterbury, Gateway Antarctica Ctr Antarctic Studies &amp; Res, Christchurch 1, New Zealand; [Kriwoken, Lorne] Univ Tasmania, Inst Marine &amp; Antarctic Studies, Hobart, Tas, Australia</t>
  </si>
  <si>
    <t>University of Tasmania; University of Canterbury; University of Tasmania</t>
  </si>
  <si>
    <t>Cordonnery, L (corresponding author), Univ Tasmania, Sch Land &amp; Food, Geog &amp; Spatial Sci Discipline, Hobart, Tas, Australia.</t>
  </si>
  <si>
    <t>Leane, Elizabeth M/J-7138-2014</t>
  </si>
  <si>
    <t>10.1163/15718085-12341380</t>
  </si>
  <si>
    <t>WOS:000367415900005</t>
  </si>
  <si>
    <t>Jean, CB; Kyser, TK; James, NP; Stokes, MD</t>
  </si>
  <si>
    <t>Jean, Christabel B.; Kyser, T. Kurtis; James, Noel P.; Stokes, M. Dale</t>
  </si>
  <si>
    <t>RETRACTED: THE ANTARCTIC BRACHIOPOD LIOTHYRELLA UVA AS A PROXY FOR AMBIENT OCEANOGRAPHIC CONDITIONS AT MCMURDO SOUND(Retracted article. See vol. 87, pg. 167, 2017)</t>
  </si>
  <si>
    <t>JOURNAL OF SEDIMENTARY RESEARCH</t>
  </si>
  <si>
    <t>Article; Retracted Publication</t>
  </si>
  <si>
    <t>HIGH-RESOLUTION DISTRIBUTION; ISOTOPIC COMPOSITION; MARINE CALCITE; LACEPEDE SHELF; SR/MG RATIOS; SOUND; OXYGEN; FRACTIONATION; CARBONATES; PATTERNS</t>
  </si>
  <si>
    <t>Brachiopods have been widely used as proxies to reconstruct ancient oceanographic conditions based on the assumption that their shell calcite is precipitated in near isotopic equilibrium with ambient seawater. Few studies, however, have tested the presumption of equilibrium precipitation for specimens from extreme polar environments. Furthermore, reported isotopic values for polar specimens are largely indicative of disequilibrium precipitation, leading to the conclusion that brachiopods living in extreme environments may be poor recorders of ambient oceanography. The results of shell chemistry of the Antarctic brachiopod Liothyrella uva (L. uva) are compared to the local oceanographic data at Cape Armitage, McMurdo Sound, to assess the suitability of extreme environment brachiopods as environmental proxies. Results reveal that significant kinetic fractionation occurs during primary-layer shell secretion, resulting in whole-shell isotopic compositions that do not reflect equilibrium with ambient seawater. Secondary-layer shell calcite, however, is less affected by biological fractionation and exhibits isotopic compositions that fall within the range of predicted equilibrium values. Additionally, whole-shell concentrations of elements including Ba, Cd, Cr, Fe, Mn, Na, Sr, and Zn exhibit trends that are interpreted to reflect their relative concentrations in ambient seawater. Concentrations of Mg and B, however, are found to be largely controlled by physiological processes related to brachiopod growth rate. While this study concludes that the shell chemistry of L. uva does reflect the local oceanographic conditions at McMurdo Sound, the reliability of extreme-environment brachiopods should be assessed on a species basis as differences in brachiopod physiology and microstructure can significantly influence the degree of equilibrium reflected in shell calcite.</t>
  </si>
  <si>
    <t>[Jean, Christabel B.; Kyser, T. Kurtis; James, Noel P.] Queens Univ, Dept Geol Sci, Kingston, ON K7L 3N6, Canada; [Stokes, M. Dale] Univ Calif San Diego, Marine Phys Lab, La Jolla, CA 92037 USA</t>
  </si>
  <si>
    <t>Queens University - Canada; University of California System; University of California San Diego</t>
  </si>
  <si>
    <t>Jean, CB (corresponding author), Queens Univ, Dept Geol Sci, Kingston, ON K7L 3N6, Canada.</t>
  </si>
  <si>
    <t>christabel.jean@queensu.ca</t>
  </si>
  <si>
    <t>Natural Sciences and Engineering Research Council of Canada</t>
  </si>
  <si>
    <t>Natural Sciences and Engineering Research Council of Canada(Natural Sciences and Engineering Research Council of Canada (NSERC)CGIAR)</t>
  </si>
  <si>
    <t>This research is funded by the Natural Sciences and Engineering Research Council of Canada Discovery Grant to T.K. Kyser and N.P. James. Many thanks to the staff of the Queen's Facility for Isotope Research: A. Vuletich, D. Chipley, K. Feige, E. Leduc, and S. Banerjee for their knowledge and patience in assisting with analyses and for their insights and guidance in interpreting results. Thanks to A. Grant for his time and patience with the SEM. This manuscript was kindly reviewed by Ryan Dhillon. The final manuscript benefited considerably from the suggestions of Editor Leslie Melim, Associate Editor Elias Samankassou, and reviewers Nancy Buening and Eugene Domack.</t>
  </si>
  <si>
    <t>SEPM-SOC SEDIMENTARY GEOLOGY</t>
  </si>
  <si>
    <t>6128 EAST 38TH ST, STE 308, TULSA, OK 74135-5814 USA</t>
  </si>
  <si>
    <t>1527-1404</t>
  </si>
  <si>
    <t>1938-3681</t>
  </si>
  <si>
    <t>J SEDIMENT RES</t>
  </si>
  <si>
    <t>J. Sediment. Res.</t>
  </si>
  <si>
    <t>10.2110/jsr.2015.94</t>
  </si>
  <si>
    <t>CZ9GK</t>
  </si>
  <si>
    <t>WOS:000367405600006</t>
  </si>
  <si>
    <t>Peters, KJ; Ophelkeller, K; Herdina; Bott, NJ; Goldsworthy, SD</t>
  </si>
  <si>
    <t>Peters, Kristian J.; Ophelkeller, Kathy; Herdina; Bott, Nathan J.; Goldsworthy, Simon D.</t>
  </si>
  <si>
    <t>PCR-based techniques to determine diet of the Australian sea lion (Neophoca cinerea): a comparison with morphological analysis</t>
  </si>
  <si>
    <t>MARINE ECOLOGY-AN EVOLUTIONARY PERSPECTIVE</t>
  </si>
  <si>
    <t>Diet analysis; DNA; faeces; feeding trial; Neophoca cinerea</t>
  </si>
  <si>
    <t>PHOCA-VITULINA; FECAL SAMPLES; SALMONID PREY; NEW-ZEALAND; FUR SEALS; DNA; IDENTIFICATION; DIGESTION; SCATS; FIDELITY</t>
  </si>
  <si>
    <t>Comprehensive dietary information for the endangered Australian sea lion (Neophoca cinerea) is currently limited by the deficiency and poor quality of identifiable prey remains recovered from regurgitate and faeces and the difficulty of observing feeding in the wild. In this study, we investigated DNA-based prey detection methods using conventional (end-point) and quantitative real-time PCR (qPCR) on faeces collected from two captive Australian sea lions fed experimental diets of whole teleost fish, squid and shark tissue. PCR prey detection methods using the mitochondrial cytochrome oxidase subunit I (COI) and 16S genes combined with clone sequencing were compared with prey identified using traditional hard part analysis. The molecular results indicated that prey DNA was degraded. However, prey amplification was successful by targeting short (71 bp) DNA fragments. Both conventional PCR and qPCR techniques significantly increased prey detection compared with analysis of hard parts. For both sea lions, the hard part analysis was constrained by sporadic and extremely low recovery of fish otoliths (&lt;2%), and cephalopod beaks were not recovered from the 116 squid fed. Comparisons between PCR techniques indicated comparable prey detection frequencies for all species tested; however, the sensitivity and greater resolution of qPCR improved prey detection by similar to 25% in one sea lion fed the experimental squid and perch. The detection of squid DNA &lt;= 6 day post-ingestion by qPCR further exhibits the ability and potential of this method to detect low concentrations of infrequent or pulse prey. This study highlights the use of DNA-based analysis to detect prey taxa in the absence of identifiable hard prey remains.</t>
  </si>
  <si>
    <t>[Peters, Kristian J.; Ophelkeller, Kathy; Herdina; Goldsworthy, Simon D.] South Australian Res &amp; Dev Inst, Adelaide, SA 5022, Australia; [Peters, Kristian J.; Goldsworthy, Simon D.] Univ Adelaide, Sch Earth &amp; Environm Sci, Adelaide, SA, Australia; [Bott, Nathan J.] RMIT Univ, Sch Appl Sci, Bundoora, Vic, Australia</t>
  </si>
  <si>
    <t>South Australian Research &amp; Development Institute (SARDI); University of Adelaide; Royal Melbourne Institute of Technology (RMIT)</t>
  </si>
  <si>
    <t>Peters, KJ (corresponding author), South Australian Res &amp; Dev Inst, Aquat Sci, POB 120, Adelaide, SA 5022, Australia.</t>
  </si>
  <si>
    <t>kristian.peters2@sa.gov.au</t>
  </si>
  <si>
    <t>Bott, Nathan J/A-3816-2009</t>
  </si>
  <si>
    <t>Goldsworthy, Simon/0000-0003-4988-9085; Bott, Nathan/0000-0003-4049-9945</t>
  </si>
  <si>
    <t>Australian Government National Heritage Trust (NHT); Nature Foundation SA; Wildlife Conservation Fund; Adelaide University; Marine Innovation South Australia (MISA), an initiative of the South Australian Government</t>
  </si>
  <si>
    <t>Australian Government National Heritage Trust (NHT)(Australian Government); Nature Foundation SA; Wildlife Conservation Fund; Adelaide University; Marine Innovation South Australia (MISA), an initiative of the South Australian Government</t>
  </si>
  <si>
    <t>This study was supported through the Australian Government National Heritage Trust (NHT) grants scheme, Nature Foundation SA and the Wildlife Conservation Fund. We thank the South Australian Research and Development Institute (SARDI) Molecular Diagnostics group for laboratory support, in particular Dr A. McKay, T. Mammone, Ina Dumitrescu and staff. We thank the Monarto Zoo Adelaide and staff for the use of their sea lion facility and animals to conduct these trials. Particular thanks to Dr C. West, C. Fulton and J. Hakof for their in-kind contribution to this project. S. Jarman, and B. Deagle of the Australian Antarctic Division provided invaluable support for this project. The Fish Factory supplied the feed stock for the project. Thanks to R. McIntosh, B. Page, J. McKenzie, P. Shaughnessy, A. Baylis, L. Einoder and J. Hicks for providing useful comments on this manuscript. We thank Dr T. Ward and Dr A. McKay for SARDI logistical support. This project was funded by grants prepared and submitted by K.J.P. and S.D.G. K.J.P. was the recipient of an Adelaide University postgraduate award. This research project was conducted under the Department for Environment and Heritage (DEH) ethics permit A24684 6 and Adelaide University ethics permit S80-2004. S.D.G and N.J.B. were supported by Marine Innovation South Australia (MISA), an initiative of the South Australian Government.</t>
  </si>
  <si>
    <t>0173-9565</t>
  </si>
  <si>
    <t>1439-0485</t>
  </si>
  <si>
    <t>MAR ECOL-EVOL PERSP</t>
  </si>
  <si>
    <t>Mar. Ecol.-Evol. Persp.</t>
  </si>
  <si>
    <t>10.1111/maec.12242</t>
  </si>
  <si>
    <t>CZ9CR</t>
  </si>
  <si>
    <t>WOS:000367395900045</t>
  </si>
  <si>
    <t>Lu, HY</t>
  </si>
  <si>
    <t>Lu, Huayu</t>
  </si>
  <si>
    <t>Driving force behind global cooling in the Cenozoic: an ongoing mystery</t>
  </si>
  <si>
    <t>SCIENCE BULLETIN</t>
  </si>
  <si>
    <t>Global cooling; Cenozoic era; Asian paleoclimate; Asian deserts; Chinese loess deposit</t>
  </si>
  <si>
    <t>ANTARCTIC GLACIATION; CARBON-CYCLE; OCEAN; MIOCENE; CLIMATE; ONSET; EVOLUTION; MONSOON; CO2; INTENSIFICATION</t>
  </si>
  <si>
    <t>The stepwise cooling marks the long-time global climate change during the Cenozoic, particularly since the Oligocene/Eocene boundary. This climatic evolution has been punctuated by several warming such as the peak Cenozoic warmth at 52 Ma, the late Oligocene warming at similar to 25 Ma and the Mid-Miocene Climatic Optimum at 17-14 Ma. Concurring with the global temperature changes, the Asian paleoenvironment has been modulated by the global cooling and the tectonic uplift during the Cenozoic, but what have driven the global climatic changes remains unresolved. In this review paper, I hypothesize that a threshold CO2 level in combination with favorable orbital configuration, ocean circulation, enhanced ice albedo and possible roles of silicate mineral and basalt weathering together facilitated the development of glaciations in the Cenozoic and the past temperature change. The synchronous variations between Earth's surface temperature and atmospheric CO2 level may indicate that the atmospheric CO2 content is the direct driving force for the global climatic cooling, but this hypothesis needs testing by using high-resolution geological record and paleoclimatic modeling.</t>
  </si>
  <si>
    <t>[Lu, Huayu] Nanjing Univ, Sch Geog &amp; Ocean Sci, Nanjing 210023, Jiangsu, Peoples R China; [Lu, Huayu] CAS Ctr Excellence Tibetan Plateau Earth Sci, Beijing 100101, Peoples R China</t>
  </si>
  <si>
    <t>Nanjing University</t>
  </si>
  <si>
    <t>Lu, HY (corresponding author), CAS Ctr Excellence Tibetan Plateau Earth Sci, Beijing 100101, Peoples R China.</t>
  </si>
  <si>
    <t>huayulu@nju.edu.cn</t>
  </si>
  <si>
    <t>Li, Yan/JUU-5189-2023; long, wang/KGM-0871-2024</t>
  </si>
  <si>
    <t>State Forestry Administration [201304325, 201404304]; Nanjing University</t>
  </si>
  <si>
    <t>State Forestry Administration; Nanjing University(Nanjing University)</t>
  </si>
  <si>
    <t>I thank the Editorial Board and Dr. Jianjing Wei for inviting me to write this paper; many thanks go to Prof. Zhengtang Guo for his valuable thoughts and helpful discussion. I appreciate the help of Prof. Yaoling Niu, Dr. Thomas Stevens and Dr. Mark Sweeney for correcting the English; thanks go to Yao Wang and Han Feng for help with drawing the Figure. This research is granted by the State Forestry Administration (201304325, 201404304) and Nanjing University.</t>
  </si>
  <si>
    <t>2095-9273</t>
  </si>
  <si>
    <t>2095-9281</t>
  </si>
  <si>
    <t>SCI BULL</t>
  </si>
  <si>
    <t>Sci. Bull.</t>
  </si>
  <si>
    <t>10.1007/s11434-015-0973-y</t>
  </si>
  <si>
    <t>CZ9EJ</t>
  </si>
  <si>
    <t>WOS:000367400300002</t>
  </si>
  <si>
    <t>Zhai, L; Greenan, BJW; Hunter, J; James, TS; Han, GQ; MacAulay, P; Henton, JA</t>
  </si>
  <si>
    <t>Zhai, Li; Greenan, Blair J. W.; Hunter, John; James, Thomas S.; Han, Guoqi; MacAulay, Phillip; Henton, Joseph A.</t>
  </si>
  <si>
    <t>Estimating Sea-Level Allowances for Atlantic Canada using the Fifth Assessment Report of the IPCC</t>
  </si>
  <si>
    <t>ATMOSPHERE-OCEAN</t>
  </si>
  <si>
    <t>sea-level rise; extremes; storm tides; allowances; IPCC; AR5; Atlantic Canada; tide gauges; vertical land movement; GPS; GIA</t>
  </si>
  <si>
    <t>CLIMATE-CHANGE; RISE; MOVEMENTS; TRENDS; NOISE; MODEL; TIDES</t>
  </si>
  <si>
    <t>Sea-level allowances at 22 tide-gauge sites along the east coast of Canada are determined based on projections of regional sea-level rise for the Representative Concentration Pathway 8.5 (RCP8.5) from the Fifth Assessment Report of the Intergovernmental Panel on Climate Change (IPCC AR5) and on the statistics of historical tides and storm surges (storm tides). The allowances, which may be used for coastal infrastructure planning, increase with time during the twenty-first century through a combination of mean sea-level rise and the increased uncertainty of future projections with time. The allowances show significant spatial variation, mainly a consequence of strong regionally varying relative sea-level change as a result of glacial isostatic adjustment (GIA). A methodology is described for replacement of the GIA component of the AR5 projection with global positioning system (GPS) measurements of vertical crustal motion; this significantly decreases allowances in regions where the uncertainty of the GIA models is large. For RCP8.5 with GPS data incorporated and for the 1995-2100 period, the sea-level allowances range from about 0.5m along the north shore of the Gulf of St. Lawrence to more than 1m along the coast of Nova Scotia and southern Newfoundland.</t>
  </si>
  <si>
    <t>[Zhai, Li; Greenan, Blair J. W.; MacAulay, Phillip] Fisheries &amp; Oceans Canada, Bedford Inst Oceanog, Dartmouth, NS B2Y 4A2, Canada; [Hunter, John] Antarctic Climate &amp; Ecosyst Cooperat Res Ctr, Hobart, Tas, Australia; [James, Thomas S.] Geol Survey Canada, Nat Resources Canada, Pacific Div, Sidney, BC, Canada; [James, Thomas S.] Univ Victoria, Sch Earth &amp; Ocean Sci, Victoria, BC, Canada; [Han, Guoqi] Fisheries &amp; Oceans Canada, Northwest Atlantic Fisheries Ctr, St John, NF, Canada; [Henton, Joseph A.] Nat Resources Canada, Canadian Geodet Survey, Sidney, BC, Canada</t>
  </si>
  <si>
    <t>Bedford Institute of Oceanography; Fisheries &amp; Oceans Canada; Antarctic Climate &amp; Ecosystems Cooperative Research Centre (ACE CRC); Natural Resources Canada; Lands &amp; Minerals Sector - Natural Resources Canada; Geological Survey of Canada; University of Victoria; Fisheries &amp; Oceans Canada; Natural Resources Canada; Lands &amp; Minerals Sector - Natural Resources Canada; Surveyor General Branch - Geomatics Canada</t>
  </si>
  <si>
    <t>Zhai, L (corresponding author), Fisheries &amp; Oceans Canada, Bedford Inst Oceanog, POB 1006, Dartmouth, NS B2Y 4A2, Canada.</t>
  </si>
  <si>
    <t>Li.Zhai@dfo-mpo.gc.ca</t>
  </si>
  <si>
    <t>James, Thomas/D-9301-2013; Han, Guoqi/T-7365-2019; Greenan, Blair/JAD-0075-2023</t>
  </si>
  <si>
    <t>James, Thomas/0000-0001-7321-047X;</t>
  </si>
  <si>
    <t>DFO Aquatic Climate Change Adaptation Services Program (ACCASP); NRCan Climate Change Impacts and Adaptation Division</t>
  </si>
  <si>
    <t>DFO Aquatic Climate Change Adaptation Services Program (ACCASP); NRCan Climate Change Impacts and Adaptation Division(Natural Resources Canada)</t>
  </si>
  <si>
    <t>This work is funded by the DFO Aquatic Climate Change Adaptation Services Program (ACCASP). This is an output of the NRCan Climate Change Geoscience Program. Support from the NRCan Climate Change Impacts and Adaptation Division is gratefully acknowledged by T.S. James. This is Earth Sciences Sector, Natural Resources Canada, contribution number [20140459].</t>
  </si>
  <si>
    <t>0705-5900</t>
  </si>
  <si>
    <t>1480-9214</t>
  </si>
  <si>
    <t>ATMOS OCEAN</t>
  </si>
  <si>
    <t>Atmos.-Ocean</t>
  </si>
  <si>
    <t>10.1080/07055900.2015.1106401</t>
  </si>
  <si>
    <t>CZ5QG</t>
  </si>
  <si>
    <t>Green Accepted, Bronze, Green Published</t>
  </si>
  <si>
    <t>WOS:000367156500004</t>
  </si>
  <si>
    <t>Lim, XZ</t>
  </si>
  <si>
    <t>Lim, XiaoZhi</t>
  </si>
  <si>
    <t>Environment Antarctic pollutants</t>
  </si>
  <si>
    <t>CZ5WK</t>
  </si>
  <si>
    <t>WOS:000367172900011</t>
  </si>
  <si>
    <t>Fox-Hughes, P</t>
  </si>
  <si>
    <t>Fox-Hughes, Paul</t>
  </si>
  <si>
    <t>Characteristics of Some Days Involving Abrupt Increases in Fire Danger</t>
  </si>
  <si>
    <t>JOURNAL OF APPLIED METEOROLOGY AND CLIMATOLOGY</t>
  </si>
  <si>
    <t>Dry intrusions; Operational forecasting; Forest fires</t>
  </si>
  <si>
    <t>500 MB TROUGHS; METEOROLOGICAL CONDITIONS; APPARENT RELATIONSHIP; CONVECTIVE ACTIVITY; AUSTRALIAN FIRES; UNITED-STATES; JET-STREAK; WEATHER; CLIMATOLOGY; TASMANIA</t>
  </si>
  <si>
    <t>A class of fire-weather events has been identified recently in which the normal, often diurnal, rise and fall of fire danger is interrupted by abruptly worsening conditions, or spikes, for which fire managers may be unprepared. Frequent observations from a site in Tasmania, Australia, show that spike events are associated with the passage of negatively tilted upper-tropospheric troughs, leading to descent into the atmospheric boundary layer of dry, high-momentum aira result that is supported by satellite water vapor imagery. Case studies from other major fire events, both in Australia and in the Northern Hemisphere, show similar characteristics. Statistically significant differences exist between the location and placement of trough and jet-streak features during spike events and normal fire-weather events, with differences in satellite water vapor imagery features also evident. The seasonality of spike events differs significantly from other fire-weather events, with their occurrence peaking from late spring to early summer in Tasmania, in contrast to broad summer primary and midspring secondary peaks for nonspike events.</t>
  </si>
  <si>
    <t>[Fox-Hughes, Paul] Univ Tasmania, Bur Meteorol, Severe Weather Sect, Hobart, Tas, Australia; [Fox-Hughes, Paul] Univ Tasmania, Inst Marine &amp; Antarctic Studies, Hobart, Tas, Australia; [Fox-Hughes, Paul] Antarctic Climate &amp; Ecosyst Cooperat Res Ctr, Hobart, Tas, Australia</t>
  </si>
  <si>
    <t>University of Tasmania; Bureau of Meteorology - Australia; University of Tasmania; Antarctic Climate &amp; Ecosystems Cooperative Research Centre (ACE CRC)</t>
  </si>
  <si>
    <t>Fox-Hughes, P (corresponding author), Bur Meteorol, Severe Weather Sect, GPO Box 727, Hobart, Tas 7001, Australia.</t>
  </si>
  <si>
    <t>p.fox-hughes@bom.gov.au</t>
  </si>
  <si>
    <t>Fox-Hughes, Paul D/G-8731-2013</t>
  </si>
  <si>
    <t>1558-8424</t>
  </si>
  <si>
    <t>1558-8432</t>
  </si>
  <si>
    <t>J APPL METEOROL CLIM</t>
  </si>
  <si>
    <t>J. Appl. Meteorol. Climatol.</t>
  </si>
  <si>
    <t>10.1175/JAMC-D-15-0062.1</t>
  </si>
  <si>
    <t>CZ3MX</t>
  </si>
  <si>
    <t>Green Published, Bronze, Green Accepted</t>
  </si>
  <si>
    <t>WOS:000367009300002</t>
  </si>
  <si>
    <t>Bringas, F; Goni, G</t>
  </si>
  <si>
    <t>Bringas, Francis; Goni, Gustavo</t>
  </si>
  <si>
    <t>Early Dynamics of Deep Blue XBT Probes</t>
  </si>
  <si>
    <t>JOURNAL OF ATMOSPHERIC AND OCEANIC TECHNOLOGY</t>
  </si>
  <si>
    <t>EXPENDABLE BATHYTHERMOGRAPH XBT; ANTARCTIC CIRCUMPOLAR CURRENT; FALL-RATE; T-7 XBT; ATLANTIC-OCEAN; NORTH PACIFIC; IN-SITU; TRANSPORT; ALTIMETRY; SEA</t>
  </si>
  <si>
    <t>Expendable bathythermographs (XBTs) are probes widely used to monitor global ocean heat content, variability of ocean currents, and meridional heat transports. In the XBT temperature profile, the depth is estimated from the time of descent in the water using a fall-rate equation. There are two main errors in these profiles: temperature and depth errors. The reduction of error in the estimates of the depth allows a corresponding reduction in the errors in the computations in which XBTs are used. Two experiments were carried out to study the effect of the deployment height on the depth estimates of Deep Blue XBT probes. During these experiments, XBTs were deployed from different heights. The motion of the probes after entering the water was analyzed to determine the position and the velocity of the probes as a function of time, which was compared to that obtained using the Hanawa et al. fall-rate equation. Results showed a difference or offset between the experimentally observed depths and those derived from Hanawa et al. This offset was found to be linked to the deployment height. To eliminate the offset in the fall-rate equation for XBTs deployed from different heights, a methodology is proposed here based on the initial velocities of the probes in the water (or deployment height). Results indicate that the depth estimates in the profiles need to be corrected for an offset, which in addition to having a launch height dependence is time dependent during the first 1.5 s of descent of the probe in the water, and constant after that.</t>
  </si>
  <si>
    <t>[Bringas, Francis; Goni, Gustavo] NOAA, Atlantic Oceanog &amp; Meteorol Lab, Miami, FL 33149 USA</t>
  </si>
  <si>
    <t>National Oceanic Atmospheric Admin (NOAA) - USA; Atlantic Oceanographic &amp; Meteorological Laboratory (AOML)</t>
  </si>
  <si>
    <t>Bringas, F (corresponding author), NOAA, Atlantic Oceanog &amp; Meteorol Lab, 4301 Rickenbacker Causeway, Miami, FL 33149 USA.</t>
  </si>
  <si>
    <t>francis.bringas@noaa.gov</t>
  </si>
  <si>
    <t>Bringas, Francis/C-4442-2013; Goni, Gustavo J/D-2017-2012</t>
  </si>
  <si>
    <t>NOAA's National Marine Fisheries Service; Southeast Fisheries Science Center; NOAA's Climate Program Office; NOAA AOML</t>
  </si>
  <si>
    <t>NOAA's National Marine Fisheries Service(National Oceanic Atmospheric Admin (NOAA) - USA); Southeast Fisheries Science Center; NOAA's Climate Program Office(National Oceanic Atmospheric Admin (NOAA) - USA); NOAA AOML(National Oceanic Atmospheric Admin (NOAA) - USA)</t>
  </si>
  <si>
    <t>The authors would like to acknowledge Grant Rawson, Pedro Pena, and Kyle Seaton for their work during the execution of the experiments presented here, as well as Zach Barton for the help provided tracking the movement of the XBTs in the videos. We would also like to acknowledge the support of NOAA's National Marine Fisheries Service and Southeast Fisheries Science Center during these experiments. This work was supported by NOAA's Climate Program Office and NOAA AOML.</t>
  </si>
  <si>
    <t>0739-0572</t>
  </si>
  <si>
    <t>1520-0426</t>
  </si>
  <si>
    <t>J ATMOS OCEAN TECH</t>
  </si>
  <si>
    <t>J. Atmos. Ocean. Technol.</t>
  </si>
  <si>
    <t>10.1175/JTECH-D-15-0048.1</t>
  </si>
  <si>
    <t>Engineering, Ocean; Meteorology &amp; Atmospheric Sciences</t>
  </si>
  <si>
    <t>Engineering; Meteorology &amp; Atmospheric Sciences</t>
  </si>
  <si>
    <t>CZ3FE</t>
  </si>
  <si>
    <t>WOS:000366989000002</t>
  </si>
  <si>
    <t>Bruce, B; Bradford, R</t>
  </si>
  <si>
    <t>Bruce, B.; Bradford, R.</t>
  </si>
  <si>
    <t>Segregation or aggregation? Sex-specific patterns in the seasonal occurrence of white sharks Carcharodon carcharias at the Neptune Islands, South Australia</t>
  </si>
  <si>
    <t>JOURNAL OF FISH BIOLOGY</t>
  </si>
  <si>
    <t>forage selection hypothesis; predator-prey interactions; seasonal and annual trends; sex-specific distribution</t>
  </si>
  <si>
    <t>ZEALAND FUR SEALS; ARCTOCEPHALUS-FORSTERI; GUADALUPE ISLAND; BEHAVIOR; MOVEMENTS; CALIFORNIA; ABUNDANCE; GROWTH; MEXICO; AGE</t>
  </si>
  <si>
    <t>The seasonal patterns of occurrence of male and female white sharks Carcharodon carcharias at the Neptune Islands in South Australia were reviewed. Analyses of a 14 year data series indicate that females seasonally aggregate in late autumn and winter coinciding with the maximum in-water availability of lactating female long-nose fur seals and seal pups. During this period, observed male:female sex ratios were similar; whereas during late spring and summer, males continued to visit, but females were rarely recorded. There was no evidence for segregation by sex or size at the Neptunes, but the highly focused seasonal pattern of occurrence of females compared with the year-round records of males suggests that there are likely to be differences between the sexes in overall distribution and movement patterns across southern Australia. It is suggested that foraging strategies and prey selection differ between sexes in C. carcharias across the life-history stages represented and that sex-specific foraging strategies may play an important role in structuring movement patterns and the sex ratios observed at such aggregation sites. Differences between sexes in distribution, movement patterns and foraging strategies are likely to have implications for modelling the consequences of fisheries by-catch between regions or jurisdictions and other spatially or temporally discrete anthropogenic effects on C. carcharias populations. Such differences urge for caution when estimating the size of C. carcharias populations based on observations at pinniped colonies due to the likelihood of sex-specific differences in movements and patterns of residency. These differences also suggest a need to account for sex-specific movement patterns and distribution in population and movement models as well as under conservation actions.</t>
  </si>
  <si>
    <t>[Bruce, B.; Bradford, R.] CSIRO Oceans &amp; Atmosphere, Hobart, Tas, Australia</t>
  </si>
  <si>
    <t>Commonwealth Scientific &amp; Industrial Research Organisation (CSIRO)</t>
  </si>
  <si>
    <t>Bruce, B (corresponding author), CSIRO Oceans &amp; Atmosphere, GPO Box 1538, Hobart, Tas, Australia.</t>
  </si>
  <si>
    <t>Barry.Bruce@csiro.au</t>
  </si>
  <si>
    <t>Bradford, Russell/N-3442-2015</t>
  </si>
  <si>
    <t>Bradford, Russell/0000-0003-0291-3180</t>
  </si>
  <si>
    <t>Marine Biodiversity Hub through the Australian Government's National Environmental Research Programme (NERP)</t>
  </si>
  <si>
    <t>The authors were supported by the Marine Biodiversity Hub through the Australian Government's National Environmental Research Programme (NERP). NERP Marine Biodiversity Hub partners include the Institute for Marine and Antarctic Studies, University of Tasmania, CSIRO, Geoscience Australia, Australian Institute of Marine Science, Museum Victoria, Charles Darwin University and the University of Western Australia. We specifically thank the following people for assistance during the project: R. Czabayski, R. Forster, A. Fox, C. Huveneers, R. Robbins and A. Wright. Earlier versions of the manuscript were improved via comments by J. Stevens, C. Proctor and N. Bax.</t>
  </si>
  <si>
    <t>0022-1112</t>
  </si>
  <si>
    <t>1095-8649</t>
  </si>
  <si>
    <t>J FISH BIOL</t>
  </si>
  <si>
    <t>J. Fish Biol.</t>
  </si>
  <si>
    <t>10.1111/jfb.12827</t>
  </si>
  <si>
    <t>CZ8DI</t>
  </si>
  <si>
    <t>WOS:000367329900007</t>
  </si>
  <si>
    <t>Ancel, A; Gilbert, C; Poulin, N; Beaulieu, M; Thierry, B</t>
  </si>
  <si>
    <t>Ancel, Andre; Gilbert, Caroline; Poulin, Nicolas; Beaulieu, Michael; Thierry, Bernard</t>
  </si>
  <si>
    <t>New insights into the huddling dynamics of emperor penguins</t>
  </si>
  <si>
    <t>ANIMAL BEHAVIOUR</t>
  </si>
  <si>
    <t>aggregation; Antarctica; Aptenodytes forsteri; energy saving; environment; huddling; social thermoregulation</t>
  </si>
  <si>
    <t>SOCIAL THERMOREGULATION; COLONIALITY; BEHAVIOR</t>
  </si>
  <si>
    <t>Social thermoregulation is a cooperative strategy in which animals actively aggregate to benefit from the warmth of conspecifics in response to low ambient temperatures. Emperor penguins, Aptenodytes forsteri, use this behaviour to ensure their survival and reproduction during the Antarctic winter. An emperor penguin colony consists of a dynamic mosaic of compact zones, the so-called huddles, included in a looser network of individuals. To maximize energy savings, birds should adjust their huddling behaviour according to environmental conditions. Here, we examined the dynamics of emperor penguin aggregations, based on photo and video records, in relation to climatic factors. Environmental temperature, wind and solar radiation were the main factors contributing to huddle formation. The analysis of individual movements showed that birds originating from loose aggregations continually joined huddles. Sometimes, a small number of birds induced a movement that propagated to the entire huddle, causing its breakup within 2 min and releasing birds, which then integrated into looser aggregations. Different parts of the colony therefore appeared to continually exchange individuals in response to environmental conditions. A likely explanation is that individuals in need of warmth join huddles, whereas individuals seeking to dissipate heat break huddles apart. The regular growth and decay of huddles operates as pulses through which birds gain, conserve or lose heat. Originally proposed to account for reducing energy expenditure, the concept of social thermoregulation appears to cover a highly dynamic phenomenon that fulfils a genuine regulatory function in emperor penguins. (C) 2015 The Association for the Study of Animal Behaviour. Published by Elsevier Ltd. All rights reserved.</t>
  </si>
  <si>
    <t>[Ancel, Andre; Thierry, Bernard] Univ Strasbourg, Inst Pluridisciplinaire Hubert Curien, Strasbourg, France; [Ancel, Andre; Thierry, Bernard] CNRS, Dept Ecol Physiol &amp; Ethol, Strasbourg, France; [Gilbert, Caroline] Univ Paris Est, CNRS, Ecole Natl Vet Alfort, Museum Natl Hist Nat, Paris, France; [Poulin, Nicolas] Univ Strasbourg, CNRS, CeStatS, Inst Rech Math Avancee, Strasbourg, France; [Beaulieu, Michael] Ernst Moritz Arndt Univ Greifswald, Museum &amp; Inst Zool, Greifswald, Germany</t>
  </si>
  <si>
    <t>Universites de Strasbourg Etablissements Associes; Universite de Strasbourg; Centre National de la Recherche Scientifique (CNRS); Universites de Strasbourg Etablissements Associes; Universite de Strasbourg; Museum National d'Histoire Naturelle (MNHN); Ecole Nationale Veterinaire d'Alfort (ENVA); Centre National de la Recherche Scientifique (CNRS); Centre National de la Recherche Scientifique (CNRS); Universites de Strasbourg Etablissements Associes; Universite de Strasbourg; Universitat Greifswald</t>
  </si>
  <si>
    <t>Ancel, A (corresponding author), CNRS, IPHC, DEPE, 23 Rue Becquerel, F-67087 Strasbourg, France.</t>
  </si>
  <si>
    <t>andre.ancel@iphc.cnrs.fr</t>
  </si>
  <si>
    <t>Gilbert, Caroline/HKV-2124-2023; Beaulieu, Michaël/A-5261-2011</t>
  </si>
  <si>
    <t>Gilbert, Caroline/0000-0002-9957-405X; Beaulieu, Michaël/0000-0002-9948-269X; Poulin, Nicolas/0000-0003-2740-7559</t>
  </si>
  <si>
    <t>Institut Polaire Francais Paul-Emile Victor (IPEV); Terres Australes et Antarctiques Francaises</t>
  </si>
  <si>
    <t>Fieldwork was financially and logistically supported by the Institut Polaire Francais Paul-Emile Victor (IPEV) and the Terres Australes et Antarctiques Francaises. Meteo France generously provided meteorological data. We thank Antoine Dervaux and Anne-Mathilde Thierry for fieldwork, and Helene Petit and Vincent Martin for data analysis. Finally, we particularly thank the two anonymous referees who provided valuable comments and contributed to a significant improvement of this paper.</t>
  </si>
  <si>
    <t>0003-3472</t>
  </si>
  <si>
    <t>1095-8282</t>
  </si>
  <si>
    <t>ANIM BEHAV</t>
  </si>
  <si>
    <t>Anim. Behav.</t>
  </si>
  <si>
    <t>10.1016/j.anbehav.2015.09.019</t>
  </si>
  <si>
    <t>Behavioral Sciences; Zoology</t>
  </si>
  <si>
    <t>CY9MR</t>
  </si>
  <si>
    <t>WOS:000366731500015</t>
  </si>
  <si>
    <t>Boch, R; Dietzel, M; Reichl, P; Leis, A; Baldermann, A; Mittermayr, F; Pölt, P</t>
  </si>
  <si>
    <t>Boch, Ronny; Dietzel, Martin; Reichl, Peter; Leis, Albrecht; Baldermann, Andre; Mittermayr, Florian; Poelt, Peter</t>
  </si>
  <si>
    <t>Rapid ikaite (CaCO3•6H2O) crystallization in a man-made river bed: Hydrogeochemical monitoring of a rarely documented mineral formation</t>
  </si>
  <si>
    <t>APPLIED GEOCHEMISTRY</t>
  </si>
  <si>
    <t>Ikaite; Hydrous calcium carbonate; Concrete leaching; Environmental monitoring; Portlandite; Rapid precipitation; CO2 absorption</t>
  </si>
  <si>
    <t>CALCIUM-CARBONATE HEXAHYDRATE; SEA-ICE; SOUTHWEST GREENLAND; TUFA COLUMNS; MONO LAKE; PRECIPITATION; SOLUBILITY; ALKALINE; SPECTRA; TRANSFORMATION</t>
  </si>
  <si>
    <t>During repository building measures a natural river was relocated and the water was directed through a new, artificial river bed lined with a concrete basement and local colluvium. Shortly after, centimetre-thick, beige-colored sinter-crusts were observed in the river bed. An environmental monitoring program launched in order to understand the rapid precipitation process revealed pH values up to 12.9 and high Ca2+ concentrations (196 mg/l) at near-freezing water-temperatures. A first set of crystal aggregates collected was found to disintegrate into a light-colored calcite powder at ambient temperature within few days only. Thus, the metastable precipitates were recovered in original solution and stored in a constantly-cooled refrigerator box. Immediate XRD, FT-IR and ESEM analyses revealed ikaite - calcium carbonate hexahydrate - being the rarely documented mineral never reported from such an environmental setting before. Ikaite typically forms in a narrow temperature range (&lt;4-8 degrees C) from strongly supersaturated solutions, e.g. some specific lake-, sea-and spring-water mixing locations, Arctic-and Antarctic sea-ice. In the present case, enhanced portlandite (Ca[OH](2)) dissolution from the concrete river basement by water inflowing during wintertime provided exceptional hydrochemical conditions suitable for rapid ikaite crystallization, e.g. of up to 2 kg d(-1) m(-2) in a particular stream section. Sampling sites from which ikaite was documented yielded pH &gt; 11 probably reflecting some lower limit of ikaite formation. Our findings do not support nucleation inhibitors (aqueous phosphate, magnesium, organic constituents), strongly elevated ionic strength (brines), or water-mixing as a crucial demand for ikaite precipitation. In this natural laboratory distinct ikaite vs. calcite spatial distribution encountered along the stream, and thus the spatiotemporal evolution of fluid-solid interaction could be studied. Finally, the prominent and widespread ikaite precipitates vanished rapidly during pronounced springtime air-and water-temperature rise &gt; 6 degrees C superimposed on more gradual hydrochemical changes, e.g. decrease of pH and Ca2+. The latter development highlights the critical temperature restriction of ikaite occurrence and stability. Anthropogenic combined with natural hydrogeochemical processes observed in this study are of interest for both applied and fundamental environmental research. (C) 2015 Elsevier Ltd. All rights reserved.</t>
  </si>
  <si>
    <t>[Boch, Ronny; Dietzel, Martin; Baldermann, Andre] Graz Univ Technol, Inst Appl Geosci, A-8010 Graz, Austria; [Reichl, Peter; Leis, Albrecht] Joanneum Res, Resources Inst Water Energy &amp; Sustainabil, A-8010 Graz, Austria; [Mittermayr, Florian] Graz Univ Technol, Inst Technol &amp; Testing Bldg Mat, A-8010 Graz, Austria; [Poelt, Peter] Graz Univ Technol, Austrian Ctr Electron Microscopy &amp; Nanoanal, A-8010 Graz, Austria</t>
  </si>
  <si>
    <t>Graz University of Technology; Graz University of Technology; Graz University of Technology</t>
  </si>
  <si>
    <t>Boch, R (corresponding author), Graz Univ Technol, Inst Appl Geosci, Rechbauerstr 12, A-8010 Graz, Austria.</t>
  </si>
  <si>
    <t>ronny.boch@tugraz.at</t>
  </si>
  <si>
    <t>Leis, Albrecht/M-9864-2013</t>
  </si>
  <si>
    <t>Leis, Albrecht/0000-0002-4154-6945; Mittermayr, Florian/0000-0003-0474-4798; Dietzel, Martin/0000-0003-2222-2459; Boch, Ronny/0000-0002-4535-8597; Baldermann, Andre/0000-0002-2319-4640</t>
  </si>
  <si>
    <t>0883-2927</t>
  </si>
  <si>
    <t>APPL GEOCHEM</t>
  </si>
  <si>
    <t>Appl. Geochem.</t>
  </si>
  <si>
    <t>10.1016/j.apgeochem.2015.10.003</t>
  </si>
  <si>
    <t>CY2DU</t>
  </si>
  <si>
    <t>WOS:000366219800031</t>
  </si>
  <si>
    <t>Chang, CH; Johnson, NC</t>
  </si>
  <si>
    <t>Chang, Chueh-Hsin; Johnson, Nathaniel C.</t>
  </si>
  <si>
    <t>The Continuum of Wintertime Southern Hemisphere Atmospheric Teleconnection Patterns</t>
  </si>
  <si>
    <t>Circulation; Dynamics; Antarctic Oscillation; ENSO; Madden-Julian oscillation; Teleconnections; Variability; Intraseasonal variability; Trends</t>
  </si>
  <si>
    <t>MADDEN-JULIAN OSCILLATION; SELF-ORGANIZING MAPS; TROPICAL CONVECTION; AMERICAN MODES; ANNULAR MODE; VARIABILITY; CIRCULATION; ENSO; SURFACE; NORTH</t>
  </si>
  <si>
    <t>This study uses the method of self-organizing maps (SOMs) to categorize the June-August atmospheric teleconnections in the 500-hPa geopotential height field of the Southern Hemisphere (SH) extratropics. This approach yields 12 SOM patterns that provide a discretized representation of the continuum of SH teleconnection patterns from 1979 to 2012. These 12 patterns are large in spatial scale, exhibiting a mix of annular mode characteristics and wave trains of zonal wavenumber varying from 2 to 4. All patterns vary with intrinsic time scales of about 5-10 days, but some patterns exhibit quasi-oscillatory behavior over a period of 20-30 days, whereas still others exhibit statistically significant enhanced and suppressed frequencies up to about four weeks in association with the Madden-Julian oscillation. Two patterns are significantly influenced by El Nino-Southern Oscillation (ENSO) on interannual time scales. All 12 patterns have strong influences on surface air temperature and sea ice concentrations, with the sea ice response occurring over a time scale of about 2-4 weeks. The austral winter has featured a positive frequency trend in patterns that project onto the negative phase of the southern annular mode (SAM) and a negative frequency trend in positive SAM-like patterns. Such atmospheric circulation trends over 34 yr may arise through atmospheric internal variability alone, and, unlike other seasons in the SH, it is not necessary to invoke external forcing as a dominant source of circulation trends.</t>
  </si>
  <si>
    <t>[Chang, Chueh-Hsin] Acad Sinica, Res Ctr Environm Changes, Taipei 115, Taiwan; [Johnson, Nathaniel C.] Univ Hawaii Manoa, Int Pacific Res Ctr, SOEST, Honolulu, HI 96822 USA; [Johnson, Nathaniel C.] Univ Calif San Diego, Scripps Inst Oceanog, La Jolla, CA 92093 USA; [Johnson, Nathaniel C.] Princeton Univ, Cooperat Inst Climate Sci, Princeton, NJ 08544 USA</t>
  </si>
  <si>
    <t>Academia Sinica - Taiwan; University of Hawaii System; University of Hawaii Manoa; University of California System; University of California San Diego; Scripps Institution of Oceanography; Princeton University</t>
  </si>
  <si>
    <t>Chang, CH (corresponding author), Acad Sinica, Res Ctr Environm Changes, 128 Sec 2,Acad Rd, Nankang 115, Taiwan.</t>
  </si>
  <si>
    <t>shingchang@gate.sinica.edu.tw</t>
  </si>
  <si>
    <t>Johnson, Nathaniel C/L-8045-2015</t>
  </si>
  <si>
    <t>NASA [NNX10AO90G]; NASA [NNX10AO90G, 126900] Funding Source: Federal RePORTER</t>
  </si>
  <si>
    <t>NASA(National Aeronautics &amp; Space Administration (NASA)); NASA(National Aeronautics &amp; Space Administration (NASA))</t>
  </si>
  <si>
    <t>We thank Drs. C. Chou and S.-P. Xie for their encouragement and support to this study. NCEP-NCAR reanalysis data are provided by the NOAA/OAR/ESRL PSD, Boulder, Colorado, from their Web site at http://www.esrl.noaa.gov/psd. The ERA-Interim data are obtained from NCAR Climate Data Guide: https://climatedataguide.ucar.edu/climate-data/era-interim. The sea ice concentration data from NASA Goddard Space Flight Center and NSIDC based on NASA Team algorithm are retrieved from https://climatedataguide.ucar.edu/climate-data/sea-ice-concentration-data-nasa-goddard-and-nsidc-based-nasa-team-algorithm. The GPCP satellite-gauge combed precipitation data were developed and computed at the NASA Goddard Space Flight Center's Mesoscale Atmospheric Processes Laboratory and downloaded from http://precip.gsfc.nasa.gov/. The climate indices are from the NOAA/Climate Prediction Center and the Climate Analysis Center of NCAR. This work is supported by NASA Award NNX10AO90G.</t>
  </si>
  <si>
    <t>10.1175/JCLI-D-14-00739.1</t>
  </si>
  <si>
    <t>CY9IM</t>
  </si>
  <si>
    <t>WOS:000366720600002</t>
  </si>
  <si>
    <t>Harris, RMB; McQuillan, P; Hughes, L</t>
  </si>
  <si>
    <t>Harris, Rebecca M. B.; McQuillan, Peter; Hughes, Lesley</t>
  </si>
  <si>
    <t>Reprint of: The effectiveness of common thermo-regulatory behaviours in a cool temperate grasshopper</t>
  </si>
  <si>
    <t>JOURNAL OF THERMAL BIOLOGY</t>
  </si>
  <si>
    <t>Behaviour; Climate change; Orthoptera; Thermal tolerance</t>
  </si>
  <si>
    <t>BODY-TEMPERATURE; ALTITUDINAL VARIATION; DESERT GRASSHOPPER; HABITAT SELECTION; THERMOREGULATION; ORTHOPTERA; ECTOTHERMS; EVOLUTION; MELANISM; ANIMALS</t>
  </si>
  <si>
    <t>Behavioural thermoregulation has the potential to alleviate the short-term impacts of climate change on some small ectotherms, without the need for changes to species distributions or genetic adaptation. We illustrate this by measuring the effect of behaviour in a cool temperate species of grasshopper (Phaulacridium vittatum) over a range of spatial and temporal scales in laboratory and natural field experiments. Microhabitat selection at the site scale was tested in free-ranging grasshoppers and related to changing thermal quality over a daily period. Artificial warming experiments were then used to measure the temperature at which common thermoregulatory behaviours are initiated and the subsequent reductions in body temperature. Behavioural means such as timing of activity, choice of substrates with optimum surface temperatures, shade seeking and postural adjustments (e.g. stilting, vertical orientation) were found to be highly effective at maintaining preferred body temperature. The maximum voluntarily tolerated temperature (MVT) was determined to be 44 degrees C +/- 0.4 degrees C, indicating the upper bounds of thermal flexibility in this species. Behavioural thermoregulation effectively enables small ectotherms to regulate exposure to changing environmental temperatures and utilize the spatially and temporally heterogeneous environments they occupy. Species such as the wingless grasshopper, although adapted to cool temperate conditions, are likely to be well equipped to respond successfully to coarse scale climate change. (C) 2015 Published by Elsevier Ltd.</t>
  </si>
  <si>
    <t>[Harris, Rebecca M. B.] Univ Tasmania, Antarctic Climate Ecosyst CRC, Hobart, Tas 7001, Australia; [McQuillan, Peter] Univ Tasmania, Sch Geog &amp; Environm Studies, Hobart, Tas 7001, Australia; [Hughes, Lesley] Macquarie Univ, Dept Biol Sci, N Ryde, NSW 2109, Australia</t>
  </si>
  <si>
    <t>University of Tasmania; University of Tasmania; Macquarie University</t>
  </si>
  <si>
    <t>Harris, RMB (corresponding author), Univ Tasmania, Antarctic Climate Ecosyst CRC, Private Bag 80, Hobart, Tas 7001, Australia.</t>
  </si>
  <si>
    <t>rmharris@utas.edu.au</t>
  </si>
  <si>
    <t>Hughes, Lesley/0000-0003-0313-9780</t>
  </si>
  <si>
    <t>Australian Postgraduate Award; ANZ (Australia and New Zealand Banking Group) Holsworth Wildlife Research Endowment</t>
  </si>
  <si>
    <t>Australian Postgraduate Award(Australian Government); ANZ (Australia and New Zealand Banking Group) Holsworth Wildlife Research Endowment</t>
  </si>
  <si>
    <t>R.M.B.H. was the recipient of an Australian Postgraduate Award, and the study was partially funded by an ANZ (Australia and New Zealand Banking Group) Holsworth Wildlife Research Endowment.</t>
  </si>
  <si>
    <t>0306-4565</t>
  </si>
  <si>
    <t>J THERM BIOL</t>
  </si>
  <si>
    <t>J. Therm. Biol.</t>
  </si>
  <si>
    <t>10.1016/j.jtherbio.2015.10.008</t>
  </si>
  <si>
    <t>Biology; Zoology</t>
  </si>
  <si>
    <t>Life Sciences &amp; Biomedicine - Other Topics; Zoology</t>
  </si>
  <si>
    <t>CZ0DO</t>
  </si>
  <si>
    <t>WOS:000366775500004</t>
  </si>
  <si>
    <t>Holmstrup, M</t>
  </si>
  <si>
    <t>Holmstrup, Martin</t>
  </si>
  <si>
    <t>Reprint of: The ins and outs of water dynamics in cold tolerant soil invertebrates</t>
  </si>
  <si>
    <t>Arctic environments; Cryoprotective dehydration; Compatible osmolytes; Freeze tolerance; Soil invertebrates</t>
  </si>
  <si>
    <t>COLLEMBOLAN ONYCHIURUS-ARCTICUS; NEMATODE PANAGROLAIMUS-DAVIDI; DENDROBAENA-OCTAEDRA SAVIGNY; CRYOPROTECTIVE DEHYDRATION; SUBZERO TEMPERATURES; ANTARCTIC MIDGE; OVERWINTERING STRATEGIES; BELGICA-ANTARCTICA; CRYPTOPYGUS-ANTARCTICUS; TERRESTRIAL ARTHROPODS</t>
  </si>
  <si>
    <t>Many soil invertebrates have physiological characteristics in common with freshwater animals and represent an evolutionary transition from aquatic to terrestrial life forms. Their high cuticular permeability and ability to tolerate large modifications of internal osmolality are of particular importance for their cold tolerance. A number of cold region species that spend some or most of their life-time in soil are in more or less intimate contact with soil ice during overwintering. Unless such species have effective barriers against cuticular water-transport, they have only two options for survival: tolerate internal freezing or dehydrate. The risk of internal ice formation may be substantial due to inoculative freezing and many species rely on freeze-tolerance for overwintering. If freezing does not occur, the desiccating power of external ice will cause the animal to dehydrate until vapor pressure equilibrium between body fluids and external ice has been reached. This cold tolerance mechanism is termed ayoprotective dehydration (CPD) and requires that the animal must be able to tolerate substantial dehydration. Even though CPD is essentially a freeze-avoidance strategy the associated physiological traits are more or less the same as those found in freeze tolerant species. The most well-known are accumulation of compatible osmolytes and molecular chaperones reducing or protecting against the stress caused by cellular dehydration. Environmental moisture levels of the habitat are important for which type of cold tolerance is employed, not only in an evolutionary context, but also within a single population. Some species use CPD under relatively dry conditions, but freeze tolerance when soil moisture is high. (C) 2015 Published by Elsevier Ltd.</t>
  </si>
  <si>
    <t>[Holmstrup, Martin] Aarhus Univ, Dept Biosci, DK-8600 Silkeborg, Denmark</t>
  </si>
  <si>
    <t>Aarhus University</t>
  </si>
  <si>
    <t>Holmstrup, M (corresponding author), Aarhus Univ, Dept Biosci, Vejlsovej 25, DK-8600 Silkeborg, Denmark.</t>
  </si>
  <si>
    <t>martin.holmstrup@dmu.dk</t>
  </si>
  <si>
    <t>Holmstrup, Martin/E-8731-2017; Holmstrup, Martin/I-7463-2013</t>
  </si>
  <si>
    <t>Holmstrup, Martin/0000-0001-8395-6582</t>
  </si>
  <si>
    <t>Society of Experimental Biology; Journal of Thermal Biology</t>
  </si>
  <si>
    <t>The author thanks Society of Experimental Biology and Journal of Thermal Biology for supporting this paper, and the constructive criticism of reviewers.</t>
  </si>
  <si>
    <t>10.1016/j.jtherbio.2015.10.006</t>
  </si>
  <si>
    <t>WOS:000366775500006</t>
  </si>
  <si>
    <t>Kakumura, K; Takabe, S; Takagi, W; Hasegawa, K; Konno, N; Bell, JD; Toop, T; Donald, JA; Kaneko, T; Hyodo, S</t>
  </si>
  <si>
    <t>Kakumura, Keigo; Takabe, Souichirou; Takagi, Wataru; Hasegawa, Kumi; Konno, Norifumi; Bell, Justin D.; Toop, Tes; Donald, John A.; Kaneko, Toyoji; Hyodo, Susumu</t>
  </si>
  <si>
    <t>Morphological and molecular investigations of the holocephalan elephant fish nephron: the existence of a countercurrent-like configuration and two separate diluting segments in the distal tubule</t>
  </si>
  <si>
    <t>CELL AND TISSUE RESEARCH</t>
  </si>
  <si>
    <t>Cartilaginous fish; Kidney; Urea reabsorption; Membrane transporter; Diluting segment</t>
  </si>
  <si>
    <t>DOGFISH SCYLIORHINUS-CANICULUS; ELASMOBRANCH RENAL TUBULE; FINE-STRUCTURE; MARINE ELASMOBRANCH; BANDED HOUNDSHARK; SQUALUS-ACANTHIAS; CL-COTRANSPORTER; UREA TRANSPORTER; RAJA-ERINACEA; K-ATPASE</t>
  </si>
  <si>
    <t>In marine cartilaginous fish, reabsorption of filtered urea by the kidney is essential for retaining a large amount of urea in their body. However, the mechanism for urea reabsorption is poorly understood due to the complexity of the kidney. To address this problem, we focused on elephant fish (Callorhinchus milii) for which a genome database is available, and conducted molecular mapping of membrane transporters along the different segments of the nephron. Basically, the nephron architecture of elephant fish was similar to that described for elasmobranch nephrons, but some unique features were observed. The late distal tubule (LDT), which corresponded to the fourth loop of the nephron, ran straight near the renal corpuscle, while it was convoluted around the tip of the loop. The ascending and descending limbs of the straight portion were closely apposed to each other and were arranged in a countercurrent fashion. The convoluted portion of LDT was tightly packed and enveloped by the larger convolution of the second loop that originated from the same renal corpuscle. In situ hybridization analysis demonstrated that co-localization of Na+,K+,2Cl(-) cotransporter 2 and Na+/K+-ATPase alpha 1 subunit was observed in the early distal tubule and the posterior part of LDT, indicating the existence of two separate diluting segments. The diluting segments most likely facilitate NaCl absorption and thereby water reabsorption to elevate urea concentration in the filtrate, and subsequently contribute to efficient urea reabsorption in the final segment of the nephron, the collecting tubule, where urea transporter-1 was intensely localized.</t>
  </si>
  <si>
    <t>[Kakumura, Keigo; Takabe, Souichirou; Takagi, Wataru; Hasegawa, Kumi; Hyodo, Susumu] Univ Tokyo, Atmosphere &amp; Ocean Res Inst, Physiol Lab, Kashiwa, Chiba 2778564, Japan; [Kakumura, Keigo; Kaneko, Toyoji] Univ Tokyo, Grad Sch Agr &amp; Life Sci, Dept Aquat Biosci, Lab Aquat Anim Physiol,Bunkyo Ku, Tokyo 1138657, Japan; [Konno, Norifumi] Toyama Univ, Grad Sch Sci &amp; Engn, Dept Biol Sci, Toyama 9308555, Japan; [Bell, Justin D.] Univ Tasmania, Inst Marine &amp; Antarctic Studies, Taroona, Tas 7053, Australia; [Toop, Tes; Donald, John A.] Deakin Univ, Sch Life &amp; Environm Sci, Geelong, Vic 3217, Australia</t>
  </si>
  <si>
    <t>University of Tokyo; University of Tokyo; University of Toyama; University of Tasmania; Deakin University</t>
  </si>
  <si>
    <t>Kakumura, K (corresponding author), Univ Tokyo, Atmosphere &amp; Ocean Res Inst, Physiol Lab, 5-1-5 Kashiwa No Ha, Kashiwa, Chiba 2778564, Japan.</t>
  </si>
  <si>
    <t>kakumura@marine.fs.a.u-tokyo.ac.jp</t>
  </si>
  <si>
    <t>Takagi, Wataru/ISS-5569-2023; Takagi, Wataru/N-7627-2019; Takagi, Wataru/C-5377-2017; Donald, John/B-4656-2012</t>
  </si>
  <si>
    <t>Takagi, Wataru/0000-0002-7882-0223; Takagi, Wataru/0000-0002-7882-0223; Hyodo, Susumu/0000-0001-8146-2386; Donald, John/0000-0001-5930-2642</t>
  </si>
  <si>
    <t>Grants-in-Aid for Scientific Research [26291065, 26650110, 15H04394, 26252032] Funding Source: KAKEN</t>
  </si>
  <si>
    <t>0302-766X</t>
  </si>
  <si>
    <t>1432-0878</t>
  </si>
  <si>
    <t>CELL TISSUE RES</t>
  </si>
  <si>
    <t>Cell Tissue Res.</t>
  </si>
  <si>
    <t>10.1007/s00441-015-2234-4</t>
  </si>
  <si>
    <t>CY3PP</t>
  </si>
  <si>
    <t>WOS:000366322300018</t>
  </si>
  <si>
    <t>Abakumov, EV; Tomashunas, VM; Lodygin, ED; Gabov, DN; Sokolov, VT; Krylenkov, VA; Kirtsideli, IY</t>
  </si>
  <si>
    <t>Abakumov, E. V.; Tomashunas, V. M.; Lodygin, E. D.; Gabov, D. N.; Sokolov, V. T.; Krylenkov, V. A.; Kirtsideli, I. Yu.</t>
  </si>
  <si>
    <t>Polycyclic aromatic hydrocarbons in insular and coastal soils of the Russian Arctic</t>
  </si>
  <si>
    <t>EURASIAN SOIL SCIENCE</t>
  </si>
  <si>
    <t>Arctic soils; cryozems (Cryosols); soil-ecological status of landscapes</t>
  </si>
  <si>
    <t>NORTHERN; ISLAND</t>
  </si>
  <si>
    <t>The content and individual component compositions of polycyclic aromatic hydrocarbons in polar soils of the Russian Arctic sector have been studied. The contamination of soils near research stations is identified from the expansion of the range of individual polycyclic aromatic hydrocarbons, the abrupt increase in the content of heavy fractions, and the accumulation of benzo[a]pyrene. Along with heavy hydrocarbons, light hydrocarbons (which are not only natural compounds, but also components of organic pollutants) are also accumulated in the contaminated soils. Heavy polycyclic aromatic hydrocarbons are usually of technogenic origin and can serve as markers of anthropogenic impact in such areas as Cape Sterligov, Cape Chelyuskin, and the Izvestii TsIK Islands. The content of benzo[a]pyrene, the most hazardous organic toxicant, appreciably increases in soils around the stations, especially compared to the control; however, the level of MPC is exceeded only for the soils of Cape Chelyuskin.</t>
  </si>
  <si>
    <t>[Abakumov, E. V.; Tomashunas, V. M.; Krylenkov, V. A.] St Petersburg State Univ, St Petersburg 199178, Russia; [Lodygin, E. D.; Gabov, D. N.] Russian Acad Sci, Inst Biol, Ural Branch, Komi Sci Ctr, Syktyvkar 167982, Komi Republic, Russia; [Sokolov, V. T.] Arctic &amp; Antarctic Res Inst, St Petersburg 199397, Russia; [Kirtsideli, I. Yu.] Russian Acad Sci, Komarov Bot Garden, St Petersburg 197376, Russia</t>
  </si>
  <si>
    <t>Saint Petersburg State University; Russian Academy of Sciences; Komi Science Centre of the Ural Branch of the Russian Academy of Sciences; Institute of Biology, Komi Scientific Centre, Ural Branch RAS; Arctic &amp; Antarctic Research Institute; Russian Academy of Sciences</t>
  </si>
  <si>
    <t>Abakumov, EV (corresponding author), St Petersburg State Univ, 16 Liniya VO 29, St Petersburg 199178, Russia.</t>
  </si>
  <si>
    <t>Kirtsideli, Irina Yu/K-2072-2018; Gabov, Dmitriy/P-9551-2015; Lodygin, Evgeny/D-1858-2012; Abakumov, e_abakumov@mail.ru/ADJ-1297-2022; Abakumov, Evgeny/AAO-8580-2020</t>
  </si>
  <si>
    <t>Gabov, Dmitriy/0000-0002-3786-9872; Lodygin, Evgeny/0000-0002-0675-524X; Abakumov, e_abakumov@mail.ru/0000-0002-5248-9018; Abakumov, Evgeny/0000-0002-5248-9018</t>
  </si>
  <si>
    <t>Russian Foundation for Basic Research [12-04-00680-a, 14-04-31303 mol_a]; Ural Branch of the Russian Academy of Sciences [12-U-4-1003]; St. Petersburg State University [1.37.151.2014]; Russian Federation [MD 3615.2015.4]</t>
  </si>
  <si>
    <t>Russian Foundation for Basic Research(Russian Foundation for Basic Research (RFBR)Spanish Government); Ural Branch of the Russian Academy of Sciences(Russian Academy of Sciences); St. Petersburg State University; Russian Federation(Russian Federation)</t>
  </si>
  <si>
    <t>This work was supported in part by the Russian Foundation for Basic Research (project nos. 12-04-00680-a, 14-04-31303 mol_a), the Ural Branch of the Russian Academy of Sciences (project no. 12-U-4-1003), the St. Petersburg State University (project no. 1.37.151.2014), and the Grant of the President of the Russian Federation for young doctors in sciences (project no. MD 3615.2015.4).</t>
  </si>
  <si>
    <t>1064-2293</t>
  </si>
  <si>
    <t>1556-195X</t>
  </si>
  <si>
    <t>EURASIAN SOIL SCI+</t>
  </si>
  <si>
    <t>Eurasian Soil Sci.</t>
  </si>
  <si>
    <t>10.1134/S1064229315120029</t>
  </si>
  <si>
    <t>CY1HH</t>
  </si>
  <si>
    <t>WOS:000366156800003</t>
  </si>
  <si>
    <t>Alzaid, A; Hori, TS; Hall, JR; Rise, ML; Gamperl, AK</t>
  </si>
  <si>
    <t>Alzaid, Abdullah; Hori, Tiago S.; Hall, Jennifer R.; Rise, Matthew L.; Gamperl, A. Kurt</t>
  </si>
  <si>
    <t>Cold-induced changes in stress hormone and steroidogenic transcript levels in cunner (Tautogolabrus adspersus), a fish capable of metabolic depression</t>
  </si>
  <si>
    <t>GENERAL AND COMPARATIVE ENDOCRINOLOGY</t>
  </si>
  <si>
    <t>Temperature; Metabolic depression; Stress response; Catecholamines; Cortisol; Gene transcription</t>
  </si>
  <si>
    <t>ACUTE REGULATORY PROTEIN; COD GADUS-MORHUA; TROUT ONCORHYNCHUS-MYKISS; GLUCOCORTICOID-RECEPTOR; RAINBOW-TROUT; MESSENGER-RNA; ATLANTIC COD; ANTARCTIC FISH; CORTICOSTEROID RECEPTORS; GILTHEAD SEABREAM</t>
  </si>
  <si>
    <t>The cunner (Tautogolabrus adspersus) is a fish with a wide latitudinal distribution that is capable of going into metabolic depression during the winter months, and thus, represents a unique model to investigate the impacts of cold temperatures on the stress response. In this study, we measured resting (pre-stress) plasma cortisol levels in 10 degrees C and 0 degrees C acclimated cunner from Newfoundland, and both catecholamine and cortisol levels after they were given a standardized handling stress (i.e. 1 min air exposure). In addition, we cloned and characterized cDNAs for several key genes of the cortisol-axis [cytochrome P450scc, steroidogenic acute regulatory protein (StAR) and a glucocorticoid receptor (GR) most likely to be an ortholog of the teleost GR21, determined the tissue distribution of their transcripts, and measured their constitutive (i.e. pre-stress) transcript levels in individuals acclimated to both temperatures. In cunner acclimated to 0 degrees C, post-stress epinephrine and norepinephrine levels were much lower (by approximately 9- and 5-fold, respectively) compared to 10 degrees C acclimated fish, and these fish had relatively low resting cortisol levels (similar to 15 ng ml(-1)) and showed a typical post-stress response. In contrast, those acclimated to 10 degrees C had quite high resting cortisol levels (similar to 75 ng ml(-1)) that actually decreased (to similar to 20 ng ml(-1)) post-stress before returning to pre-stress levels. Finally, fish acclimated to 10 degrees C had higher P450scc transcript levels in the head kidney and lower levels of GR transcript in both the head kidney and liver. Taken together, these results suggest that: (I) temperature has a profound effect on the stress response of this species; and (2) although the ancestors of this species inhabited warm waters (i.e. they are members of the family Labridae), populations of cunner from colder regions may show signs of stress at temperatures as low as 10 degrees C. (C) 2015 Elsevier Inc. All rights reserved.</t>
  </si>
  <si>
    <t>[Alzaid, Abdullah; Hori, Tiago S.; Rise, Matthew L.; Gamperl, A. Kurt] Mem Univ Newfoundland, Dept Ocean Sci, St John, NF A1C 5S7, Canada; [Hall, Jennifer R.] Mem Univ Newfoundland, Ctr Ocean Sci, CREAIT Network, Aquat Res Cluster, St John, NF A1C 5S7, Canada</t>
  </si>
  <si>
    <t>Memorial University Newfoundland; Memorial University Newfoundland</t>
  </si>
  <si>
    <t>Gamperl, AK (corresponding author), Mem Univ Newfoundland, Dept Ocean Sci, St John, NF A1C 5S7, Canada.</t>
  </si>
  <si>
    <t>kgamperl@mun.ca</t>
  </si>
  <si>
    <t>Hori, Tiago/0000-0002-6784-0800</t>
  </si>
  <si>
    <t>Natural Sciences and Engineering Research Council (NSERC); NSERC; Department of Biological Sciences, Kuwait University</t>
  </si>
  <si>
    <t>Natural Sciences and Engineering Research Council (NSERC)(Natural Sciences and Engineering Research Council of Canada (NSERC)); NSERC(Natural Sciences and Engineering Research Council of Canada (NSERC)); Department of Biological Sciences, Kuwait University</t>
  </si>
  <si>
    <t>This research was supported through Natural Sciences and Engineering Research Council (NSERC) Discovery and Accelerator grants to AKG, a NSERC Discovery grant to MLR, and a graduate scholarship to AA from the Department of Biological Sciences, Kuwait University. We thank Isabel Costa for assistance with various aspects of this project, and Dr. Steve Perry (University of Ottawa) for analysis of the catecholamine samples.</t>
  </si>
  <si>
    <t>0016-6480</t>
  </si>
  <si>
    <t>1095-6840</t>
  </si>
  <si>
    <t>GEN COMP ENDOCR</t>
  </si>
  <si>
    <t>Gen. Comp. Endocrinol.</t>
  </si>
  <si>
    <t>DEC 1</t>
  </si>
  <si>
    <t>10.1016/j.ygcen.2015.07.007</t>
  </si>
  <si>
    <t>Endocrinology &amp; Metabolism; Zoology</t>
  </si>
  <si>
    <t>CY5HJ</t>
  </si>
  <si>
    <t>WOS:000366438400012</t>
  </si>
  <si>
    <t>Yamaguchi, Y; Takagi, W; Kuraku, S; Moriyama, S; Bell, JD; Seale, AP; Lerner, DT; Grau, EG; Hyodo, S</t>
  </si>
  <si>
    <t>Yamaguchi, Yoko; Takagi, Wataru; Kuraku, Shigehiro; Moriyama, Shunsuke; Bell, Justin D.; Seale, Andre P.; Lerner, Darren T.; Grau, E. Gordon; Hyodo, Susumu</t>
  </si>
  <si>
    <t>Discovery of conventional prolactin from the holocephalan elephant fish, Callorhinchus milii</t>
  </si>
  <si>
    <t>Prolactin; GH/PRL family; Cartilaginous fish; Molecular evolution</t>
  </si>
  <si>
    <t>GROWTH-HORMONE; EURYHALINE ELASMOBRANCHS; OREOCHROMIS-MOSSAMBICUS; ENVIRONMENTAL SALINITY; SIGNAL-TRANSDUCTION; FRESH-WATER; PITUITARY; RECEPTOR; SOMATOLACTIN; TILAPIA</t>
  </si>
  <si>
    <t>The conventional prolactin (PRL), also known as PRL1, is an adenohypophysial hormone that critically regulates various physiological events in reproduction, metabolism, growth, osmoregulation, among others. PRL1 shares its evolutionary origin with PRL2, growth hormone (GH), somatolactin and placental lactogen, which together form the GH/PRL hormone family. Previously, several bioassays implied the existence of PRL1 in elasmobranch pituitaries. However, to date, all attempts to isolate PRL1 from chondrichthyans have been unsuccessful. Here, we cloned PRLI from the pituitary of the holocephalan elephant fish, Callorhinchus milii, as the first report of chondrichthyan PRL1. The putative mature protein of elephant fish PRL1 (cmPRL1) consists of 198 amino acids, containing two conserved disulfide bonds. The orthologous relationship of cmPRL1 to known vertebrate PRL1s was confirmed by the analyses of molecular phylogeny and gene synteny. The cmPRL1 gene was similar to teleost PRL1 genes in gene synteny, but was distinct from amniote PRL1 genes, which most likely arose in an early amphibian by duplication of the ancestral PRL1 gene. The mRNA of cmPRL1 was predominantly expressed in the pituitary, but was considerably less abundant than has been previously reported for bony fish and tetrapod PRL1s; the copy number of cmPRL1 mRNA in the pituitary was less than 1% and 0.1% of that of GH and pro-opiomelanocortin mRNAs, respectively. The cells expressing cmPRL1 mRNA were sparsely distributed in the rostral pars distalis. Our findings provide a new insight into the studies on molecular and functional evolution of PRL1 in vertebrates. (C) 2015 Elsevier Inc. All rights reserved.</t>
  </si>
  <si>
    <t>[Yamaguchi, Yoko; Seale, Andre P.; Lerner, Darren T.; Grau, E. Gordon] Univ Hawaii, Hawaii Inst Marine Biol, Kaneohe, HI 96744 USA; [Takagi, Wataru; Hyodo, Susumu] Univ Tokyo, Atmosphere &amp; Ocean Res Inst, Physiol Lab, Kashiwa, Chiba 2778564, Japan; [Kuraku, Shigehiro] RIKEN, Ctr Life Sci Technol, Phyloinformat Unit, Kobe, Hyogo 6500047, Japan; [Moriyama, Shunsuke] Kitasato Univ, Sch Marine Biosci, Sagamihara, Kanagawa 2520373, Japan; [Bell, Justin D.] Univ Tasmania, Inst Marine &amp; Antarctic Studies, Taroona, Tas 7053, Australia; [Lerner, Darren T.; Grau, E. Gordon] Univ Hawaii Manoa, Sea Grant Coll Program, Honolulu, HI 96822 USA</t>
  </si>
  <si>
    <t>University of Hawaii System; University of Tokyo; RIKEN; Kitasato University; University of Tasmania; University of Hawaii System; University of Hawaii Manoa</t>
  </si>
  <si>
    <t>Yamaguchi, Y (corresponding author), Univ Hawaii, Hawaii Inst Marine Biol, Kaneohe, HI 96744 USA.</t>
  </si>
  <si>
    <t>yoko7@hawaii.edu; wtakagi@aori.u-tokyo.ac.jp; shigehiro.kuraku@riken.jp; morisuke@kitasato-u.ac.jp; Justin.Bell@utas.edu.au; seale@hawaii.edu; lerner@hawaii.edu; grau@hawaii.edu; hyodo@aori.u-tokyo.ac.jp</t>
  </si>
  <si>
    <t>Takagi, Wataru/C-5377-2017; Takagi, Wataru/ISS-5569-2023; Seale, Andre/AAW-7619-2020; Takagi, Wataru/N-7627-2019; Kuraku, Shigehiro/B-2801-2009</t>
  </si>
  <si>
    <t>Takagi, Wataru/0000-0002-7882-0223; Seale, Andre/0000-0003-2398-4201; Takagi, Wataru/0000-0002-7882-0223; Hyodo, Susumu/0000-0001-8146-2386; Yamaguchi, Yoko/0000-0002-0526-0069; Kuraku, Shigehiro/0000-0003-1464-8388</t>
  </si>
  <si>
    <t>Japan Society for the Promotion of Science [10034011-000062, 13039901-000237, 26291065, 26650110]; National Science Foundation [IOS-1119693]; National Oceanic and Atmospheric Administration - University of Hawai'i Sea Grant College Program, SOEST [NA14OAR4170071, R/SS-12]; Grants-in-Aid for Scientific Research [26650110, 26291065, 15H04534] Funding Source: KAKEN</t>
  </si>
  <si>
    <t>Japan Society for the Promotion of Science(Ministry of Education, Culture, Sports, Science and Technology, Japan (MEXT)Japan Society for the Promotion of Science); National Science Foundation(National Science Foundation (NSF)); National Oceanic and Atmospheric Administration - University of Hawai'i Sea Grant College Program, SOEST; Grants-in-Aid for Scientific Research(Ministry of Education, Culture, Sports, Science and Technology, Japan (MEXT)Japan Society for the Promotion of ScienceGrants-in-Aid for Scientific Research (KAKENHI))</t>
  </si>
  <si>
    <t>This study was supported by Grant-in-Aid for Scientific Research (B) (Grant No. 26291065) and for Challenging Exploratory Research (Grant No. 26650110), and a Japan-Australia Research Cooperative Program (Reference Nos. 10034011-000062 and 13039901-000237) from the Japan Society for the Promotion of Science to S.H. This work was also funded by Grants from the National Science Foundation (IOS-1119693) to E.G.G. and D.T.L, and National Oceanic and Atmospheric Administration (NA14OAR4170071) which is sponsored by the University of Hawai'i Sea Grant College Program, SOEST (Project R/SS-12) to A.P.S.</t>
  </si>
  <si>
    <t>10.1016/j.ygcen.2015.08.020</t>
  </si>
  <si>
    <t>WOS:000366438400021</t>
  </si>
  <si>
    <t>Dufour, CO; Griffies, SM; de Souza, GF; Frenger, I; Morrison, AK; Palter, JB; Sarmiento, JL; Galbraith, ED; Dunne, JP; Anderson, WG; Slater, RD</t>
  </si>
  <si>
    <t>Dufour, Carolina O.; Griffies, Stephen M.; de Souza, Gregory F.; Frenger, Ivy; Morrison, Adele K.; Palter, Jaime B.; Sarmiento, Jorge L.; Galbraith, Eric D.; Dunne, John P.; Anderson, Whit G.; Slater, Richard D.</t>
  </si>
  <si>
    <t>Role of Mesoscale Eddies in Cross-Frontal Transport of Heat and Biogeochemical Tracers in the Southern Ocean</t>
  </si>
  <si>
    <t>Geographic location; entity; Southern Ocean; Circulation; Dynamics; Advection; Diffusion; Eddies; Fronts; Transport</t>
  </si>
  <si>
    <t>ANTARCTIC CIRCUMPOLAR CURRENT; MERIDIONAL OVERTURNING CIRCULATION; MIXED-LAYER; Z-COORDINATE; EDDY FLUXES; DEEP-OCEAN; CLIMATE; EXCHANGE; IMPACT; WATER</t>
  </si>
  <si>
    <t>This study examines the role of processes transporting tracers across the Polar Front (PF) in the depth interval between the surface and major topographic sills, which this study refers to as the PF core. A preindustrial control simulation of an eddying climate model coupled to a biogeochemical model [GFDL Climate Model, version 2.6 (CM2.6)- simplified version of the Biogeochemistry with Light Iron Nutrients and Gas (miniBLING) 0.1 degrees ocean model] is used to investigate the transport of heat, carbon, oxygen, and phosphate across the PF core, with a particular focus on the role of mesoscale eddies. The authors find that the total transport across the PF core results from a ubiquitous Ekman transport that drives the upwelled tracers to the north and a localized opposing eddy transport that induces tracer leakages to the south at major topographic obstacles. In the Ekman layer, the southward eddy transport only partially compensates the northward Ekman transport, while below the Ekman layer, the southward eddy transport dominates the total transport but remains much smaller in magnitude than the near-surface northward transport. Most of the southward branch of the total transport is achieved below the PF core, mainly through geostrophic currents. This study finds that the eddy-diffusive transport reinforces the southward eddy-advective transport for carbon and heat, and opposes it for oxygen and phosphate. Eddy-advective transport is likely to be the leading-order component of eddy-induced transport for all four tracers. However, eddy-diffusive transport may provide a significant contribution to the southward eddy heat transport due to strong along-isopycnal temperature gradients.</t>
  </si>
  <si>
    <t>[Dufour, Carolina O.; de Souza, Gregory F.; Frenger, Ivy; Morrison, Adele K.; Sarmiento, Jorge L.; Slater, Richard D.] Princeton Univ, Atmospher &amp; Ocean Sci Program, Princeton, NJ 08544 USA; [Griffies, Stephen M.; Dunne, John P.; Anderson, Whit G.] NOAA, Geophys Fluid Dynam Lab, Princeton, NJ USA; [Palter, Jaime B.] McGill Univ, Dept Atmospher &amp; Ocean Sci, Montreal, PQ, Canada; [Galbraith, Eric D.] McGill Univ, Dept Earth &amp; Planetary Sci, Montreal, PQ, Canada</t>
  </si>
  <si>
    <t>National Oceanic Atmospheric Admin (NOAA) - USA; Princeton University; National Oceanic Atmospheric Admin (NOAA) - USA; McGill University; McGill University</t>
  </si>
  <si>
    <t>Dufour, CO (corresponding author), Program Atmospher &amp; Ocean Sci, 300 Forrestal Rd,Sayre Hall, Princeton, NJ 08544 USA.</t>
  </si>
  <si>
    <t>cdufour@princeton.edu</t>
  </si>
  <si>
    <t>Frenger, Ivy/B-9023-2017; Palter, Jaime B/B-9484-2011; Dunne, John/F-8086-2012; Dufour, Carolina/GZA-9986-2022; Griffies, Stephen Matthew/N-9144-2019; Galbraith, Eric/F-9469-2014; Morrison, Adele/C-1774-2012</t>
  </si>
  <si>
    <t>Frenger, Ivy/0000-0002-3490-7239; Dufour, Carolina/0000-0002-1441-3880; Griffies, Stephen Matthew/0000-0002-3711-236X; Galbraith, Eric/0000-0003-4476-4232; Morrison, Adele/0000-0002-9904-4980; de Souza, Gregory/0000-0002-0232-2690; Palter, Jaime/0000-0002-2656-8062</t>
  </si>
  <si>
    <t>National Aeronautics and Space Administration (NASA) [NNX14AL40G]; Princeton Environmental Institute Grand Challenge initiative; Swiss National Science Foundation (SNSF) [P300P2-147747]; NASA [NNX14AL40G]; U.S. Department of Energy [DE-SC0012457]; SNSF Early Postdoc Mobility Fellowship [P2EZP2-152133]; Southern Ocean Carbon and Climate Observations and Modeling (SOCCOM) project under the National Science Foundation [PLR-1425989]; NASA [679646, NNX14AL40G] Funding Source: Federal RePORTER; Office of Polar Programs (OPP); Directorate For Geosciences [1425989] Funding Source: National Science Foundation; Swiss National Science Foundation (SNF) [P2EZP2_152133, P300P2_147747] Funding Source: Swiss National Science Foundation (SNF); U.S. Department of Energy (DOE) [DE-SC0012457] Funding Source: U.S. Department of Energy (DOE)</t>
  </si>
  <si>
    <t>National Aeronautics and Space Administration (NASA)(National Aeronautics &amp; Space Administration (NASA)); Princeton Environmental Institute Grand Challenge initiative; Swiss National Science Foundation (SNSF)(Swiss National Science Foundation (SNSF)); NASA(National Aeronautics &amp; Space Administration (NASA)); U.S. Department of Energy(United States Department of Energy (DOE)); SNSF Early Postdoc Mobility Fellowship(Swiss National Science Foundation (SNSF)); Southern Ocean Carbon and Climate Observations and Modeling (SOCCOM) project under the National Science Foundation; NASA(National Aeronautics &amp; Space Administration (NASA)); Office of Polar Programs (OPP); Directorate For Geosciences(National Science Foundation (NSF)NSF - Directorate for Geosciences (GEO)); Swiss National Science Foundation (SNF)(Swiss National Science Foundation (SNSF)); U.S. Department of Energy (DOE)(United States Department of Energy (DOE))</t>
  </si>
  <si>
    <t>The CM2.6-miniBLING control simulation was run at GFDL through a large co-operative effort involving a substantial commitment of computational resources and data storage. C.O. Dufour was supported by the National Aeronautics and Space Administration (NASA) under Award NNX14AL40G and by the Princeton Environmental Institute Grand Challenge initiative. G. F. de Souza was supported by the Swiss National Science Foundation (SNSF) Postdoctoral Fellowship P300P2-147747 and NASA under Award NNX14AL40G. A. K. Morrison was supported by the U.S. Department of Energy under Award DE-SC0012457. I. Frenger was supported by the SNSF Early Postdoc Mobility Fellowship P2EZP2-152133. J. L. Sarmiento was supported by the Southern Ocean Carbon and Climate Observations and Modeling (SOCCOM) project under the National Science Foundation Award PLR-1425989. R. D. Slater was supported by NASA under Award NNX14AL40G. We thank Michael Winton, Alison Gray, and Robert Hallberg for helpful comments and discussions on this manuscript and Youngrak Cho for his technical help on the schematic of Fig. 11. We are very grateful to Andrew Thompson for providing sound and insightful comments through several rounds of reviews that greatly improved this manuscript. We also thank an anonymous reviewer for useful comments.</t>
  </si>
  <si>
    <t>10.1175/JPO-D-14-0240.1</t>
  </si>
  <si>
    <t>CY4RC</t>
  </si>
  <si>
    <t>Green Submitted, Bronze, Green Accepted</t>
  </si>
  <si>
    <t>WOS:000366394900003</t>
  </si>
  <si>
    <t>Bennetts, LG; Alberello, A; Meylan, MH; Cavaliere, C; Babanin, AV; Toffoli, A</t>
  </si>
  <si>
    <t>Bennetts, L. G.; Alberello, A.; Meylan, M. H.; Cavaliere, C.; Babanin, A. V.; Toffoli, A.</t>
  </si>
  <si>
    <t>An idealised experimental model of ocean surface wave transmission by an ice floe</t>
  </si>
  <si>
    <t>FLOATING ELASTIC DISCS; SEA-ICE; HYDROELASTIC RESPONSE; GRAVITY-WAVES; ATTENUATION; COLLISIONS; TRANSECTS; PROPAGATION; ZONE</t>
  </si>
  <si>
    <t>An experimental model of transmission of ocean waves by an ice floe is presented. Thin plastic plates with different material properties and thicknesses are used to model the floe. Regular incident waves with different periods and steepnesses are used, ranging from gently sloping to storm like conditions. A wave gauge is used to measure the water surface elevation in the lee of the floe. The depth of wave overwash on the floe is measured by a gauge in the centre of the floe's upper surface. Results show transmitted waves are regular for gently-sloping incident waves but irregular for storm-like incident waves. The proportion of the incident wave transmitted is shown to decrease as incident wave steepness increases, and to be at its minimum for an incident wavelength equal to the floe length. Further, a trend is noted for transmission to decrease as the mean wave height in the overwash region increases. (C) 2015 Elsevier B.V. All rights reserved.</t>
  </si>
  <si>
    <t>[Bennetts, L. G.] Univ Adelaide, Sch Math Sci, Adelaide, SA 5005, Australia; [Alberello, A.; Babanin, A. V.; Toffoli, A.] Swinburne Univ Technol, Ctr Ocean Engn Sci &amp; Technol, Hawthorn, Vic 3122, Australia; [Meylan, M. H.] Univ Newcastle, Sch Math &amp; Phys Sci, Callaghan, NSW 2308, Australia; [Cavaliere, C.] Politecn Milan, I-20133 Milan, Italy</t>
  </si>
  <si>
    <t>University of Adelaide; Swinburne University of Technology; University of Newcastle; Polytechnic University of Milan</t>
  </si>
  <si>
    <t>Toffoli, A (corresponding author), Swinburne Univ Technol, Ctr Ocean Engn Sci &amp; Technol, Hawthorn, Vic 3122, Australia.</t>
  </si>
  <si>
    <t>toffoli.alessandro@gmail.com</t>
  </si>
  <si>
    <t>Bennetts, Luke/N-1448-2019; Meylan, Michael/A-7341-2010; Babanin, Alexander V/A-6676-2008</t>
  </si>
  <si>
    <t>Bennetts, Luke/0000-0001-9386-7882; Meylan, Michael/0000-0002-3164-1367; Babanin, Alexander/0000-0002-8595-8204; Toffoli, Alessandro/0000-0003-3112-6856</t>
  </si>
  <si>
    <t>Small Research Grant Scheme of the School of Marine Science and Engineering of Plymouth University; Plymouth University; Australian Research Council [DE130101571]; Australian Antarctic Science Grant Program [4123]; U.S. Office of Naval Research [N00014-13-1-0290, N00014-13-1-0278]</t>
  </si>
  <si>
    <t>Small Research Grant Scheme of the School of Marine Science and Engineering of Plymouth University; Plymouth University; Australian Research Council(Australian Research Council); Australian Antarctic Science Grant Program; U.S. Office of Naval Research(Office of Naval Research)</t>
  </si>
  <si>
    <t>Experiments were supported by the Small Research Grant Scheme of the School of Marine Science and Engineering of Plymouth University and performed when AA and AT were appointed at Plymouth University. The authors thank Peter Arber for technical support during the experiments. LGB acknowledges funding support from the Australian Research Council (DE130101571) and the Australian Antarctic Science Grant Program (Project 4123). MHM and AVB acknowledge funding support for the U.S. Office of Naval Research (projects N00014-13-1-0290 and N00014-13-1-0278)</t>
  </si>
  <si>
    <t>10.1016/j.ocemod.2015.03.001</t>
  </si>
  <si>
    <t>CX9WY</t>
  </si>
  <si>
    <t>WOS:000366058400007</t>
  </si>
  <si>
    <t>Irisson, JO; Paris, CB; Leis, JM; Yerman, MN</t>
  </si>
  <si>
    <t>Irisson, Jean-Olivier; Paris, Claire B.; Leis, Jeffrey M.; Yerman, Michelle N.</t>
  </si>
  <si>
    <t>With a Little Help from My Friends: Group Orientation by Larvae of a Coral Reef Fish</t>
  </si>
  <si>
    <t>DECISION-MAKING; DEMERSAL FISHES; HOMING PIGEONS; ANIMAL GROUPS; SMALL FLOCKS; BEHAVIOR; ENVIRONMENTS; RECRUITMENT; LEADERSHIP; CONSEQUENCES</t>
  </si>
  <si>
    <t>Theory and some empirical evidence suggest that groups of animals orient better than isolated individuals. We present the first test of this hypothesis for pelagic marine larvae, at the stage of settlement, when orientation is critical to find a habitat. We compare the in situ behaviour of individuals and groups of 10-12 Chromis atripectoralis (reef fish of the family Pomacentridae), off Lizard Island, Great Barrier Reef. Larvae are observed by divers or with a drifting image recording device. With both methods, groups orient cardinally while isolated individuals do not display significant orientation. Groups also swim on a 15% straighter course (i.e. are better at keeping a bearing) and 7% faster than individuals. A body of observations collected in this study suggest that enhanced group orientation emerges from simple group dynamics rather than from the presence of more skilful leaders.</t>
  </si>
  <si>
    <t>[Irisson, Jean-Olivier; Paris, Claire B.] Univ Miami, Rosenstiel Sch Marine &amp; Atmospher Sci, Miami, FL 33149 USA; [Irisson, Jean-Olivier] Univ Paris 06, Sorbonne Univ, CNRS, LOV, F-06230 Villefranche Sur Mer, France; [Leis, Jeffrey M.; Yerman, Michelle N.] Australian Museum, Res Inst, Sydney, NSW 2010, Australia; [Leis, Jeffrey M.] Univ Tasmania, Inst Marine &amp; Antarctic Studies, Hobart, Tas 7004, Australia</t>
  </si>
  <si>
    <t>University of Miami; Centre National de la Recherche Scientifique (CNRS); Sorbonne Universite; Australian Museum; University of Tasmania</t>
  </si>
  <si>
    <t>Irisson, JO (corresponding author), Univ Miami, Rosenstiel Sch Marine &amp; Atmospher Sci, 4600 Rickenbacker Causeway, Miami, FL 33149 USA.</t>
  </si>
  <si>
    <t>irisson@normalesup.org</t>
  </si>
  <si>
    <t>Leis, Jeffrey M/JCE-0397-2023; Irisson, Jean-Olivier/B-3909-2010; Leis, Jeffrey M/E-7502-2012</t>
  </si>
  <si>
    <t>Leis, Jeffrey M/0000-0003-0603-3447; Leis, Jeffrey M/0000-0003-0603-3447</t>
  </si>
  <si>
    <t>Hermon Slade Foundation; ARC [DP110100695]; NSF [OTIC-1155698]; RSMAS</t>
  </si>
  <si>
    <t>Hermon Slade Foundation; ARC(Australian Research Council); NSF(National Science Foundation (NSF)); RSMAS</t>
  </si>
  <si>
    <t>The authors are grateful for The Hermon Slade Foundation (http://www.hermonslade.org.au) grant to JML and CBP, ARC (http://www.coralcoe.org.au) Discovery Grant DP110100695 to JML, CBP and U.E. Siebeck, NSF (http://www.nsf.gov) OTIC-1155698 and RSMAS (http://www.rsmas.miami.edu) Startup grant to CBP. The funders had no role in study design, data collection and analysis, decision to publish, or preparation of the manuscript.</t>
  </si>
  <si>
    <t>e0144060</t>
  </si>
  <si>
    <t>10.1371/journal.pone.0144060</t>
  </si>
  <si>
    <t>CX7OL</t>
  </si>
  <si>
    <t>WOS:000365891600088</t>
  </si>
  <si>
    <t>Totten, RL; Anderson, JB; Fernandez, R; Wellner, JS</t>
  </si>
  <si>
    <t>Totten, Rebecca L.; Anderson, John B.; Fernandez, Rodrigo; Wellner, Julia Smith</t>
  </si>
  <si>
    <t>Marine record of Holocene climate, ocean, and cryosphere interactions: Herbert Sound, James Ross Island, Antarctica</t>
  </si>
  <si>
    <t>Antarctic Peninsula; Diatoms; Holocene; Paleoclimatology; Paleoceanography</t>
  </si>
  <si>
    <t>LAST GLACIAL MAXIMUM; PRINCE-GUSTAV-CHANNEL; PENINSULA ICE-SHEET; WEDDELL SEA; OCEANOGRAPHIC VARIABILITY; SURFACE-TEMPERATURE; DIATOM ASSEMBLAGES; BRANSFIELD STRAIT; LATE PLEISTOCENE; FORMER LARSEN</t>
  </si>
  <si>
    <t>The sediment record offshore James Ross Island, northeast Antarctic Peninsula presents an unparalleled opportunity to directly compare marine and terrestrial climate records spanning the Holocene in maritime Antarctica. An 11 m drill core was collected between Herbert Sound and Croft Bay as part of the SHALDRIL NBP-0502 initiative and produced the southernmost sediment record from the eastern side of the AP. Thirty-eight radiocarbon ages are used to construct an age model of centennial-scale resolution. Multi-proxy records, including magnetic susceptibility, pebble content, particle size, total organic carbon, and diatom assemblages, were interrogated in the context of nearby Holocene-age ice core, lake, and drift records from James Ross Island. Differences in the timing and expression of Holocene events reflect marine controls on tidewater glaciers, such as water mass configurations and sea ice. Glacial behavior mimics ice core paleotemperatures during the Holocene, with the exception of distinct ocean warming events. Herbert Sound was fully occupied by grounded ice during the Last Glacial Maximum, and experienced rapid lift-off, followed by a floating ice phase. The canopy of floating ice receded by 10 +/- 2.4 cal kyr BP, presumably in response to Early Holocene warming. Herbert Sound and Croft Bay fully deglaciated by 7.2 cal kyr BP, when the Mid Holocene Hypsithermal commenced and the sound became open and productive. An extreme peak in productivity similar to 6.1 cal kyr BP indicates an oceanic warming event that is not reflected in atmospheric temperature or lacustrine sediment records. Increase in sea ice cover and ice rafting mark the onset of the Neoglacial similar to 2.5 cal kyr BP, when pronounced atmospheric cooling is documented in the James Ross Island ice core. Our comparison facilitates more holistic understanding of atmosphere-ocean-cryosphere interactions that may aid predictions of glacial response to future warming and sea-level scenarios. (C) 2015 Elsevier Ltd. All rights reserved.</t>
  </si>
  <si>
    <t>[Totten, Rebecca L.; Anderson, John B.] Rice Univ, Dept Earth Sci, 6100 Main St,MS 126, Houston, TX 77005 USA; [Fernandez, Rodrigo] Univ Texas Austin, Inst Geophys, Jackson Sch Geosci, Austin, TX 78758 USA; [Wellner, Julia Smith] Univ Houston, Dept Earth &amp; Atmospher Sci, Houston, TX 77204 USA</t>
  </si>
  <si>
    <t>Rice University; University of Texas System; University of Texas Austin; University of Houston System; University of Houston</t>
  </si>
  <si>
    <t>Totten, RL (corresponding author), Rice Univ, Dept Earth Sci, 6100 Main St,MS 126, Houston, TX 77005 USA.</t>
  </si>
  <si>
    <t>rlt1@rice.edu</t>
  </si>
  <si>
    <t>Fernandez, Rodrigo/GRF-1350-2022; Fernandez, Rodrigo/ABC-8361-2020</t>
  </si>
  <si>
    <t>Totten, Rebecca L./0000-0002-8227-2848; Fernandez, Rodrigo/0000-0003-4226-6010</t>
  </si>
  <si>
    <t>National Science Foundation Office of Polar Programs [0837925]; Office of Polar Programs (OPP); Directorate For Geosciences [0837925]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</si>
  <si>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t>
  </si>
  <si>
    <t>This research was supported by the National Science Foundation Office of Polar Programs grant 0837925 to JBA. We used samples and data provided by the Antarctic Marine Geology Research Facility at Florida State University, and we thank the curatorial staff for their assistance. We also thank the crew and scientific party of the RV/IB Nathaniel B. Palmer from the NBP0502 SHALDRIL cruise, the RV Polar Duke 1991 cruise, and the USCGC Glacier 1982 cruise. We are grateful to Dr. Tony Gary and TACS-Works for generously sharing Fuzzy C-means software and expertise. We are especially thankful to the following people: Dr. Amy Leventer for her mentorship in diatomology; Dr. Caroline Masiello and Dr. Andre Droxler for, their assistance and use of laboratory equipment; Dr. Robert Mulvaney for feedback on climate history and subglacial profiles; Dr. Lauren Simkins who commented on the manuscript; and Anna Ruth Halberstadt who aided in sample processing.</t>
  </si>
  <si>
    <t>10.1016/j.quascirev.2015.09.009</t>
  </si>
  <si>
    <t>CY2IO</t>
  </si>
  <si>
    <t>WOS:000366232300015</t>
  </si>
  <si>
    <t>Xu, Y; Jiang, N; Xu, GC; Yang, YX; Schuh, H</t>
  </si>
  <si>
    <t>Xu, Yan; Jiang, Nan; Xu, Guochang; Yang, Yuanxi; Schuh, Harald</t>
  </si>
  <si>
    <t>Influence of meteorological data and horizontal gradient of tropospheric model on precise point positioning</t>
  </si>
  <si>
    <t>ADVANCES IN SPACE RESEARCH</t>
  </si>
  <si>
    <t>Tropospheric delay; Meteorological data; Precise point positioning; Horizontal gradient; Elevation angle</t>
  </si>
  <si>
    <t>BASE-LINE INTERFEROMETRY; MAPPING FUNCTION GMF; DELAY; GPS; IMPACT</t>
  </si>
  <si>
    <t>Using GPT2 derived meteorological data and actual meteorological observations can achieve the same positioning precision in the most areas worldwide except for the Antarctic region. However, the improvement of the actual meteorological observations on the positioning result is significant comparing to using GPT2 derived meteorological data in Antarctic. In the case of 5 degrees elevation cut-off angle, the height precision can be improved by 25%. Furthermore, when the elevation cut-off angle is lower, the effect of the actual meteorological observations on the positioning precision is more significant in Antarctic due to the retention of low elevation angle observations. This study also shows that the influence of tropospheric horizontal gradient correction can improve the PPP precision. Under the lower elevation cut-off angle and higher humidity conditions, especially in summer time and low-latitudes area, the usefulness of the horizontal gradient correction is remarkable. The average improvement of N, E and U directions can reach up to 51%, 15% and 30%, respectively. (C) 2015 COSPAR. Published by Elsevier Ltd. All rights reserved.</t>
  </si>
  <si>
    <t>[Xu, Yan; Jiang, Nan; Schuh, Harald] GFZ German Res Ctr Geosci, D-14473 Potsdam, Germany; [Xu, Yan; Jiang, Nan; Schuh, Harald] Tech Univ Berlin, Dept Geodesy &amp; Geoinformat Sci, D-10623 Berlin, Germany; [Xu, Yan; Jiang, Nan; Xu, Guochang] Shandong Univ, Inst Space Sci, Weihai 264209, Peoples R China; [Yang, Yuanxi] China Natl Adm GNSS &amp; Applicat, Beijing 100088, Peoples R China</t>
  </si>
  <si>
    <t>Helmholtz Association; Helmholtz-Center Potsdam GFZ German Research Center for Geosciences; Technical University of Berlin; Shandong University</t>
  </si>
  <si>
    <t>Xu, Y (corresponding author), GFZ German Res Ctr Geosci, Telegrafenberg A17, D-14473 Potsdam, Germany.</t>
  </si>
  <si>
    <t>yxu@gfz-potsdam.de</t>
  </si>
  <si>
    <t>Yang, Yuanxi/0000-0002-5553-948X</t>
  </si>
  <si>
    <t>Chinese Scholarship Council; GFZ German Research Centre for Geosciences Potsdam; Technical University of Berlin; Institute of Space Sciences of Shandong University; Natural Science Foundation of China [41274042]</t>
  </si>
  <si>
    <t>Chinese Scholarship Council(China Scholarship Council); GFZ German Research Centre for Geosciences Potsdam; Technical University of Berlin; Institute of Space Sciences of Shandong University; Natural Science Foundation of China(National Natural Science Foundation of China (NSFC))</t>
  </si>
  <si>
    <t>This study is supported by the Chinese Scholarship Council, the GFZ German Research Centre for Geosciences Potsdam, Technical University of Berlin, Institute of Space Sciences of Shandong University, and the Natural Science Foundation of China (No. 41274042).</t>
  </si>
  <si>
    <t>0273-1177</t>
  </si>
  <si>
    <t>1879-1948</t>
  </si>
  <si>
    <t>ADV SPACE RES</t>
  </si>
  <si>
    <t>Adv. Space Res.</t>
  </si>
  <si>
    <t>10.1016/j.asr.2015.09.027</t>
  </si>
  <si>
    <t>Engineering, Aerospace; Astronomy &amp; Astrophysics; Geosciences, Multidisciplinary; Meteorology &amp; Atmospheric Sciences</t>
  </si>
  <si>
    <t>Engineering; Astronomy &amp; Astrophysics; Geology; Meteorology &amp; Atmospheric Sciences</t>
  </si>
  <si>
    <t>CX0DU</t>
  </si>
  <si>
    <t>WOS:000365367900006</t>
  </si>
  <si>
    <t>LaViolette, PA</t>
  </si>
  <si>
    <t>LaViolette, Paul A.</t>
  </si>
  <si>
    <t>The episodic influx of tin-rich cosmic dust particles during the last ice age</t>
  </si>
  <si>
    <t>Cosmic dust; Superconductive particles; Tin; Lead; Trace elements; Ice age climate</t>
  </si>
  <si>
    <t>CRETACEOUS-TERTIARY EXTINCTION; INTERPLANETARY DUST; ISOTOPIC COMPOSITION; INTERSTELLAR GRAINS; ANTARCTIC ICE; SOLAR-SYSTEM; LEAD; ABUNDANCES; CADMIUM; IMPACT</t>
  </si>
  <si>
    <t>This paper presents evidence of the first detection of interstellar dust in ice age polar ice. Neutron activation analysis (NAA) results are reported for 15 elements found in dust filtered from eight samples of Camp Century Greenland ice dating from 40 to 78 kyrs BP. High concentrations of Sn, Sb, Au, Ag, Ir, and Ni were found to be present in three out of these eight samples. One compositionally anomalous dust sample from an ice core depth of 1230.5 m (age similar to 49 kyrs BP, near the beginning of D/O stadial No. 13) was found to contain tin with an average weight percent of 49% as determined by energy dispersive X-ray analysis (EDS). This sample was also found to contain high concentrations of Pb with an average weight abundance of 8.4% and matching the Sn:Pb ratio observed in interstellar spectra. Dust particles in this sample generally have a platy morphology and range from submicron size up to a size as large as 120 mu m, a particle consisting almost entirely of SnO2 and being the largest monomineralic extraterrestrial dust particle so far discovered. One porous aggregate tin-bearing particle was found to contain nanometer sized chondrules indicating an extraterrestrial origin. The extraterrestrial origin for the tin is also indicated by the presence of isotopic anomalies in the 114(Sn), Sn-115 and Sn-117 isotopes. Follow up isotopic measurements of this tin-rich dust need to be performed to improve confidence in the anomalies reported here. High abundances of the low melting point elements Ag, Au, and Sb are also present in this tin-rich sample along with elevated abundances of the siderophiles Ir, Ni, Fe, and Co, the latter being present in chondritic proportions and indicating that about 9% of the dust has a Cl chondrite component. Measurements indicate that about 97% of this dust is of extraterrestrial origin with a 3% residual being composed of terrestrial windblown dust. EDS analysis of another tin-rich Camp Century ice core dust sample dating to similar to 130 kyrs BP was found to contain tin-rich particles with a similar platy morphology and to have Sn and Pb weight abundances averaging 39% and 7.5% respectively, again approximating the interstellar Sn:Pb ratio. The relative absence of cosmic microspheres and the unmelted appearance of the tin-rich particles in both of these samples suggests that these particles entered the Earth's atmosphere at low velocity, implicating a gradual accumulation of dust from a dispersed state in the near Earth space environment. The unusual enhancement of Sn and Pb could be explained if these dust particles were originally present in the solar system's interstellar environment in a superconducting native metal state and were preferentially concentrated through Meissner effect forces by the passage of cosmic ray driven hydromagnetic shocks which may also have transported them into the solar system. The 49 kyrs BP event is estimated to have lasted over 6 years and to have deposited dust onto the Earth at a rate 10(4)-10(5) times higher than present rates. This had a significant cooling effect on climate and resulted in a transient 33 fold increase in snow accumulation. Future discovery of these events in ice cores at other locations should void any lingering thoughts that this heavy metal enhancement may be due to sample contamination. (C) 2015 COSPAR. Published by Elsevier Ltd. All rights reserved.</t>
  </si>
  <si>
    <t>[LaViolette, Paul A.] Starburst Fdn, Schenectady, NY 12309 USA</t>
  </si>
  <si>
    <t>LaViolette, PA (corresponding author), Starburst Fdn, 1176 Hedgewood Lane, Schenectady, NY 12309 USA.</t>
  </si>
  <si>
    <t>plaviolette@starburstfound.org</t>
  </si>
  <si>
    <t>Missouri University Research Reactor; U.S. Dept. of Energy; Reed College</t>
  </si>
  <si>
    <t>Missouri University Research Reactor; U.S. Dept. of Energy(United States Department of Energy (DOE)); Reed College</t>
  </si>
  <si>
    <t>I would like to thank G.G. Lendaris and Fred G. LaViolette for their help throughout this project. Also I would like to thank Lonnie Thompson for providing a number of the ice core dust samples analyzed in this study and for permitting the reprint of a tin particle photomicrograph; the NSF curatorial facility for providing glacial ice samples; the Portland State University Earth Sciences Department, J. Loehr, J. McCallum, K. McDonald, A. Ryall, D. Roe, and others for making available laboratory facilities; the Missouri University Research Reactor, the U.S. Dept. of Energy, and the Reed College reactor facility for financial assistance in conducting sample irradiations; D. Howard, A. Khalil, J. Carni, M. Kay, and R. Schmidt for their advice and help, W. Dansgaard for making available oxygen isotope data for the Camp Century ice core; E. Cirlin and Rockwell International for providing electron micrographs of some of several tin particles, J.R. de Laeter and R.D. Loss for their help in conducting mass spectrometry of the tin-rich dust sample to check for the presence of an isotopic anomaly. I also would like to thank personnel at RPI (Dept. of Materials Science and Engineering and Dept. of Earth and Environmental Sciences) for their help in the EDS and SEM analysis and Dee Breger for her helpful suggestions on SEM.</t>
  </si>
  <si>
    <t>10.1016/j.asr.2015.09.019</t>
  </si>
  <si>
    <t>WOS:000365367900009</t>
  </si>
  <si>
    <t>Zaalov, NY; Moskaleva, EV; Rogov, DD; Zernov, NN</t>
  </si>
  <si>
    <t>Zaalov, N. Y.; Moskaleva, E. V.; Rogov, D. D.; Zernov, N. N.</t>
  </si>
  <si>
    <t>Influence of X-ray and polar cap absorptions on vertical and oblique sounding ionograms on different latitudes</t>
  </si>
  <si>
    <t>Propagation HF waves; Vertical ionogram; Oblique ionogram; Absorption</t>
  </si>
  <si>
    <t>High frequency (HF) radio band is important for the long-range communications and over-the-horizon surveillance, particularly in the polar cap region where the ground infrastructure may be limited. However, the space weather events drastically affect the high frequency radio wave propagation so that the ability to provide now-casting and forecasting of HF radio wave absorption is important for users relying on the HF communications. During the space weather events such as solar proton events and X-ray flares the high-latitude ionosphere becomes a particularly efficient absorber of HF radio waves. There is therefore a need to develop accurate HF propagation prediction services. Absorption of the HF field caused by the X-ray flux, Solar Ultra-Violet flux and proton precipitations is investigated in this paper for the event of the solar flare observed on 11 April 2013. The effects of the X-ray flux and proton precipitations on the structure of the vertical and oblique ionograms for different latitudes are estimated. The simulation of the vertical and oblique ionograms was performed on the basis of the computational model of the ionosphere oriented to applications into the high frequency wave propagation problems. The absorption effects induced by the proton precipitations and X-ray flux are calculated according to the algorithm elaborated by Sauer and Wilkinson and D-region Absorption Model (D-RAP) available from the NOAA Space Weather Prediction Center. The simulated vertical and oblique ionograms with the absorption effects taken into account and the measured ionograms exhibit a fairly good similarity. (C) 2015 COSPAR. Published by Elsevier Ltd. All rights reserved.</t>
  </si>
  <si>
    <t>[Zaalov, N. Y.; Moskaleva, E. V.; Rogov, D. D.; Zernov, N. N.] Univ St Petersburg, St Petersburg, Russia; [Rogov, D. D.] Arctic &amp; Antarctic Res Inst, St Petersburg 199226, Russia</t>
  </si>
  <si>
    <t>Saint Petersburg State University; Arctic &amp; Antarctic Research Institute</t>
  </si>
  <si>
    <t>Moskaleva, EV (corresponding author), Univ St Petersburg, St Petersburg, Russia.</t>
  </si>
  <si>
    <t>moelvi@mail.ru</t>
  </si>
  <si>
    <t>Rogov, Denis/AAH-2763-2020; Zernov, Nikolay N/M-7566-2013; Zaalov, Nikolay/HKF-2082-2023; Moskaleva, Elena/N-9386-2013</t>
  </si>
  <si>
    <t>Zaalov, Nikolay/0000-0003-1703-6037; Moskaleva, Elena/0000-0002-8664-1225; Zernov, Nikolay/0000-0002-1255-7768</t>
  </si>
  <si>
    <t>10.1016/j.asr.2015.09.008</t>
  </si>
  <si>
    <t>WOS:000365367900020</t>
  </si>
  <si>
    <t>Irving, D; Simmonds, I</t>
  </si>
  <si>
    <t>Irving, Damien; Simmonds, Ian</t>
  </si>
  <si>
    <t>A Novel Approach to Diagnosing Southern Hemisphere Planetary Wave Activity and Its Influence on Regional Climate Variability</t>
  </si>
  <si>
    <t>Antarctica; Southern Hemisphere; Atmospheric circulation; Planetary waves; Climate variability; Fourier analysis</t>
  </si>
  <si>
    <t>ANTARCTIC SEA-ICE; INTERANNUAL VARIATIONS; AMERICAN MODES; ANNULAR MODE; OSCILLATION; REANALYSIS; TELECONNECTIONS; AMPLIFICATION; CIRCULATION; EXTREMES</t>
  </si>
  <si>
    <t>Southern Hemisphere mid- to upper-tropospheric planetary wave activity is characterized by the superposition of two zonally oriented, quasi-stationary waveforms: zonal wavenumber 1 (ZW1) and zonal wavenumber 3 (ZW3). Previous studies have tended to consider these waveforms in isolation and with the exception of those studies relating to sea ice, little is known about their impact on regional climate variability. A novel approach is taken to quantifying the combined influence of ZW1 and ZW3, using the strength of the hemispheric meridional flow as a proxy for zonal wave activity. The methodology adapts the wave envelope construct routinely used in the identification of synoptic-scale Rossby wave packets and improves on existing approaches by allowing for variations in both wave phase and amplitude. While ZW1 and ZW3 are both prominent features of the climatological circulation, the defining feature of highly meridional hemispheric states is an enhancement of the ZW3 component. Composites of the mean surface conditions during these highly meridional, ZW3-like anomalous states (i.e., months of strong planetary wave activity) reveal large sea ice anomalies over the Amundsen and Bellingshausen Seas during autumn and along much of the East Antarctic coastline throughout the year. Large precipitation anomalies in regions of significant topography (e.g., New Zealand, Patagonia, and coastal Antarctica) and anomalously warm temperatures over much of the Antarctic continent were also associated with strong planetary wave activity. The latter has potentially important implications for the interpretation of recent warming over West Antarctica and the Antarctic Peninsula.</t>
  </si>
  <si>
    <t>[Irving, Damien; Simmonds, Ian] Univ Melbourne, Sch Earth Sci, Parkville, Vic 3010, Australia</t>
  </si>
  <si>
    <t>University of Melbourne</t>
  </si>
  <si>
    <t>Irving, D (corresponding author), Univ Melbourne, Sch Earth Sci, Corner Swanston &amp; Elgin St, Parkville, Vic 3010, Australia.</t>
  </si>
  <si>
    <t>irving.damien@gmail.com</t>
  </si>
  <si>
    <t>Irving, Damien/A-1479-2012</t>
  </si>
  <si>
    <t>Irving, Damien/0000-0003-1258-5002; Simmonds, Ian/0000-0002-4479-3255</t>
  </si>
  <si>
    <t>10.1175/JCLI-D-15-0287.1</t>
  </si>
  <si>
    <t>CX7DC</t>
  </si>
  <si>
    <t>WOS:000365860500001</t>
  </si>
  <si>
    <t>Yan, L; Li, G</t>
  </si>
  <si>
    <t>Yan, Li; Li, Gen</t>
  </si>
  <si>
    <t>Change in the Relationship between the Southern Subtropical Dipole Modes and the Southern Annular Mode in the Mid-1980s</t>
  </si>
  <si>
    <t>Circulation; Dynamics; Annular mode; Antarctic Oscillation; Atmosphere-ocean interaction; Hadley circulation; Forecasting; Climate prediction; Variability; Interannual variability</t>
  </si>
  <si>
    <t>PACIFIC COLD-TONGUE; SST VARIABILITY; CIRCULATION; PATTERNS; CMIP5; REANALYSIS; ATLANTIC; EVENTS; ENSO</t>
  </si>
  <si>
    <t>The southern subtropical dipole modes (SSDMs) and southern annular mode (SAM) are important climate modes, which are dominant in the southern middle and high latitudes, respectively, with considerable regional climatic impacts. However, the relationship between the two modes remains unclear. A close inspection reveals that the SAM was significantly correlated with the SSDMs during the austral summer before the mid-1980s. However, the correlations have degraded since then. This decadal shift in the relationship between these two southern dominant modes is due to a weakened connection between the SAM and the subtropical highs that control the SSDMs. This decadal change could be traced back to a poleward shift in the southern westerly belt. El Nino-Southern Oscillation (ENSO) typically plays a moderate role in influencing the precipitation in Australia and a minor role in influencing the precipitation in Africa and South America. Nevertheless, the two southern modes could still affect the austral summer rainfall in the midlatitudes, even though the ENSO signal is absent. All these links between the two southern modes and southern land precipitation may be attributable to the associated transport of moisture in the lower-level circulation.</t>
  </si>
  <si>
    <t>[Yan, Li; Li, Gen] Chinese Acad Sci, South China Sea Inst Oceanol, State Key Lab Trop Oceanog, Guangzhou 510301, Guangdong, Peoples R China</t>
  </si>
  <si>
    <t>Chinese Academy of Sciences; South China Sea Institute of Oceanology, CAS</t>
  </si>
  <si>
    <t>Yan, L (corresponding author), Chinese Acad Sci, South China Sea Inst Oceanol, State Key Lab Trop Oceanog, 164 West Xingang Rd, Guangzhou 510301, Guangdong, Peoples R China.</t>
  </si>
  <si>
    <t>yanl@scsio.ac.cn</t>
  </si>
  <si>
    <t>Yan, Li/0000-0002-5815-7380</t>
  </si>
  <si>
    <t>Knowledge Innovation Program of the Chinese Academy of Sciences [XDA05090404]; National Basic Research Program of China [2012CB955603]; National Natural Science Foundation of China [41306017, 41406026]; Guangdong Natural Science Funds for Distinguished Young Scholar [2015A030306008]; Pearl River S&amp;T Nova Program of Guangzhou [201506010094]; CAS/SAFEA International Partnership Program for Creative Research Teams; LTO [LTOZZ1202, SQ201006]</t>
  </si>
  <si>
    <t>Knowledge Innovation Program of the Chinese Academy of Sciences(Chinese Academy of SciencesKnowledge Innovation Program of the Chinese Academy of Sciences); National Basic Research Program of China(National Basic Research Program of China); National Natural Science Foundation of China(National Natural Science Foundation of China (NSFC)); Guangdong Natural Science Funds for Distinguished Young Scholar; Pearl River S&amp;T Nova Program of Guangzhou; CAS/SAFEA International Partnership Program for Creative Research Teams(Chinese Academy of Sciences); LTO</t>
  </si>
  <si>
    <t>This work was supported by the Knowledge Innovation Program of the Chinese Academy of Sciences (XDA05090404), the National Basic Research Program of China (2012CB955603), the National Natural Science Foundation of China (41306017 and 41406026), the Guangdong Natural Science Funds for Distinguished Young Scholar (2015A030306008), the Pearl River S&amp;T Nova Program of Guangzhou (201506010094), the CAS/SAFEA International Partnership Program for Creative Research Teams, and LTO (LTOZZ1202 and SQ201006). The ERSST, 20CRv2, NCEP1, and GPCC datasets were provided by the NOAA/OAR/ESRL PSD, Boulder, Colorado, from their website at http://www.esrl.noaa.gov/psd/. The HadISST dataset was downloaded from http:// www.metoffice.gov.uk/hadobs/hadisst/data/download.html.</t>
  </si>
  <si>
    <t>10.1175/JCLI-D-15-0134.1</t>
  </si>
  <si>
    <t>WOS:000365860500011</t>
  </si>
  <si>
    <t>Jochum, M; Eden, C</t>
  </si>
  <si>
    <t>Jochum, M.; Eden, Carsten</t>
  </si>
  <si>
    <t>The Connection between Southern Ocean Winds, the Atlantic Meridional Overturning Circulation, and Indo-Pacific Upwelling</t>
  </si>
  <si>
    <t>Circulation; Dynamics; Abyssal circulation; Eddies; Ekman pumping; transport; Mass fluxes; transport; Meridional overturning circulation; Mixing</t>
  </si>
  <si>
    <t>ANTARCTIC CIRCUMPOLAR CURRENT; MESOSCALE EDDIES; DRAKE PASSAGE; MODEL; TRANSPORT; TRACER; SATURATION; ENERGETICS; IMPACT; ICE</t>
  </si>
  <si>
    <t>Coupled GCM simulations are analyzed to quantify the dynamic effect of Southern Ocean (SO) winds on transports in the ocean. It is found that the closure for skew diffusivity in the non-eddy-resolving ocean model does not allow for a realistic eddy saturation of the zonal transports in the SO in response to the wind changes and that eddy compensation of the meridional transports in the SO is underestimated too. Despite this underestimated eddy compensation in the SO, however, and in contrast to previous suggestions, the Atlantic meridional overturning circulation (AMOC) strength is almost insensitive to SO winds. In the limit of weak SO winds the AMOC waters upwell not in the SO but rather in the tropical Indo-Pacific. Through their effect on sea ice, weaker SO winds also lead to less production of Antarctic Bottom Water and therefore a deeper and stronger AMOC.</t>
  </si>
  <si>
    <t>[Jochum, M.] Univ Copenhagen, Niels Bohr Inst, DK-2100 Copenhagen, Denmark; [Eden, Carsten] Univ Hamburg, Inst Meereskunde, Hamburg, Germany</t>
  </si>
  <si>
    <t>University of Copenhagen; Niels Bohr Institute; University of Hamburg</t>
  </si>
  <si>
    <t>Jochum, M (corresponding author), Univ Copenhagen, Niels Bohr Inst, Juliane Maries Vej 30, DK-2100 Copenhagen, Denmark.</t>
  </si>
  <si>
    <t>mjochum@nbi.dk</t>
  </si>
  <si>
    <t>jochum, markus/F-8237-2013; jochum, markus/C-2960-2015; jochum, markus/AAQ-7967-2020</t>
  </si>
  <si>
    <t>jochum, markus/0000-0003-2690-3139; jochum, markus/0000-0003-2690-3139</t>
  </si>
  <si>
    <t>Cluster of Excellence CliSAP, University of Hamburg through the German Science Foundation (DFG) [EXC177]; AWI; CliSAP; NBI</t>
  </si>
  <si>
    <t>Cluster of Excellence CliSAP, University of Hamburg through the German Science Foundation (DFG)(German Research Foundation (DFG)); AWI; CliSAP; NBI</t>
  </si>
  <si>
    <t>The computational resources were provided by the Computational Information Systems Laboratory at NCAR. NCAR is supported by the NSF. CE is grateful for support from the Cluster of Excellence CliSAP (EXC177), University of Hamburg, funded through the German Science Foundation (DFG). The present ideas were developed during a retreat at the Swedish marine research station Bornoe, financed by AWI, CliSAP, and NBI. The authors are also grateful to Andy Hogg, an anonymous reviewer, and the editor Oleg Saenko for their helpful comments.</t>
  </si>
  <si>
    <t>10.1175/JCLI-D-15-0263.1</t>
  </si>
  <si>
    <t>WOS:000365860500012</t>
  </si>
  <si>
    <t>Schneider, DP; Deser, C; Fan, TT</t>
  </si>
  <si>
    <t>Schneider, David P.; Deser, Clara; Fan, Tingting</t>
  </si>
  <si>
    <t>Comparing the Impacts of Tropical SST Variability and Polar Stratospheric Ozone Loss on the Southern Ocean Westerly Winds</t>
  </si>
  <si>
    <t>Geographic location; entity; Antarctica; Southern Ocean; Circulation; Dynamics; Teleconnections; Physical Meteorology and Climatology; Climate change; Variability; Climate variability; Pacific decadal oscillation</t>
  </si>
  <si>
    <t>ATMOSPHERIC CIRCULATION RESPONSE; SEA-SURFACE TEMPERATURE; EL-NINO; TRENDS; CLIMATE; INTENSIFICATION; OSCILLATION; DEPLETION; PACIFIC; NORTH</t>
  </si>
  <si>
    <t>Westerly wind trends at 850 hPa over the Southern Ocean during 1979-2011 exhibit strong regional and seasonal asymmetries. On an annual basis, trends in the Pacific sector (40 degrees-60 degrees S, 70 degrees-160 degrees W) are 3 times larger than zonal-mean trends related to the increase in the southern annular mode (SAM). Seasonally, the SAM-related trend is largest in austral summer, and many studies have linked this trend with stratospheric ozone depletion. In contrast, the Pacific sector trends are largest in austral autumn. It is proposed that these asymmetries can be explained by a combination of tropical teleconnections and polar ozone depletion. Six ensembles of transient atmospheric model experiments, each forced with different combinations of time-dependent radiative forcings and SSTs, support this idea. In summer, the model simulates a positive SAM-like pattern, to which ozone depletion and tropical SSTs (which contain signatures of internal variability and warming from greenhouse gasses) contribute. In autumn, the ensemble-mean response consists of stronger westerlies over the Pacific sector, explained by a Rossby wave originating from the central equatorial Pacific. While these responses resemble observations, attribution is complicated by intrinsic atmospheric variability. In the experiments forced only with tropical SSTs, individual ensemble members exhibit wind trend patterns that mimic the forced response to ozone. When the analysis presented herein is applied to 1960-2000, the primary period of ozone loss, ozone depletion largely explains the model's SAM-like zonal wind trend. The time-varying importance of these different drivers has implications for relating the historical experiments of free-running, coupled models to observations.</t>
  </si>
  <si>
    <t>[Schneider, David P.; Deser, Clara; Fan, Tingting] Natl Ctr Atmospher Res, Climate &amp; Global Dynam Lab, Boulder, CO 80307 USA; [Fan, Tingting] Ocean Univ China, Key Lab Phys Oceanog, Qingdao, Peoples R China</t>
  </si>
  <si>
    <t>National Center Atmospheric Research (NCAR) - USA; Ocean University of China</t>
  </si>
  <si>
    <t>Schneider, DP (corresponding author), Natl Ctr Atmospher Res, Climate &amp; Global Dynam Lab, POB 3000, Boulder, CO 80307 USA.</t>
  </si>
  <si>
    <t>dschneid@ucar.edu</t>
  </si>
  <si>
    <t>Schneider, David/E-2726-2010</t>
  </si>
  <si>
    <t>Schneider, David/0000-0001-5308-1834</t>
  </si>
  <si>
    <t>National Science Foundation (NSF) [1048899, 1235231]; China Scholarship Council; Directorate For Geosciences; Office of Polar Programs (OPP) [1341527] Funding Source: National Science Foundation; Div Atmospheric &amp; Geospace Sciences; Directorate For Geosciences [1048899] Funding Source: National Science Foundation</t>
  </si>
  <si>
    <t>National Science Foundation (NSF)(National Science Foundation (NSF)); China Scholarship Council(China Scholarship Council); Directorate For Geosciences; Office of Polar Programs (OPP)(National Science Foundation (NSF)NSF - Directorate for Geosciences (GEO)); Div Atmospheric &amp; Geospace Sciences; Directorate For Geosciences(National Science Foundation (NSF)NSF - Directorate for Geosciences (GEO))</t>
  </si>
  <si>
    <t>The authors thank three anonymous reviewers for constructive reviews that led to a much improved paper. We thank Adam Phillips for conducting the Tropical SST ensemble, for assistance with configuring and postprocessing the other simulations, and for computing the monthly PDO index. Lorenzo Polvani engaged in valuable discussions that led to the direct comparison of SPARC-and WACCM-driven simulations. James Screen kindly provided Antarctic upper-air temperature data based on Screen and Simmonds (2012). The Nino-3.4 index was obtained from the NOAA/Climate Prediction Center (http://www.cpc.ncep.noaa.gov/data/indices/sstoi.indices). David Schneider was supported by National Science Foundation (NSF) Grants 1048899 and 1235231. Tinting Fan was supported by the China Scholarship Council. The figures were produced with the NCAR Command Language software package. The simulations discussed here can be accessed through the Climate Variability and Change Working Group of the Community Earth SystemModel (http://www.cesm.ucar.edu/working_groups/Climate/experiments/cesm1.0/).</t>
  </si>
  <si>
    <t>10.1175/JCLI-D-15-0090.1</t>
  </si>
  <si>
    <t>WOS:000365860500018</t>
  </si>
  <si>
    <t>Yu, JY; Paek, H; Saltzman, ES; Lee, T</t>
  </si>
  <si>
    <t>Yu, Jin-Yi; Paek, Houk; Saltzman, Eric S.; Lee, Tong</t>
  </si>
  <si>
    <t>The Early 1990s Change in ENSO-PSA-SAM Relationships and Its Impact on Southern Hemisphere Climate</t>
  </si>
  <si>
    <t>Geographic location; entity; Antarctica; Sea ice; Circulation; Dynamics; Antarctic Oscillation; ENSO; Teleconnections; Variability; Interannual variability</t>
  </si>
  <si>
    <t>SEA-SURFACE TEMPERATURE; ZONAL FLOW VACILLATION; ANNULAR MODES; ATMOSPHERIC CIRCULATION; AMERICAN MODES; INDIAN-OCEAN; VARIABILITY; PACIFIC; OSCILLATION; WAVE</t>
  </si>
  <si>
    <t>This study uncovers an early 1990s change in the relationships between El Nino-Southern Oscillation (ENSO) and two leading modes of the Southern Hemisphere (SH) atmospheric variability: the southern annular mode (SAM) and the Pacific-South American (PSA) pattern. During austral spring, while the PSA maintained a strong correlation with ENSO throughout the period 1948-2014, the SAM-ENSO correlation changed from being weak before the early 1990s to being strong afterward. Through the ENSO connection, PSA and SAM became more in-phase correlated after the early 1990s. The early 1990s is also the time when ENSO changed from being dominated by the eastern Pacific (EP) type to being dominated by the central Pacific (CP) type. Analyses show that, while the EP ENSO can excite only the PSA, the CP ENSO can excite both the SAM and PSA through tropospheric and stratospheric pathway mechanisms. The more in-phase relationship between SAM and PSA impacted the post-1990s Antarctic climate in at least two aspects: 1) a stronger Antarctic sea ice dipole structure around the Amundsen-Bellingshausen Seas due to intensified geopotential height anomalies over the region and 2) a shift in the phase relationships of surface air temperature anomalies among East Antarctica, West Antarctica, and the Antarctic Peninsula. These findings imply that ENSO-Antarctic climate relations depend on the dominant ENSO type and that ENSO forcing has become more important to the Antarctic sea ice and surface air temperature variability in the past two decades and will in the coming decades if the dominance of CP ENSO persists.</t>
  </si>
  <si>
    <t>[Yu, Jin-Yi; Paek, Houk; Saltzman, Eric S.] Univ Calif Irvine, Dept Earth Syst Sci, Irvine, CA 92697 USA; [Lee, Tong] CALTECH, Jet Prop Lab, Pasadena, CA USA</t>
  </si>
  <si>
    <t>University of California System; University of California Irvine; California Institute of Technology; National Aeronautics &amp; Space Administration (NASA); NASA Jet Propulsion Laboratory (JPL)</t>
  </si>
  <si>
    <t>Yu, JY (corresponding author), Univ Calif Irvine, Dept Earth Syst Sci, 3200 Croul Hall St, Irvine, CA 92697 USA.</t>
  </si>
  <si>
    <t>jyyu@uci.edu</t>
  </si>
  <si>
    <t>Yu, Jin-Yi/G-3413-2011; Lee, Tong/AAZ-6447-2020; Lee, Tony/JDM-3564-2023; Yu, Jin-Yi/AAU-9089-2020; Paek, Houk/L-6348-2016</t>
  </si>
  <si>
    <t>Yu, Jin-Yi/0000-0001-6156-7623; Lee, Tong/0000-0001-9817-2908;</t>
  </si>
  <si>
    <t>NSF's Climate and Large-scale Dynamics Program [AGS-1233542, AGS-1505145]; Directorate For Geosciences [1505145] Funding Source: National Science Foundation; Div Atmospheric &amp; Geospace Sciences [1505145] Funding Source: National Science Foundation; Div Atmospheric &amp; Geospace Sciences; Directorate For Geosciences [1233542] Funding Source: National Science Foundation</t>
  </si>
  <si>
    <t>NSF's Climate and Large-scale Dynamics Program(National Science Foundation (NSF)NSF - Directorate for Geosciences (GEO)); Directorate For Geosciences(National Science Foundation (NSF)NSF - Directorate for Geosciences (GEO)); Div Atmospheric &amp; Geospace Sciences(National Science Foundation (NSF)NSF - Directorate for Geosciences (GEO)); Div Atmospheric &amp; Geospace Sciences; Directorate For Geosciences(National Science Foundation (NSF)NSF - Directorate for Geosciences (GEO))</t>
  </si>
  <si>
    <t>The authors thank two anonymous reviewers and Editor John Walsh for their very constructive comments that have helped improve the paper. This research was supported by NSF's Climate and Large-scale Dynamics Program under Grants AGS-1233542 and AGS-1505145. The effort by Tong Lee was carried out at the Jet Propulsion Laboratory, California Institute of Technology, under a contract with the National Aeronautics and Space Administration. The NCEP-NCAR reanalysis data were obtained at www.esrl.noaa.gov/psd, HadISST data are available at www.metoffice.gov.uk/hadobs/hadisst, and the SAM* index data are available at http://www.nerc-bas.ac.uk/icd/gjma/sam.html.</t>
  </si>
  <si>
    <t>10.1175/JCLI-D-15-0335.1</t>
  </si>
  <si>
    <t>WOS:000365860500020</t>
  </si>
  <si>
    <t>Vélez-Rubio, GM; Tomás, J; Míguez-Lozano, R; Xavier, JC; Martinez-Souza, G; Carranza, A</t>
  </si>
  <si>
    <t>Velez-Rubio, G. M.; Tomas, J.; Miguez-Lozano, R.; Xavier, J. C.; Martinez-Souza, G.; Carranza, A.</t>
  </si>
  <si>
    <t>New insights in Southwestern Atlantic Ocean Oegopsid squid distribution based on juvenile green turtle (Chelonia mydas) diet analysis</t>
  </si>
  <si>
    <t>MARINE BIODIVERSITY</t>
  </si>
  <si>
    <t>Oegopsida; Cephalopoda; Distribution; Chelonia mydas; Diet; Uruguay</t>
  </si>
  <si>
    <t>SEA-TURTLES; FEEDING ECOLOGY; STOMACH-CONTENTS; MARINE TURTLES; SOMATIC GROWTH; GUT CONTENTS; CEPHALOPODS; PACIFIC; INFORMATION; VARIABILITY</t>
  </si>
  <si>
    <t>A total of 52 cephalopod beaks were found in the stomachs and intestines of 17 out of 54 green turtles, Chelonia mydas, stranded on the Uruguayan coast between 2009 and 2013 (frequency of occurrence = 31.5 %). Upper and lower beaks were assigned to at least six Oegopsid species of four different genera, Chiroteuthis, Histioteuthis, Onykia (= Moroteuthis) and Mastigoteuthis. Although the presence of cephalopods in the diet of green turtles has been reported previously, it has been quoted as a sporadic or less important diet category. Our findings suggest that this intake of cephalopods by juvenile green turtles during their oceanic stages may be more common in the Southwestern Atlantic Ocean waters than previously thought. According to our records, two of the six Oegopsid squid species found would have a more extended distribution than previously reported, ranging from circumpolar sub-Antarctic areas to the Brazil-Malvinas confluence zone. We highlight the potential of diet analysis of pelagic predators as a tool to enhance our knowledge of the diversity and distribution of poorly known cephalopod species.</t>
  </si>
  <si>
    <t>[Velez-Rubio, G. M.; Tomas, J.; Miguez-Lozano, R.] Univ Valencia, Cavanilles Inst Biodivers &amp; Evolutionary Biol, Valencia 46071, Spain; [Velez-Rubio, G. M.; Martinez-Souza, G.] Karumbe, Montevideo 11600, Uruguay; [Xavier, J. C.] Univ Coimbra, Dept Life Sci, Inst Marine Res, P-3001401 Coimbra, Portugal; [Martinez-Souza, G.] Univ Fed Rio Grande FURG, Programa Posgrad Oceanog Biol, Rio Grande, RS, Brazil; [Carranza, A.] Museo Nacl Hist Nat, Area Biodiversidad &amp; Conservac, Montevideo 11000, Uruguay; [Carranza, A.] Univ Republ, Ctr Univ Reg Este CURE Sede Maldonado, Punta Del Este, Uruguay</t>
  </si>
  <si>
    <t>University of Valencia; Universidade de Coimbra; Universidade Federal do Rio Grande; Universidad de la Republica, Uruguay</t>
  </si>
  <si>
    <t>Vélez-Rubio, GM (corresponding author), Univ Valencia, Cavanilles Inst Biodivers &amp; Evolutionary Biol, Aptdo 22085, Valencia 46071, Spain.</t>
  </si>
  <si>
    <t>gabriela.velez@uv.es</t>
  </si>
  <si>
    <t>Carranza, Alvar/J-8270-2019; Tomás, Jesús/AAA-4561-2019; Xavier, José/KFB-6739-2024</t>
  </si>
  <si>
    <t>Carranza, Alvar/0000-0003-3016-7955; Velez-Rubio, Gabriela M/0000-0002-6033-0920; /0000-0002-9621-6660; Tomas, Jesus/0000-0003-0120-7006</t>
  </si>
  <si>
    <t>IFAW; Rufford Small Grants; Agencia Nacional de Investigacion e Innovacion (ANII); Spanish Ministry of Economy and Competitiveness [CGL2011-30413]; Generalitat Valenciana [UV-CI-12-151]</t>
  </si>
  <si>
    <t>IFAW; Rufford Small Grants; Agencia Nacional de Investigacion e Innovacion (ANII); Spanish Ministry of Economy and Competitiveness(Spanish Government); Generalitat Valenciana(Center for Forestry Research &amp; Experimentation (CIEF))</t>
  </si>
  <si>
    <t>We would like to thank the volunteers and Karumbe members, specially Andres Estrades, Alejandro Fallabrino, Virginia Ferrando, Daniel Gonzalez, Luciana Alonso, Virginia Borrat, and Natalia Teryda, for their collaboration in the study and green turtle diet analyses. We also thank the support of the Marine Zoology Unit of the Cavanilles Institute of Biodiversity and Evolutionary Biology (University of Valencia, Spain), specially Ohiana Revuelta, Natalia Fraija and Ana Born. The authors are really grateful to all the persons and institutions that collaborated in the Uruguay marine turtle stranding network: local fishermen, government institutions (DINARA and DINAMA), naval prefectures, lifeguard service, rangers, civil organizations (particularly SOCOBIOMA), citizens and tourist. We also acknowledge the financial support from IFAW and Rufford Small Grants to GVR and Agencia Nacional de Investigacion e Innovacion (ANII) to A.C. J.T. is supported by projects CGL2011-30413 of the Spanish Ministry of Economy and Competitiveness and Prometeo (UV-CI-12-151) of the Generalitat Valenciana. This research was conducted under license (No. 200/04, 073/08 and 323/11) from the Fauna Department-Ministry of Cattle, Agriculture and Fishing of Uruguay.</t>
  </si>
  <si>
    <t>1867-1616</t>
  </si>
  <si>
    <t>1867-1624</t>
  </si>
  <si>
    <t>MAR BIODIVERS</t>
  </si>
  <si>
    <t>Mar. Biodivers.</t>
  </si>
  <si>
    <t>10.1007/s12526-014-0272-x</t>
  </si>
  <si>
    <t>CX7HU</t>
  </si>
  <si>
    <t>WOS:000365873600025</t>
  </si>
  <si>
    <t>Whitehead, TO; Rollinson, DP; Reisinger, RR</t>
  </si>
  <si>
    <t>Whitehead, Thomas Otto; Rollinson, Dominic Paul; Reisinger, Ryan Rudolf</t>
  </si>
  <si>
    <t>Pseudostalked barnacles Xenobalanus globicipitis attached to killer whales Orcinus orca in South African waters</t>
  </si>
  <si>
    <t>Xenobalanus globicipitis; Orcinus orca; Killer whale; Barnacle; Epibiont; South Africa</t>
  </si>
  <si>
    <t>MARION</t>
  </si>
  <si>
    <t>Several records describe pseudostalked barnacles Xenobalanus globicipitis attached to killer whales Orcinus orca, yet little is known of this association in South African waters. Here we describe Xenobalanus prevalence on killer whales in South African waters and assemble previous records. Killer whales were photographed opportunistically between July and September 2013. Sex and age class were determined, and if Xenobalanus were present, attachment site and colony size were noted. A prevalence of 50 % was recorded, with barnacles most commonly observed on the dorsal fin and tail flukes. The high prevalence of Xenobalanus on killer whales in South African waters and lack thereof on killer whales at Marion Island implies that these are separate populations, and thus we suggest Xenobalanus prevalence as an additional means to distinguish between these populations.</t>
  </si>
  <si>
    <t>[Whitehead, Thomas Otto; Rollinson, Dominic Paul] Univ Cape Town, DST NRF Ctr Excellence, Percy Fitzpatrick Inst African Ornithol, ZA-7701 Cape Town, South Africa; [Reisinger, Ryan Rudolf] Univ Pretoria, Mammal Res Inst, Dept Zool &amp; Entomol, ZA-0028 Pretoria, South Africa</t>
  </si>
  <si>
    <t>University of Cape Town; National Research Foundation - South Africa; University of Pretoria</t>
  </si>
  <si>
    <t>Whitehead, TO (corresponding author), Univ Cape Town, DST NRF Ctr Excellence, Percy Fitzpatrick Inst African Ornithol, Private Bag X3, ZA-7701 Cape Town, South Africa.</t>
  </si>
  <si>
    <t>Reisinger, Ryan R/D-6151-2014</t>
  </si>
  <si>
    <t>Reisinger, Ryan R/0000-0002-8933-6875</t>
  </si>
  <si>
    <t>National Research Foundation (NRF) Thuthuka programme; South African Department of Science and Technology through the NRF; Mohamed bin Zayed Species Conservation Fund [10251290]; International Whaling Commission's Southern Ocean Research Partnership</t>
  </si>
  <si>
    <t>National Research Foundation (NRF) Thuthuka programme; South African Department of Science and Technology through the NRF; Mohamed bin Zayed Species Conservation Fund; International Whaling Commission's Southern Ocean Research Partnership</t>
  </si>
  <si>
    <t>The authors thank Lloyd Edwards of Raggy Charters and David Hurwitz of Simon's Town Boat Company for providing additional killer whale observations, as well as the two anonymous reviewers for their constructive comments. Funding for killer whale work at Marion Island was provided by the National Research Foundation (NRF) Thuthuka programme, the South African Department of Science and Technology through the NRF, the Mohamed bin Zayed Species Conservation Fund (project number: 10251290) and the International Whaling Commission's Southern Ocean Research Partnership. The Department of Environmental Affairs supplied logistic support within the South African National Antarctic Programme.</t>
  </si>
  <si>
    <t>10.1007/s12526-014-0296-2</t>
  </si>
  <si>
    <t>WOS:000365873600039</t>
  </si>
  <si>
    <t>Cavicchioli, R</t>
  </si>
  <si>
    <t>Cavicchioli, Ricardo</t>
  </si>
  <si>
    <t>Microbial ecology of Antarctic aquatic systems (vol 13, pg 691, 2015)</t>
  </si>
  <si>
    <t>NATURE REVIEWS MICROBIOLOGY</t>
  </si>
  <si>
    <t>Correction</t>
  </si>
  <si>
    <t>1740-1526</t>
  </si>
  <si>
    <t>1740-1534</t>
  </si>
  <si>
    <t>NAT REV MICROBIOL</t>
  </si>
  <si>
    <t>Nat. Rev. Microbiol.</t>
  </si>
  <si>
    <t>CX6VG</t>
  </si>
  <si>
    <t>WOS:000365839200009</t>
  </si>
  <si>
    <t>Suda, CNK; Vani, GS; de Oliveira, MF; Rodrigues, E; Rodrigues, E; Lavrado, HP</t>
  </si>
  <si>
    <t>Suda, Cecilia N. K.; Vani, Gannabathula S.; de Oliveira, Mariana Feijo; Rodrigues, Edson, Jr.; Rodrigues, Edson; Lavrado, Helena P.</t>
  </si>
  <si>
    <t>The biology and ecology of the Antarctic limpet Nacella concinna</t>
  </si>
  <si>
    <t>Antarctica; Gastropod; Global warming; Environmental monitoring</t>
  </si>
  <si>
    <t>KING-GEORGE ISLAND; POPULATION GENETIC-STRUCTURE; SOUTH SHETLAND ISLANDS; ENERGY-METABOLISM; DIGESTIVE GLAND; HYDROCARBON CONTAMINATION; PHYSIOLOGICAL-RESPONSE; TROPHIC RELATIONSHIPS; METAL CONCENTRATIONS; PROTEIN-METABOLISM</t>
  </si>
  <si>
    <t>Physiological studies suggest that Antarctic marine organisms are adversely affected by rising global temperatures and ocean acidification and have poor prospects for survival. However, according to ecological studies, their vulnerability might be less severe than initially thought. Thus, a realistic forecast of species survival and Antarctic biodiversity should be based on studies from a variety of species under consideration of ecological factors. The limpet Nacella concinna is often found in the rocky intertidal and sublittoral zones of the Antarctic Peninsula and adjacent subantarctic islands. This review summarizes most of the available information on the biology of this limpet, one of the most conspicuous invertebrates of the intertidal zone. There is some evidence that adult N. concinna are physiologically flexible and can acclimate to 3 A degrees C. However, the requirements of the larval stage are poorly known, thus precluding realistic predictions of how elevated temperatures will affect N. concinna populations. Data on physiological performance (righting ability, tenacity and radula rasping rate) under different temperatures could provide a useful baseline for further field investigations on the effects of warming. The species could be used as model organism for investigating the biological effects of ongoing global warming on slow-growing Antarctic ectotherms. Nacella concinna might also be a better biomonitor for polycyclic aromatic hydrocarbons than other Antarctic mollusks.</t>
  </si>
  <si>
    <t>[Suda, Cecilia N. K.; Vani, Gannabathula S.; de Oliveira, Mariana Feijo; Rodrigues, Edson, Jr.; Rodrigues, Edson; Lavrado, Helena P.] Univ Fed Rio de Janeiro, Natl Inst Sci &amp; Technol Antarctic Environm Res IN, Headquarters, BR-21941902 Rio De Janeiro, RJ, Brazil; [Suda, Cecilia N. K.; Vani, Gannabathula S.; de Oliveira, Mariana Feijo; Rodrigues, Edson] Univ Taubate, Basic Biosci Inst, BR-12030180 Taubate, SP, Brazil; [de Oliveira, Mariana Feijo; Rodrigues, Edson, Jr.] Univ Fed Parana, Dept Cell Biol, BR-81990970 Curitiba, Parana, Brazil; [Lavrado, Helena P.] Univ Fed Rio de Janeiro, Dept Marine Biol, BR-21941902 Rio De Janeiro, RJ, Brazil</t>
  </si>
  <si>
    <t>Universidade Federal do Rio de Janeiro; Universidade de Taubate; Universidade Federal do Parana; Universidade Federal do Rio de Janeiro</t>
  </si>
  <si>
    <t>Suda, CNK (corresponding author), Univ Fed Rio de Janeiro, Natl Inst Sci &amp; Technol Antarctic Environm Res IN, Headquarters, Ave Carlos Chagas Filho 373,Sala A1-94,Bloco A, BR-21941902 Rio De Janeiro, RJ, Brazil.</t>
  </si>
  <si>
    <t>cnksuda@hotmail.com</t>
  </si>
  <si>
    <t>de Oliveira, Mariana Feijó/AAY-2833-2020; Suda, Cecilia N.K./J-7071-2014; Rodrigues, Edson/C-6792-2015; Lavrado, Helena/M-9737-2014</t>
  </si>
  <si>
    <t>Rodrigues, Edson/0000-0003-3968-6882; Suda, Cecilia/0000-0002-6544-8661; Lavrado, Helena/0000-0002-7275-7075</t>
  </si>
  <si>
    <t>National Institute of Science and Technology Antarctic Environmental Research (INCT-APA) - National Council for Research and Development (CNPq) [574018/2008-5]; Carlos Chagas Research Support Foundation of the State of Rio de Janeiro (FAPERJ) [E-16/170.023/2008]</t>
  </si>
  <si>
    <t>National Institute of Science and Technology Antarctic Environmental Research (INCT-APA) - National Council for Research and Development (CNPq); Carlos Chagas Research Support Foundation of the State of Rio de Janeiro (FAPERJ)(Fundacao Carlos Chagas Filho de Amparo a Pesquisa do Estado do Rio De Janeiro (FAPERJ))</t>
  </si>
  <si>
    <t>The authors thank Dagmar Frisch (University of Birmingham, UK) for editing the English. This work was supported by the National Institute of Science and Technology Antarctic Environmental Research (INCT-APA) that receives financial support from the National Council for Research and Development (CNPq) process: No. 574018/2008-5 and Carlos Chagas Research Support Foundation of the State of Rio de Janeiro (FAPERJ) process: No. E-16/170.023/2008.</t>
  </si>
  <si>
    <t>10.1007/s00300-015-1789-6</t>
  </si>
  <si>
    <t>CX6DL</t>
  </si>
  <si>
    <t>WOS:000365791300001</t>
  </si>
  <si>
    <t>Billard, E; Reyes, J; Mansilla, A; Faugeron, S; Guillemin, ML</t>
  </si>
  <si>
    <t>Billard, Emmanuelle; Reyes, Jeanette; Mansilla, Andres; Faugeron, Sylvain; Guillemin, Marie-Laure</t>
  </si>
  <si>
    <t>Deep genetic divergence between austral populations of the red alga Gigartina skottsbergii reveals a cryptic species endemic to the Antarctic continent</t>
  </si>
  <si>
    <t>Phylogeography; Glacial refugia; Seaweed; Antarctica; rbcL; Cox2-3</t>
  </si>
  <si>
    <t>SOUTHERN-OCEAN; MITOCHONDRIAL LINEAGES; BIOLOGICAL BASIS; RHODOPHYTA; DIVERSITY; BIOGEOGRAPHY; BIODIVERSITY; GROWTH; MODEL; DIFFERENTIATION</t>
  </si>
  <si>
    <t>The almost complete isolation of Antarctica after the intensification the Antarctic circumpolar current (ACC) during the middle-Miocene has been challenged by recent molecular data showing the existence of allelic exchange across the ACC. For organisms present on both sides of the ACC, two hypotheses have then been discussed to explain the origin of the Antarctic populations: (1) They correspond to recent immigrants from adjacent continents, or (2) they have evolved in situ and have survived the dramatic effects of the last Quaternary glaciations in this region. The red algae Gigartina skottsbergii presents a disjoint distribution and is reported in both Antarctica and southern South America, a distribution pattern that largely exceeds its dispersal capacity. Mitochondrial sequences of the intergenic region Cox2-3 (n = 233) and partial chloroplastic RuBisCo large subunit gene (n = 26) sequences were obtained for individuals from the Chilean sub-Antarctic ecoregion and Antarctic Peninsula localities. The results strongly support the persistence of populations on each side of the Drake Passage during glacial periods and the existence of dispersal barrier due to the ACC. On both sides of the ACC, the last Quaternary glaciations have induced strong bottlenecks that were followed by rapid colonization events.</t>
  </si>
  <si>
    <t>[Reyes, Jeanette; Guillemin, Marie-Laure] Univ Austral Chile, Inst Ciencias Ambientales &amp; Evolut, Valdivia, Chile; [Billard, Emmanuelle] Univ Porto, CIBIO InBIO, Ctr Invest Biodiversidade &amp; Recursos Genet, P-4485668 Vairao, Portugal; [Mansilla, Andres] Univ Magallanes, Inst Ecol &amp; Biodiversidad, Lab Macroalgas Antarticas &amp; Subantarticas, Punta Arenas, Chile; [Faugeron, Sylvain] Pontificia Univ Catolica Chile, Ctr Conservac Marina, Fac Ciencias Biol, Santiago, Chile; [Faugeron, Sylvain] Pontificia Univ Catolica Chile, CeBiB, Santiago, Chile; [Faugeron, Sylvain; Guillemin, Marie-Laure] Univ Paris 06, Sorbonne Univ, Pontificia Univ Catolica Chile, Univ Austral Chile,CNRS,UMI Evolutionary Biol &amp; E, Roscoff, France</t>
  </si>
  <si>
    <t>Universidad Austral de Chile; Universidade do Porto; Universidad de Magallanes; Pontificia Universidad Catolica de Chile; Pontificia Universidad Catolica de Chile; Centre National de la Recherche Scientifique (CNRS); Sorbonne Universite; Universidad Austral de Chile</t>
  </si>
  <si>
    <t>Guillemin, ML (corresponding author), Univ Austral Chile, Inst Ciencias Ambientales &amp; Evolut, Valdivia, Chile.</t>
  </si>
  <si>
    <t>marielaure.guillemin@gmail.com</t>
  </si>
  <si>
    <t>; Billard, Emmanuelle/J-6302-2012</t>
  </si>
  <si>
    <t>Mansilla, Andres/0000-0003-3505-7018; Billard, Emmanuelle/0000-0002-7676-7967; Faugeron, Sylvain/0000-0001-7258-5229</t>
  </si>
  <si>
    <t>Instituto Antartico Chileno (INACH) [T_16-11]; Project Genomics Applied To Genetic Resources''; North Portugal Regional Operational Programme under the National Strategic Reference Framework (NSRF), through the European Regional Development Fund (ERDF) [2-O Novo Norte]; International Research Network Diversity, Evolution and Biotechnology of Marine Algae'' (GDRI) [0803]; CONICYT FONDECYT/REGULAR [N 1140940]</t>
  </si>
  <si>
    <t>Instituto Antartico Chileno (INACH); Project Genomics Applied To Genetic Resources''; North Portugal Regional Operational Programme under the National Strategic Reference Framework (NSRF), through the European Regional Development Fund (ERDF); International Research Network Diversity, Evolution and Biotechnology of Marine Algae'' (GDRI); CONICYT FONDECYT/REGULAR(Comision Nacional de Investigacion Cientifica y Tecnologica (CONICYT)CONICYT FONDECYT)</t>
  </si>
  <si>
    <t>This research was supported by the Instituto Antartico Chileno (INACH) Project T_16-11. EB is granted by a postdoctoral fellowship from the Project Genomics Applied To Genetic Resources'' cofinanced by North Portugal Regional Operational Programme 2007/2013 (ON.2-O Novo Norte), under the National Strategic Reference Framework (NSRF), through the European Regional Development Fund (ERDF). Additional support came from the International Research Network Diversity, Evolution and Biotechnology of Marine Algae'' (GDRI No 0803) and from the CONICYT FONDECYT/REGULAR N 1140940. The authors thank P. Brunning, J. L. Kappes, T. Heran, Y. Henriquez, J. Ojeda and L. Vallejos for their help in the field and M. E. Ramirez for her help in identification of vouchers from Antarctica and E. Giles for English correction. The authors would also like to thank C. Gonzalez-Wevar and four anonymous reviewers for their critical comments and valuable suggestions, which helped to improve this manuscript. We also thank the Chilean Navy (especially the captain and crew of the ships Almirante Oscar Viel and Lautaro), the staff from the Chilean Army in the O'Higgins base and the Air Force of Chile (FACh) for the logistic support of our fieldwork in sub-Antarctica and Antarctica.</t>
  </si>
  <si>
    <t>10.1007/s00300-015-1762-4</t>
  </si>
  <si>
    <t>WOS:000365791300006</t>
  </si>
  <si>
    <t>Guglielmo, L; Arena, G; Brugnano, C; Guglielmo, R; Granata, A; Minutoli, R; Sitran, R; Zagami, G; Bergamasco, A</t>
  </si>
  <si>
    <t>Guglielmo, L.; Arena, G.; Brugnano, C.; Guglielmo, R.; Granata, A.; Minutoli, R.; Sitran, R.; Zagami, G.; Bergamasco, A.</t>
  </si>
  <si>
    <t>MicroNESS: an innovative opening-closing multinet for under pack-ice zooplankton sampling</t>
  </si>
  <si>
    <t>Multinet; Pack-ice; Zooplankton; Horizontal sampling; Antarctica</t>
  </si>
  <si>
    <t>ANNUAL SEA-ICE; BAY ROSS SEA; WEDDELL SEA; NET; MARINE; COPEPODS</t>
  </si>
  <si>
    <t>Quantitative sampling of zooplankton communities from ice-covered waters presents many technical and logistic difficulties. Currently available techniques enable only vertical tows through relatively small ice holes, and the filtered volumes are generally low. For these reasons, we developed and tested Micro-Net Environmental Sampling System (MicroNESS), an innovative small-sized opening-closing multinet device carried by a ROV for horizontal and oblique sampling of the under-ice zooplankton community. MicroNESS design ensures a filtration efficiency close to 90 % due to the relevant filtration open area ratio (similar to 4) and exhibited only limited effects of clogging and avoidance for optimal speed of 0.35 ms(-1) and towing duration not longer than 14 min with mean filtered volumes in the order of 11 m(3). MicroNESS was successfully tested in Terra Nova Bay (Antarctica). A total of 96 tows were carried out to sample the zooplankton in the waters below the 2.6-m-thick pack ice, far from the ice hole, at selected depths (3.5, 4.5, 5.0, 6.0, 7.0, 10.0 and 20.0 m). Overall, more than 70,000 specimens were identified, mostly copepod taxa, which showed a size range from the small Stephos longipes nauplius stage I (0.11 mm) to the large adult females of Calanoides acutus (4.8 mm). The comparison among the ice-associated copepod communities collected by MicroNESS and those of three traditional sampling techniques showed that MicroNESS can provide useful insights about changes in composition, biomass and particle size structure of this key plankton component, especially on a short timescale during ice melting.</t>
  </si>
  <si>
    <t>[Guglielmo, L.; Arena, G.; Brugnano, C.; Granata, A.; Minutoli, R.; Sitran, R.; Zagami, G.] CNR, Sect Messina, Inst Coastal Marine Environm IAMC CNR, I-98122 Messina, Italy; [Guglielmo, R.] Zool Stn Anton Dohrn, Lab Benthos Ecol, I-80077 Naples, Italy; [Bergamasco, A.] CNR, Sect Messina, Inst Coastal Marine Environm IAMC CNR, I-98122 Messina, Italy</t>
  </si>
  <si>
    <t>Consiglio Nazionale delle Ricerche (CNR); L'Istituto per l'Ambiente Marino Costiero (IAMC-CNR); Stazione Zoologica Anton Dohrn di Napoli; Consiglio Nazionale delle Ricerche (CNR); L'Istituto per l'Ambiente Marino Costiero (IAMC-CNR)</t>
  </si>
  <si>
    <t>Bergamasco, A (corresponding author), CNR, Sect Messina, Inst Coastal Marine Environm IAMC CNR, Spianata S Raineri 86, I-98122 Messina, Italy.</t>
  </si>
  <si>
    <t>alessandro.bergamasco@iamc.cnr.it</t>
  </si>
  <si>
    <t>Bergamasco, Alessandro/ABB-5648-2021; Brugnano, Cinzia/AAE-5354-2019</t>
  </si>
  <si>
    <t>Bergamasco, Alessandro/0000-0003-3138-8418; GRANATA, Antonia/0000-0001-7016-6418; GUGLIELMO, Letterio/0000-0001-7547-8058; ZAGAMI, Giacomo/0000-0001-5083-8846; Guglielmo, Rosanna/0000-0003-1152-5112</t>
  </si>
  <si>
    <t>Italian National Programme for Antarctic Research (PNRA: Italian Programma Nazionale di Ricerche in Antartide); Ecology and Biogeochemistry of the Southern Ocean Matter and Energy Fluxes in the Cryosystems</t>
  </si>
  <si>
    <t>This study was funded by the Italian National Programme for Antarctic Research (PNRA: Italian Programma Nazionale di Ricerche in Antartide) and has been carried out by the Project 2.b.3 Ecology and Biogeochemistry of the Southern Ocean Matter and Energy Fluxes in the Cryosystems'' (led by Prof. L. Guglielmo) in the framework of the PIPEX and PIED activities. Many thanks go to the technicians involved in the MicroNESS sampling procedures for their excellent cooperation during the fieldwork. Project development and manufacturing of the MicroNESS were carried out in cooperation with IdromarAmbiente Srl, Genoa, Italy (company website: www.idromarambiente.it). We are also indebted to three anonymous reviewers for their helpful suggestions that greatly improved the earlier version of the manuscript.</t>
  </si>
  <si>
    <t>10.1007/s00300-015-1763-3</t>
  </si>
  <si>
    <t>WOS:000365791300007</t>
  </si>
  <si>
    <t>Majewski, W; Bowser, SS; Pawlowski, J</t>
  </si>
  <si>
    <t>Majewski, Wojciech; Bowser, Samuel S.; Pawlowski, Jan</t>
  </si>
  <si>
    <t>Widespread intra-specific genetic homogeneity of coastal Antarctic benthic foraminifera</t>
  </si>
  <si>
    <t>Foraminifera; Biogeography; SSU rDNA; Molecular diversity; Protists</t>
  </si>
  <si>
    <t>KING GEORGE ISLAND; EXPLORERS COVE; MONOTHALAMOUS FORAMINIFERAN; CRYPTIC SPECIATION; MOLECULAR EVIDENCE; SOUTHERN-OCEAN; MCMURDO SOUND; PROMACHOCRINUS-KERGUELENSIS; ADMIRALTY BAY; SHALLOW-WATER</t>
  </si>
  <si>
    <t>Benthic foraminifera are a major component of the Antarctic biota. Coastal foraminiferal morphospecies are widely distributed in Antarctic waters. The question is whether these morphotypes are genetically identical or, rather, they represent a cohort of cryptic species. Here, we compared genetically nine benthic foraminiferal morphospecies from Admiralty Bay (South Shetlands) and the western Ross Sea (McMurdo Sound, Terra Nova Bay), separated by a distance of similar to 4500 km. Additionally, for three of these morphospecies, we included specimens from Rothera (Marguerite Bay), which is located between the two main areas of interest. Our study, based on SSU and ITS rDNA sequence data, shows that all examined morphospecies share the same genotypes despite the presence of considerable intra-individual genetic variability.</t>
  </si>
  <si>
    <t>[Majewski, Wojciech] Inst Paleobiol PAS, PL-00818 Warsaw, Poland; [Bowser, Samuel S.] New York State Dept Hlth, Wadsworth Ctr, Albany, NY USA; [Pawlowski, Jan] Univ Geneva, Dept Genet &amp; Evolut, Geneva, Switzerland</t>
  </si>
  <si>
    <t>Polish Academy of Sciences; Institute of Paleobiology of the Polish Academy of Sciences; State University of New York (SUNY) System; Wadsworth Center; University of Geneva</t>
  </si>
  <si>
    <t>Majewski, W (corresponding author), Inst Paleobiol PAS, Twarda 51-55, PL-00818 Warsaw, Poland.</t>
  </si>
  <si>
    <t>wmaj@twarda.pan.pl</t>
  </si>
  <si>
    <t>Pawlowski, Jan/JNS-6857-2023; Majewski, Wojciech/D-9255-2017</t>
  </si>
  <si>
    <t>Majewski, Wojciech/0000-0002-5407-1782</t>
  </si>
  <si>
    <t>Swiss National Science Foundation [31003A_140766]; US National Science Foundation [ANT0944646]; Polish National Science Centre [2011/01/B/ST10/06956]; G. and A. Claraz Donation; Office of Polar Programs (OPP); Directorate For Geosciences [0944646] Funding Source: National Science Foundation</t>
  </si>
  <si>
    <t>Swiss National Science Foundation(Swiss National Science Foundation (SNSF)); US National Science Foundation(National Science Foundation (NSF)); Polish National Science Centre; G. and A. Claraz Donation; Office of Polar Programs (OPP); Directorate For Geosciences(National Science Foundation (NSF)NSF - Directorate for Geosciences (GEO))</t>
  </si>
  <si>
    <t>We thank Frederic Sinniger and Simon Creer (CGS-67) for providing sediment samples from Rothera and Jackie Guiard and Emanuela Reo for technical assistance. We also thank the divers and field staff of Project B-043 for the McMurdo sampling, as well as Frederic Sinniger and Beatrice Lecroq for diving to collect samples from Admiralty Bay. This work was supported by Swiss National Science Foundation grant 31003A_140766, US National Science Foundation grant ANT0944646, Polish National Science Centre grant 2011/01/B/ST10/06956, and the G. and A. Claraz Donation. We would like to thank three anonymous reviewers for their helpful comments on this paper.</t>
  </si>
  <si>
    <t>10.1007/s00300-015-1765-1</t>
  </si>
  <si>
    <t>WOS:000365791300008</t>
  </si>
  <si>
    <t>Pérez-Barros, P; Confalonieri, VA; Paschke, K; Lovrich, GA</t>
  </si>
  <si>
    <t>Perez-Barros, Patricia; Confalonieri, Viviana A.; Paschke, Kurt; Lovrich, Gustavo A.</t>
  </si>
  <si>
    <t>Incongruence between molecular and morphological characters in the southern king crabs Lithodes santolla and Lithodes confundens (Decapoda: Anomura)</t>
  </si>
  <si>
    <t>16S; Burdwood Bank; Centolla; COI; Lithodidae; Species delimitation</t>
  </si>
  <si>
    <t>MUNIDA-GREGARIA; INTROGRESSION; POPULATION; HYBRIDIZATION; DNA; CRUSTACEA; PHYLOGEOGRAPHY; FIELD; BRACHYURA; PHYLOGENY</t>
  </si>
  <si>
    <t>The use of genetic tools has a relevant role in fishery resource management and conservation, for example, when used in species delimitation. Morphological variation can occur as an adaptative or plastic response to environmental variation, and therefore, be mistakenly used as a criterion to delimit species. Particularly, Lithodes santolla and Lihodes confundens, two commercially important lithodid species from sub-Antarctic South America, are mainly differentiated by the number and size of spines on the carapace and pereiopods. However, variability in the size of spines of L. santolla has been reported. We evaluated whether these two morphospecies constitute reciprocally monophyletic clades at the molecular level using mitochondrial markers, and performed a detailed morphological analysis of the carapace to search for correspondence between genetic and morphological differences. The Bayesian phylogenetic reconstruction showed that L. santolla and L. confundens belong to two sister clades. However, individuals identified as L. santolla and L. confundens did not resolve as reciprocally monophyletic groups. Instead, one clade was formed by individuals belonging to both morphospecies and was widely distributed, while the other one was exclusively formed by L. santolla, and its members were only found near Puerto Montt and in the Beagle Channel. No morphological characters were found on the carapace that could differentiate individuals belonging to each genetic clade. Either if the two genetic clades constitute species or remnants of two species that are merging through introgression, they represent two evolutionary significant lineages, and measures should be taken to preserve both. Our study suggests the need to revise the use of the number of spines as a relevant taxonomic character in the taxonomy of Lithodes, and to implement molecular genetic methods to control fisheries.</t>
  </si>
  <si>
    <t>[Perez-Barros, Patricia] Univ Maimonides, CONICET, Buenos Aires, DF, Argentina; [Perez-Barros, Patricia] Univ Maimonides, Ctr Estudios Biomed Biotecnol Ambientales &amp; Diagn, Buenos Aires, DF, Argentina; [Confalonieri, Viviana A.] Univ Buenos Aires, Fac Ciencias Exactas &amp; Nat, CONICET UBA, Inst Ecol Genet &amp; Evoluc Buenos Aires, Buenos Aires, DF, Argentina; [Confalonieri, Viviana A.] Univ Buenos Aires, Fac Ciencias Exactas &amp; Nat, Dept Ecol Genet &amp; Evoluc, Buenos Aires, DF, Argentina; [Paschke, Kurt] Univ Austral Chile, Inst Acuicultura, Puerto Montt, Chile; [Lovrich, Gustavo A.] Consejo Nacl Invest Cient &amp; Tecn, Ctr Austral Invest Cient CADIC, Ushuaia, Tierra Del Fueg, Argentina</t>
  </si>
  <si>
    <t>Consejo Nacional de Investigaciones Cientificas y Tecnicas (CONICET); Consejo Nacional de Investigaciones Cientificas y Tecnicas (CONICET); University of Buenos Aires; University of Buenos Aires; Universidad Austral de Chile; Consejo Nacional de Investigaciones Cientificas y Tecnicas (CONICET)</t>
  </si>
  <si>
    <t>Pérez-Barros, P (corresponding author), Univ Maimonides, CONICET, Hidalgo 775,6 Piso,C1405BCK, Buenos Aires, DF, Argentina.</t>
  </si>
  <si>
    <t>patopb@yahoo.com</t>
  </si>
  <si>
    <t>Lovrich, Gustavo/0000-0001-8424-6566; Confalonieri, Viviana Andrea/0000-0003-4499-9816</t>
  </si>
  <si>
    <t>Argentine Agencia Nacional de Promocion Cientifica y Tecnologica; Fondo para la Investigacion Cientifica y Tecnologica; Prestamo BID-PICT [2010-2529]; CONICET; Universidad Maimonides; Fundacion de Historia Natural Felix de Azara</t>
  </si>
  <si>
    <t>Argentine Agencia Nacional de Promocion Cientifica y Tecnologica(ANPCyT); Fondo para la Investigacion Cientifica y Tecnologica; Prestamo BID-PICT; CONICET(Consejo Nacional de Investigaciones Cientificas y Tecnicas (CONICET)); Universidad Maimonides; Fundacion de Historia Natural Felix de Azara</t>
  </si>
  <si>
    <t>We greatly appreciate the help of crews and captains of the RV Puerto Deseado. Maria Gowland-Sainz, Olga Florentin and Marcelo Perez helped us with sampling and Anabela Petraroia helped us with lab work. The comments of three anonymous reviewers greatly improved this manuscript. This study was funded by a grant of the Argentine Agencia Nacional de Promocion Cientifica y Tecnologica, Fondo para la Investigacion Cientifica y Tecnologica, Prestamo BID-PICT 2010-2529, CONICET, Universidad Maimonides and Fundacion de Historia Natural Felix de Azara.</t>
  </si>
  <si>
    <t>10.1007/s00300-015-1770-4</t>
  </si>
  <si>
    <t>WOS:000365791300012</t>
  </si>
  <si>
    <t>Antarctic challenge</t>
  </si>
  <si>
    <t>PSYCHOLOGIST</t>
  </si>
  <si>
    <t>BRITISH PSYCHOLOGICAL SOC</t>
  </si>
  <si>
    <t>LEICESTER</t>
  </si>
  <si>
    <t>ST ANDREWS HOUSE, 48 PRINCESS RD EAST, LEICESTER LE1 7DR, LEICS, ENGLAND</t>
  </si>
  <si>
    <t>0952-8229</t>
  </si>
  <si>
    <t>Psychologist</t>
  </si>
  <si>
    <t>Psychology, Multidisciplinary</t>
  </si>
  <si>
    <t>Psychology</t>
  </si>
  <si>
    <t>CX0IZ</t>
  </si>
  <si>
    <t>WOS:000365381400016</t>
  </si>
  <si>
    <t>Kim, Y; Jeong, J</t>
  </si>
  <si>
    <t>Kim, Yeadong; Jeong, Jihoon</t>
  </si>
  <si>
    <t>The development of the Asian Forum for Polar Sciences (AFoPS)</t>
  </si>
  <si>
    <t>POLAR SCIENCE</t>
  </si>
  <si>
    <t>The Asian Forum for Polar Sciences (AFoPS); Polar science; Antarctic/Arctic research; International cooperation</t>
  </si>
  <si>
    <t>The Asian Forum for Polar Sciences (AFoPS), an international forum of Asian polar research institutes, was established for the advancement of polar sciences among its members in 2004. The Forum has served as an important medium of Asian collective endeavors for polar affairs in human and information exchange, research collaboration, and logistics cooperation for the last decade. The historical development of the AFoPS in retrospect can be divided into four phases: inception and establishment (2003-2004), growth and expansion (2005-2007), review and restructuring (2008-2011), and achievements and further measures (2012-2014). The progress of the AFoPS has not been linear and this trend will continue into the next decades. The Forum, however, clearly made achievements in this period of time, realizing multilateral research and logistics cooperation that would have been previously unimaginable; by doing so, it has laid the foundation for the future. Responsible for a great portion of the world's polar activities, the AFoPS will rise to meet the expectations of the world by producing notable research output, initiating international cooperative programs, and supporting non-polar Asian countries with education and research collaboration. These are the tasks of the AFoPS for the next decade and they require strategy that promotes and facilitates collaboration in a practical way and draws attention of non-polar Asian countries to the polar sciences. (C) 2015 Elsevier B.V. and NIPR. All rights reserved.</t>
  </si>
  <si>
    <t>[Kim, Yeadong; Jeong, Jihoon] Korea Polar Res Inst, Inchon 406840, South Korea</t>
  </si>
  <si>
    <t>Jeong, J (corresponding author), Korea Polar Res Inst, 26 Songdomirae Ro, Inchon 406840, South Korea.</t>
  </si>
  <si>
    <t>jj@kopri.re.kr</t>
  </si>
  <si>
    <t>Jeong, Jihoon/JBJ-3402-2023</t>
  </si>
  <si>
    <t>Jeong, Jihoon/0000-0002-9338-5127</t>
  </si>
  <si>
    <t>1873-9652</t>
  </si>
  <si>
    <t>1876-4428</t>
  </si>
  <si>
    <t>POLAR SCI</t>
  </si>
  <si>
    <t>Polar Sci.</t>
  </si>
  <si>
    <t>10.1016/j.polar.2015.08.004</t>
  </si>
  <si>
    <t>CX0KI</t>
  </si>
  <si>
    <t>WOS:000365384900002</t>
  </si>
  <si>
    <t>Cui, XB; Sun, B; Guo, JX; Wang, TT; Zhang, D</t>
  </si>
  <si>
    <t>Cui, Xiangbin; Sun, Bo; Guo, Jingxue; Wang, Tiantian; Zhang, Dong</t>
  </si>
  <si>
    <t>A new detailed ice thickness and subglacial topography DEM for Dome A, East Antarctica</t>
  </si>
  <si>
    <t>Subglacial topography; Ice thickness; Ice-penetrating radar; Dome A; Deep ice core</t>
  </si>
  <si>
    <t>ACCUMULATION RATE; VELOCITY; SURFACE; CORE; OLD</t>
  </si>
  <si>
    <t>A new deep ice core is being drilled at the Chinese Kunlun Station in the Dome A region. As ice thickness and subglacial topography in the area are important factors of estimating ice core age, we investigated this region using ice-penetrating radars in three austral seasons during CHINARE 21, 24 and 29 expeditions. Previous results from radar measurements during CHINARE 21 and 24 played critical role in locating the deep ice core drilling site, basal ice age modeling and study of geomorphology of the Gamburtsev Subglacial Mountains. Recent radio echo sounding in the area during CHINARE 29 improved on the grid's resolution, intended for improving modeling results. All radar data from three austral seasons were processed to build more detailed maps of ice thickness and subglacial topography. The new maps show high resolution ice thickness distribution varying between 1548 m and 3347 m in the area. The small scale subglacial valley glaciated terrain is shown in great detail, such as mountain peaks and ridges, main deep valley and its branches, valley steps and overdeepened concavities. The results are essential for accurate regional ice sheet modeling in the area to study basal processes and ice age modeling, as well as locating new deep ice core drilling site. (C) 2015 Elsevier B.V. and NIPR. All rights reserved.</t>
  </si>
  <si>
    <t>[Cui, Xiangbin; Sun, Bo; Guo, Jingxue; Wang, Tiantian; Zhang, Dong] Polar Res Inst China, Shanghai 200136, Peoples R China</t>
  </si>
  <si>
    <t>Polar Research Institute of China</t>
  </si>
  <si>
    <t>Cui, XB (corresponding author), Polar Res Inst China, Shanghai 200136, Peoples R China.</t>
  </si>
  <si>
    <t>cuixiangbin@pric.org.cn</t>
  </si>
  <si>
    <t>sun, bo/JFA-9978-2023; Cui, Xiangbin/Y-1551-2019</t>
  </si>
  <si>
    <t>Cui, Xiangbin/0000-0002-4269-8086</t>
  </si>
  <si>
    <t>National Basic Research Program of China [2012CB957702, 2013CBA01804]; Chinese Polar Environmental Comprehensive Investigation and Assessment Programs [CHINARE-02-02]; National Natural Science Foundation of China [41201426]</t>
  </si>
  <si>
    <t>National Basic Research Program of China(National Basic Research Program of China); Chinese Polar Environmental Comprehensive Investigation and Assessment Programs; National Natural Science Foundation of China(National Natural Science Foundation of China (NSFC))</t>
  </si>
  <si>
    <t>This work is financially supported by National Basic Research Program of China (2012CB957702 and 2013CBA01804), the Chinese Polar Environmental Comprehensive Investigation and Assessment Programs (CHINARE-02-02) and the National Natural Science Foundation of China (41201426). We thank the Chinese Antarctic inland expedition teams for supporting in field measurement. We thank the reviewers' comment and suggestions on the manuscript. We also thank Duncan Young for assistance with English writing revision.</t>
  </si>
  <si>
    <t>10.1016/j.polar.2015.09.003</t>
  </si>
  <si>
    <t>WOS:000365384900004</t>
  </si>
  <si>
    <t>Takeuchi, I</t>
  </si>
  <si>
    <t>Takeuchi, Ichiro</t>
  </si>
  <si>
    <t>A new species of Paraproto (Crustacea: Amphipoda: Phtisicidae) collected from the South Shetland Islands, Antarctica</t>
  </si>
  <si>
    <t>Amphipoda; Antarctica; The South Shetland Islands; New species; Paraproto mccaini; Taxonomy</t>
  </si>
  <si>
    <t>CAPRELLIDEA CRUSTACEA; COASTAL</t>
  </si>
  <si>
    <t>A new species of amphipod crustacean (Amphipoda: Phtisicidae), Paraproto mccaini n. sp. is described based on specimens collected from south of Elephant Island, the South Shetland Islands near the Antarctic Peninsula. This species was first reported as Paraproto condylata (Haswell, 1885) [sensu lato], recorded from a temperate region of Australia. P. mccaini n. sp. is distinct from P. condylata [sensu stricto] by an elongated head with pereonite 1, presence of a mid-lateral projection on pereonites 2-4, and lack of a distal round projection on the propodus of gnathopod 2. Paraproto differs from Pseudoprotomima, the most phylogenetically similar genus, in having gills on pereonites 3 and 4. (C) 2015 Elsevier B.V. and NIPR. All rights reserved.</t>
  </si>
  <si>
    <t>[Takeuchi, Ichiro] Ehime Univ, Fac Agr, Dept Life Environm Conservat, Matsuyama, Ehime 7908566, Japan; [Takeuchi, Ichiro] Ehime Univ, Fac Agr, Ctr Adv Technol Environm, Matsuyama, Ehime 7908566, Japan</t>
  </si>
  <si>
    <t>Ehime University; Ehime University</t>
  </si>
  <si>
    <t>Takeuchi, I (corresponding author), Ehime Univ, Fac Agr, Dept Life Environm Conservat, 3-5-7 Tarumi, Matsuyama, Ehime 7908566, Japan.</t>
  </si>
  <si>
    <t>takeuchi@agr.ehime-u.ac.jp</t>
  </si>
  <si>
    <t>10.1016/j.polar.2015.08.002</t>
  </si>
  <si>
    <t>WOS:000365384900006</t>
  </si>
  <si>
    <t>Jung, JH; Park, KM; Min, GS; Berger, H; Kim, S</t>
  </si>
  <si>
    <t>Jung, Jae-Ho; Park, Kyung-Min; Min, Gi-Sik; Berger, Helmut; Kim, Sanghee</t>
  </si>
  <si>
    <t>Morphology and molecular phylogeny of an Antarctic population of Paraholosticha muscicola (Kahl, 1932) Wenzel, 1953 (Ciliophora, Hypotricha)</t>
  </si>
  <si>
    <t>Antarctica; Morphology; Paraholosticha muscicola; Soil ciliate; SSU rRNA gene</t>
  </si>
  <si>
    <t>SOIL CILIATES PROTOZOA; NOV-SPEC.; MORPHOGENESIS; UROLEPTOPSIS; DIVISION; ECOLOGY</t>
  </si>
  <si>
    <t>The morphology of an Antarctic soil population of Paraholosticha muscicola, type species of Paraholosticha, is described from life and after protargol preparation. The data agree rather well with that of relevant descriptions, but the total variability of several features is relatively high in this species. Paraholosticha ovata and P. lichenicola are very likely junior synonyms. In addition, we sequenced the SSU rRNA gene of P. muscicola and thus we can estimate for the first time the phylogenetic position of a member of the Keronopsidae, the sole hypotrichs that divide in cysts. The molecular data basically support the position derived from morphological concepts, that is, P. muscicola branches off outside the Dorsomarginalia because kinety fragmentation and dorsomarginal rows are lacking. However, as in many other molecular analyses, discrepancies with morphology-based hypothesis are present. The misclassification of Paraholosticha and its sister-group Keronopsis in the Keronidae, with Kerona pediculus as type species, is discussed. (C) 2015 Elsevier B.V. and NIPR. All rights reserved.</t>
  </si>
  <si>
    <t>[Jung, Jae-Ho; Park, Kyung-Min; Kim, Sanghee] Korea Polar Res Inst, Div Life Sci, Inchon 406840, South Korea; [Park, Kyung-Min; Min, Gi-Sik] Inha Univ, Dept Biol Sci, Inchon 402751, South Korea; [Berger, Helmut] Consulting Engn Off Ecol, A-5020 Salzburg, Austria; [Jung, Jae-Ho] Gangneunge Wonju Natl Univ, Dept Biol, Kangnung 210702, South Korea</t>
  </si>
  <si>
    <t>Korea Institute of Ocean Science &amp; Technology (KIOST); Korea Polar Research Institute (KOPRI); Inha University; Kangnung Wonju National University</t>
  </si>
  <si>
    <t>Kim, S (corresponding author), Korea Polar Res Inst, Div Life Sci, 26 Songdomirae Ro, Inchon 406840, South Korea.</t>
  </si>
  <si>
    <t>Jung, Jae-Ho/L-2849-2016</t>
  </si>
  <si>
    <t>Jung, Jae-Ho/0000-0001-5497-8678; Berger, Helmut/0000-0002-1726-0082</t>
  </si>
  <si>
    <t>Korea Polar Research Institute [PE15020, PM14050]; Austrian Science Fund [P20569-B17]; Austrian Science Fund (FWF) [P20569] Funding Source: Austrian Science Fund (FWF)</t>
  </si>
  <si>
    <t>Korea Polar Research Institute(Korea Polar Research Institute of Marine Research Placement (KOPRI)); Austrian Science Fund(Austrian Science Fund (FWF)); Austrian Science Fund (FWF)(Austrian Science Fund (FWF))</t>
  </si>
  <si>
    <t>This study was supported by the Korea Polar Research Institute (research grants PE15020 and PM14050 to S. Kim) and the Austrian Science Fund (project P20569-B17 to H. Berger).</t>
  </si>
  <si>
    <t>10.1016/j.polar.2015.08.005</t>
  </si>
  <si>
    <t>WOS:000365384900007</t>
  </si>
  <si>
    <t>Chavanich, S; Viyakarn, V; Nomura, D; Watanabe, K</t>
  </si>
  <si>
    <t>Chavanich, Suchana; Viyakarn, Voranop; Nomura, Daiki; Watanabe, Kentaro</t>
  </si>
  <si>
    <t>Potential changes in feeding behavior of Antarctic fish, Pseudotrematomus bernacchii (Boulenger, 1902) on the East Ongul Island, Antarctica</t>
  </si>
  <si>
    <t>Southern Ocean; Syowa station; Temporal change; Diet; Stomach content</t>
  </si>
  <si>
    <t>TERRA-NOVA BAY; NOTOTHENIID FISH; TREMATOMUS-BERNACCHII; MCMURDO SOUND; DIET; ECOLOGY; PISCES; FOOD; SEA</t>
  </si>
  <si>
    <t>The feeding habits of the Antarctic fish Pseudotrematomus bernacchii (Previous name: Trematomus bernacchii) under the fast ice around Japanese Syowa Station were investigated in the summers of 2004/2005 and 2009/2010. The results showed that amphipods and krill were the major prey. However, there was a significant difference in the proportions of larger invertebrates such as squids, octopus and other crustaceans found in the fish stomachs between 2009/2010 and the previous years. Moreover, the percentage of amphipods and krill in fish stomachs declined over the 5-year period in all fish size classes. Several factors including sea ice melting, habitat and environmental changes might have influenced the pattern of feeding behavior. (C) 2015 Elsevier B.V. and NIPR. All rights reserved.</t>
  </si>
  <si>
    <t>[Chavanich, Suchana; Viyakarn, Voranop] Chulalongkorn Univ, Fac Sci, Dept Marine Sci, Reef Biol Res Grp, Bangkok 10330, Thailand; [Nomura, Daiki] Hokkaido Univ, Inst Low Temp Sci, Sapporo, Hokkaido 060, Japan; [Watanabe, Kentaro] Natl Inst Polar Res, Tachikawa, Tokyo, Japan</t>
  </si>
  <si>
    <t>Chulalongkorn University; Hokkaido University; Research Organization of Information &amp; Systems (ROIS); National Institute of Polar Research (NIPR) - Japan</t>
  </si>
  <si>
    <t>Chavanich, S (corresponding author), Chulalongkorn Univ, Fac Sci, Dept Marine Sci, Reef Biol Res Grp, Bangkok 10330, Thailand.</t>
  </si>
  <si>
    <t>suchana.c@chula.ac.th</t>
  </si>
  <si>
    <t>Viyakarn, Voranop/Q-9182-2019; Chavanich, Suchana/AAU-8266-2020</t>
  </si>
  <si>
    <t>Watanabe, Kentaro/0000-0002-5177-0086</t>
  </si>
  <si>
    <t>National Institute of Polar Research Japan; National Science and Technology Development Agency (Thailand); L'OREAL (Thailand); Japan Polar Research Association; Integrated Innovation Academic Center of Chulalongkorn University Centenary Academic Development Project [CU56-CC08]; Grants-in-Aid for Scientific Research [15K16135, 15H05116] Funding Source: KAKEN</t>
  </si>
  <si>
    <t>National Institute of Polar Research Japan; National Science and Technology Development Agency (Thailand); L'OREAL (Thailand); Japan Polar Research Association; Integrated Innovation Academic Center of Chulalongkorn University Centenary Academic Development Project; Grants-in-Aid for Scientific Research(Ministry of Education, Culture, Sports, Science and Technology, Japan (MEXT)Japan Society for the Promotion of ScienceGrants-in-Aid for Scientific Research (KAKENHI))</t>
  </si>
  <si>
    <t>We would like to thank Dr. S. Kudoh, Dr. Y. Motoyoshi, Dr. Y. Fujii, and Dr. Shiraishi for their help and to make this project possible. We also would like to thank the members of 45th, 46th, 50th, and 51st Japanese Antarctic Research Expeditions for their support during the field works. This project was funded by the National Institute of Polar Research Japan, National Science and Technology Development Agency (Thailand), L'OREAL (Thailand), the Japan Polar Research Association, and the Integrated Innovation Academic Center of Chulalongkorn University Centenary Academic Development Project (CU56-CC08).</t>
  </si>
  <si>
    <t>10.1016/j.polar.2015.09.001</t>
  </si>
  <si>
    <t>WOS:000365384900009</t>
  </si>
  <si>
    <t>Gentili, S; Bonadiman, C; Biagioni, C; Comodi, P; Coltorti, M; Zucchini, A; Ottolini, L</t>
  </si>
  <si>
    <t>Gentili, S.; Bonadiman, C.; Biagioni, C.; Comodi, P.; Coltorti, M.; Zucchini, A.; Ottolini, L.</t>
  </si>
  <si>
    <t>Oxo-amphiboles in mantle xenoliths: evidence for H2O-rich melt interacting with the lithospheric mantle of Harrow Peaks (Northern Victoria Land, Antarctica)</t>
  </si>
  <si>
    <t>MINERALOGY AND PETROLOGY</t>
  </si>
  <si>
    <t>SPINEL PERIDOTITES; REDOX STATE; RANGE ORDER; EQUILIBRIA; MINERALS; METASOMATISM; WATER; NOMENCLATURE; CONSTRAINTS; LHERZOLITES</t>
  </si>
  <si>
    <t>Amphiboles are the most widespread hydrous metasomatic phases in spinel-bearing mantle peridotites from Harrow Peaks (HP), Northern Victoria Land (Antarctica). They occur both in veinlets and disseminated in the peridotite matrix (preferentially associated with clinopyroxene and spinel grains). Four amphibole crystals were investigated by single-crystal X-ray diffraction (SC-XRD), electron microprobe analysis (EMPA), secondary ion mass spectrometry (SIMS) and micro-Mossbauer spectroscopy; these crystal-chemical data allow to constrain upper mantle conditions during growth of these amphiboles and the role of volatile circulation during metasomatic processes in the Antarctic region. The HP amphiboles have low Mg# values (69.3-84.1), high TiO2 (2.74-5.30 wt%) and FeOtot contents (3.40 to 6.90 wt%). The Fe3+/Fe-tot ratios are significantly high (0.53-0.66). The W-site is mainly occupied by O2- (0.984-1.187 apfu) plus OH (H2O: 0.70-1.01 wt%) and minor F (0.04-0.24 wt%) and Cl (0.03-0.08 wt%). Consequently, HP amphiboles are actually characterized by a significant oxo component. The aH(2)O values were calculated at 1.5 GPa by dehydration equilibrium equations written as H2O-buffering equilibria among end-member components of amphibole and coexisting peridotite phases. Three out of four HP amphibole-bearing peridotites have values of aH(2)O ranging from 0.122 to 0.335; whereas one sample has aH(2)O remarkably higher (0.782) approaching an ideal H2O basalt solubility. The HP fO(2) values, determined by the olivine-spinel-orthopyroxene oxygeobarometer (Delta QFM = -1.77 : +0.01), are remarkably different from those calculated on the basis of the amphibole dehydration equilibrium and the application of the dissociation reaction (Delta QFM = -2.60 : +6.8). The high aH(2)O and the extremely high fO(2) values, determined by the oxy-amphibole equilibrium with respect to the redox conditions recorded by the co-existing anhydrous minerals (close to QFM buffer), revealed that: i) the amphibole-forming reaction is a relatively recent process with the new phases far from having reached a potential equilibrium with the peridotite matrix; ii) amphibole seems to be formed by the precipitation of migrating H2O-rich melts with a negligible contribution of the peridotite system.</t>
  </si>
  <si>
    <t>[Gentili, S.; Comodi, P.; Zucchini, A.] Univ Perugia, Dipartimento Fis &amp; Geol, I-06123 Perugia, Italy; [Bonadiman, C.; Coltorti, M.] Univ Ferrara, Dipartimento Fis &amp; Sci Terra, I-44122 Ferrara, Italy; [Biagioni, C.] Univ Pisa, Dipartimento Sci Terra, I-56126 Pisa, Italy; [Ottolini, L.] CNR, Ist Geosci &amp; Georisorse, I-27100 Pavia, Italy</t>
  </si>
  <si>
    <t>University of Perugia; University of Ferrara; University of Pisa; Consiglio Nazionale delle Ricerche (CNR); Istituto di Geoscienze e Georisorse (IGG-CNR)</t>
  </si>
  <si>
    <t>Gentili, S (corresponding author), Univ Perugia, Dipartimento Fis &amp; Geol, Piazza Univ 1, I-06123 Perugia, Italy.</t>
  </si>
  <si>
    <t>silvia.gentili@studenti.unipg.it</t>
  </si>
  <si>
    <t>BIAGIONI, CRISTIAN/HKO-8984-2023; ZUCCHINI, AZZURRA/G-5418-2019</t>
  </si>
  <si>
    <t>ZUCCHINI, AZZURRA/0000-0002-5603-8353; COMODI, Paola/0000-0002-1899-0589; Biagioni, Cristian/0000-0002-3917-7984</t>
  </si>
  <si>
    <t>PNRA (Programma Nazionale Ricerche in Antartide) project [2010/A2.08]</t>
  </si>
  <si>
    <t>PNRA (Programma Nazionale Ricerche in Antartide) project</t>
  </si>
  <si>
    <t>The authors want to thank R. Carampin (IGG-CNR Padova) and C. McCammon (BGI-Bayreuth) for the electron microprobe and Mossbauer spectroscopy analyses, respectively. The EMP laboratory staff of the Department of Geosciences and Natural Resource Management is acknowledged for the EMP analyses. M. Pasero (University of Pisa) is acknowledged for the useful discussion on the amphibole crystal chemistry. We also thank Barbara Galassi and Steve Deforie for their correction of English language. This study was financially supported by the PNRA (Programma Nazionale Ricerche in Antartide) project. 2010/A2.08 Xenoliths and basic lavas in understanding the C-O-H system in the mantle of the polar regions, coordinated by M. Coltorti.</t>
  </si>
  <si>
    <t>0930-0708</t>
  </si>
  <si>
    <t>1438-1168</t>
  </si>
  <si>
    <t>MINER PETROL</t>
  </si>
  <si>
    <t>Mineral. Petrol.</t>
  </si>
  <si>
    <t>10.1007/s00710-015-0404-4</t>
  </si>
  <si>
    <t>Geochemistry &amp; Geophysics; Mineralogy</t>
  </si>
  <si>
    <t>CW6HK</t>
  </si>
  <si>
    <t>WOS:000365098200008</t>
  </si>
  <si>
    <t>Zeng, YX; Yu, Y; Li, HR; Luo, W</t>
  </si>
  <si>
    <t>Zeng, Yin-Xin; Yu, Yong; Li, Hui-Rong; Luo, Wei</t>
  </si>
  <si>
    <t>Psychrobacter fjordensis sp nov., a psychrotolerant bacterium isolated from an Arctic fjord in Svalbard</t>
  </si>
  <si>
    <t>ANTONIE VAN LEEUWENHOEK INTERNATIONAL JOURNAL OF GENERAL AND MOLECULAR MICROBIOLOGY</t>
  </si>
  <si>
    <t>Psychrobacter fjordensis sp nov.; Psychrobacter; Kongsfjorden; Arctic</t>
  </si>
  <si>
    <t>DNA HYBRIDIZATION; SEA</t>
  </si>
  <si>
    <t>A Gram-negative, non-motile, non-spore-forming, psychrotolerant and halotolerant bacterium designated BSw21516B(T), was obtained from seawater in Kongsfjorden, a glacial fjord in the Arctic Svalbard and subjected to taxonomic analysis using a polyphasic approach. This bacterium was observed to optimally grow at 25-29 A degrees C; between at 4 and 34 A degrees C, but not at &gt; 35 A degrees C; and in the presence of 0-8 % (w/v) NaCl at an optimum concentration of 2-5 % (w/v) NaCl. Strain BSw21516B(T) was found to contain Ubiquinone-8 (Q-8) as a predominant respiratory lipoquinone and C-18:1 omega 9c and summed feature 3 (C-16:1 omega 7c and/or iso-C-15:0 2-OH) as predominant cellular fatty acids. Phylogenetic analysis of 16S rRNA and gyrB gene sequences showed that this isolate belongs to the genus Psychrobacter and is closely related to Psychrobacter fozii LMG 21280(T), which was isolated from a sediment sample in Antarctica. DNA hybridization experiments revealed a low level of DNA-DNA relatedness (less than 58.6 %) between strain BSw21516B(T) and its closest relatives. Based on these results a new species Psychrobacter fjordensis sp. nov. is proposed (type strain BSw21516B(T) = KCTC 42279(T) = CCTCC AB 2014020(T)).</t>
  </si>
  <si>
    <t>[Zeng, Yin-Xin; Yu, Yong; Li, Hui-Rong; Luo, Wei] Polar Res Inst China, Key Lab Polar Sci State Ocean Adm, Shanghai 200136, Peoples R China</t>
  </si>
  <si>
    <t>Zeng, YX (corresponding author), Polar Res Inst China, Key Lab Polar Sci State Ocean Adm, Shanghai 200136, Peoples R China.</t>
  </si>
  <si>
    <t>yxzeng@yahoo.com</t>
  </si>
  <si>
    <t>Luo, Wei/0000-0002-4472-2182</t>
  </si>
  <si>
    <t>National Natural Science Foundation of China [41076131, 41476171]; Chinese Polar Environment Comprehensive Investigation and Assessment Program [CHINARE2015-02-01]</t>
  </si>
  <si>
    <t>National Natural Science Foundation of China(National Natural Science Foundation of China (NSFC)); Chinese Polar Environment Comprehensive Investigation and Assessment Program</t>
  </si>
  <si>
    <t>We appreciate the assistance of the Chinese Arctic and Antarctic Administration (CAA) who organized the Chinese Arctic Yellow River Station Expedition in 2008. This work was supported by the National Natural Science Foundation of China (Grant Nos. 41076131 and 41476171) and the Chinese Polar Environment Comprehensive Investigation and Assessment Program (Grant No. CHINARE2015-02-01).</t>
  </si>
  <si>
    <t>0003-6072</t>
  </si>
  <si>
    <t>1572-9699</t>
  </si>
  <si>
    <t>ANTON LEEUW INT J G</t>
  </si>
  <si>
    <t>Antonie Van Leeuwenhoek</t>
  </si>
  <si>
    <t>10.1007/s10482-015-0580-6</t>
  </si>
  <si>
    <t>CV8CQ</t>
  </si>
  <si>
    <t>WOS:000364504500001</t>
  </si>
  <si>
    <t>Cincinelli, A; Martellini, T; Vullo, D; Supuran, CT</t>
  </si>
  <si>
    <t>Cincinelli, Alessandra; Martellini, Tania; Vullo, Daniela; Supuran, Claudiu T.</t>
  </si>
  <si>
    <t>Anion and sulfonamide inhibition studies of an α-carbonic anhydrase from the Antarctic hemoglobinless fish Chionodraco hamatus</t>
  </si>
  <si>
    <t>BIOORGANIC &amp; MEDICINAL CHEMISTRY LETTERS</t>
  </si>
  <si>
    <t>Carbonic anhydrase; Sulfonamide; Anion; Chionodraco hamatus</t>
  </si>
  <si>
    <t>HETEROCYCLIC SULFONAMIDES; PHENOLIC-COMPOUNDS; DRUG TARGETS; GAMMA-CLASS; ISOZYME; BENZENESULFONAMIDES; ERYTHROCYTES; ISOENZYMES; CHEMISTRY; HYPOXIA</t>
  </si>
  <si>
    <t>An alpha-carbonic anhydrase (CA, EC 4.2.1.1) has been purified from the Antarctic hemoglobinless fish Chionodraco hamatus (icefish). The new enzyme, denominated ChaCA, has a good catalytic activity for the physiologic CO2 hydration to bicarbonate reaction, similar to that of the low activity human isoform hCA I, with a k(cat) of 5.3 x 105 s(-1), and a k(cat)/Km of 3.7 x 10(7) M (1) s (1). The enzyme was inhibited in the submillimolar range by most inorganic anions (cyanate, thiocyanate, cyanide, bicarbonate, halides), whereas sulfamide, sulfamate, phenylboronic/phenylarsonic acids were micromolar inhibitors, with K(I)s in the range of 9-77 mu M. Many clinically used drugs, such as acetazolamide, methazolamide, dorzolamide, brinzolamide, topiramate and benzolamide were low nanomolar inhibitors, with K(I)s in the range of 39.1-77.6 nM. As the physiology of CO2/bicarbonate transport or the Root effect in this Antarctic fish are poorly understood at this moment, such inhibition data may give a more detailed insight in the role that CAs play in these phenomena, by the use of inhibitors described here as physiologic tools. (C) 2015 Elsevier Ltd. All rights reserved.</t>
  </si>
  <si>
    <t>[Cincinelli, Alessandra; Martellini, Tania; Vullo, Daniela; Supuran, Claudiu T.] Univ Florence, Dipartimento Chim Ugo Schiff, Lab Chim Bioinorgan, I-50019 Florence, Italy; [Supuran, Claudiu T.] Univ Florence, Dipartimento NEUROFARBA, Polo Sci, I-50019 Florence, Italy; [Supuran, Claudiu T.] Univ Florence, Sez Sci Farmaceut Nutraceut, I-50019 Florence, Italy</t>
  </si>
  <si>
    <t>University of Florence; University of Florence; University of Florence</t>
  </si>
  <si>
    <t>Supuran, CT (corresponding author), Univ Florence, Dipartimento Chim Ugo Schiff, Lab Chim Bioinorgan, Rm 188,Via Lastruccia 3, I-50019 Florence, Italy.</t>
  </si>
  <si>
    <t>claudiu.supuran@unifi.it</t>
  </si>
  <si>
    <t>Cincinelli, Alessandra/A-8468-2011; Martellini, Tania/AAD-1095-2020</t>
  </si>
  <si>
    <t>Martellini, Tania/0000-0001-6803-1928; VULLO, Daniela/0000-0002-1352-1900; Supuran, Claudiu/0000-0003-4262-0323</t>
  </si>
  <si>
    <t>PNRA projects [PdR 2009/A2.10, PdR 2009/A1.04, PdR 2013/AZ2.05]</t>
  </si>
  <si>
    <t>PNRA projects</t>
  </si>
  <si>
    <t>The research was funded in part by the PNRA projects PdR 2009/A2.10 'Environmental contamination in Antarctica: levels and trends of legacy persistent organic pollutants', PdR 2009/A1.04 'Flows of persistent organic pollutants between polar abiotic and biotic compartments (POP-LAB)' and PdR 2013/AZ2.05 'Evaluation and modelling of environmental impact related to chemical substances and pollutants released from massive snow/ice melting in Antarctica'.</t>
  </si>
  <si>
    <t>0960-894X</t>
  </si>
  <si>
    <t>1464-3405</t>
  </si>
  <si>
    <t>BIOORG MED CHEM LETT</t>
  </si>
  <si>
    <t>Bioorg. Med. Chem. Lett.</t>
  </si>
  <si>
    <t>10.1016/j.bmcl.2015.10.074</t>
  </si>
  <si>
    <t>Chemistry, Medicinal; Chemistry, Organic</t>
  </si>
  <si>
    <t>Pharmacology &amp; Pharmacy; Chemistry</t>
  </si>
  <si>
    <t>CV8KV</t>
  </si>
  <si>
    <t>WOS:000364535400005</t>
  </si>
  <si>
    <t>Vargas-Chacoff, L; Saavedra, E; Oyarzún, R; Martínez-Montaño, E; Pontigo, JP; Yáñez, A; Ruiz-Jarabo, I; Mancera, JM; Ortiz, E; Bertrán, C</t>
  </si>
  <si>
    <t>Vargas-Chacoff, L.; Saavedra, E.; Oyarzun, R.; Martinez-Montano, E.; Pontigo, J. P.; Yanez, A.; Ruiz-Jarabo, I.; Mancera, J. M.; Ortiz, E.; Bertran, C.</t>
  </si>
  <si>
    <t>Effects on the metabolism, growth, digestive capacity and osmoregulation of juvenile of Sub-Antarctic Notothenioid fish Eleginops maclovinus acclimated at different salinities</t>
  </si>
  <si>
    <t>FISH PHYSIOLOGY AND BIOCHEMISTRY</t>
  </si>
  <si>
    <t>Eleginops maclovinus; Euryhaline fish; Metabolism; Growth; Osmoregulation</t>
  </si>
  <si>
    <t>SOLE SOLEA-SENEGALENSIS; SEABREAM SPARUS-AURATA; STOCKING DENSITY; ENZYME-ACTIVITY; NA+,K+-ATPASE; CHYMOTRYPSIN; EXPRESSION; EFFICIENCY; CONVERSION; PROTEASES</t>
  </si>
  <si>
    <t>In this study we assessed the influence of three different environmental salinities (5, 15 and 31 psu during 90 days) on growth, osmoregulation, energy metabolism and digestive capacity in juveniles of the Notothenioid fish Eleginops maclovinus. At the end of experimental time samples of plasma, liver, gill, intestine, kidney, skeletal muscle, stomach and pyloric caeca were obtained. Growth, weight gain, hepatosomatic index and specific growth rate increased at 15 and 31 psu and were lower at 5 psu salinity. Gill Na+, K+-ATPase (NKA) activity presented a U-shaped relationship respect to salinity, with its minimum rates at 15 psu, while this activity correlated negatively with salinity at both anterior and posterior intestinal portions. No significant changes in NKA activity were observed in kidney or mid intestine. Large changes in plasma, metabolite levels and enzymatic activities related to energy metabolism in liver, gill, intestine, kidney and muscle were generally found in the groups exposed to 5 and 31 psu compared to the 15 psu group. Only the pepsin activity (digestive enzymes) assessed enhanced with environmental salinity, while pyloric caeca trypsin/chymotrypsin ratio decreased. This study suggests that juvenile of E. maclovinus presents greater growth near its iso-osmotic point (15 psu) and hyperosmotic environment (31 psu). Acclimation to low salinity increased the osmoregulatory expenditure as seen by the gill and anterior intestine results, while at high salinity, branchial osmoregulatory activity was also enhanced. This requires the mobilization of lipid stores and amino acids, thereby holding the growth of fish back. The subsequent reallocation of energy sources was not sufficient to maintain the growth rate of fish exposed to 5 psu. Thus, E. maclovinus juveniles present better growth efficiencies in salinities above the iso-osmotic point and hyperosmotic environment of this species, showing their best performance at 15 psu as seen by the main osmoregulatory and energy metabolism enzymatic activities.</t>
  </si>
  <si>
    <t>[Vargas-Chacoff, L.; Saavedra, E.; Oyarzun, R.; Pontigo, J. P.; Ortiz, E.; Bertran, C.] Univ Austral Chile, Inst Ciencias Marinas &amp; Limnol, Valdivia, Chile; [Martinez-Montano, E.] Univ Austral Chile, CONICYT Reg R10C1002, Ctr Invest &amp; Desarrollo CIEN Austral, Balneario Pelluco, Puerto Montt, Chile; [Martinez-Montano, E.] Univ Autonoma Sinaloa, Fac Ciencias Mar, Mazatlan 82000, Sinaloa, Mexico; [Pontigo, J. P.; Yanez, A.] Univ Austral Chile, Interdisciplinary Ctr Aquaculture Res FONDAP INCA, Inst Bioquim &amp; Microbiol, Valdivia, Chile; [Ruiz-Jarabo, I.; Mancera, J. M.] Univ Cadiz, Fac Ciencias Mar &amp; Ambientales, Dept Biol, Cadiz, Spain; [Ruiz-Jarabo, I.] Univ Algarve, CIMAR Lab Associado, Ctr Marine Sci CCMar, P-8005139 Faro, Portugal</t>
  </si>
  <si>
    <t>Universidad Austral de Chile; Universidad Austral de Chile; Universidad Autonoma de Sinaloa; Universidad Austral de Chile; Universidad de Cadiz; Universidade do Algarve</t>
  </si>
  <si>
    <t>Vargas-Chacoff, L (corresponding author), Univ Austral Chile, Inst Ciencias Marinas &amp; Limnol, Valdivia, Chile.</t>
  </si>
  <si>
    <t>luis.vargas@uach.cl</t>
  </si>
  <si>
    <t>Vargas-Chacoff, Luis LVCh/A-5855-2012; Ruiz-Jarabo, I./AAA-6194-2020; Pontigo, Juan Pablo/AAS-2367-2021; Martínez-Montaño, Emmanuel/KBA-8435-2024; Oyarzún-Salazar, Ricardo/HGU-6035-2022; Mancera Romero, Juan Miguel/A-8132-2014</t>
  </si>
  <si>
    <t>Pontigo, Juan Pablo/0000-0003-0084-0862; Martínez-Montaño, Emmanuel/0000-0002-1706-8285; Mancera Romero, Juan Miguel/0000-0003-0751-5966; Oyarzun-Salazar, Ricardo/0000-0003-3177-399X; Ruiz-Jarabo, Ignacio/0000-0002-3918-0921; Vargas-Chacoff, Luis/0000-0002-0497-2582</t>
  </si>
  <si>
    <t>FONDECYT [1110235]</t>
  </si>
  <si>
    <t>This study was carried out in the framework of FONDECYT Project 1110235 and FONDAP-INCAR, No. 15110027. We thank Dr. Lafayette Eaton and the Direccion de Investigacion of the Universidad Austral de Chile (DID) for their help checking this manuscript.</t>
  </si>
  <si>
    <t>0920-1742</t>
  </si>
  <si>
    <t>1573-5168</t>
  </si>
  <si>
    <t>FISH PHYSIOL BIOCHEM</t>
  </si>
  <si>
    <t>Fish Physiol. Biochem.</t>
  </si>
  <si>
    <t>10.1007/s10695-015-0092-3</t>
  </si>
  <si>
    <t>Biochemistry &amp; Molecular Biology; Fisheries; Physiology</t>
  </si>
  <si>
    <t>CV8FX</t>
  </si>
  <si>
    <t>WOS:000364517600002</t>
  </si>
  <si>
    <t>Ghosh, B; Nowak, BF; Bridle, AR</t>
  </si>
  <si>
    <t>Ghosh, Bikramjit; Nowak, Barbara F.; Bridle, Andrew R.</t>
  </si>
  <si>
    <t>Alginate Microencapsulation for Oral Immunisation of Finfish: Release Characteristics, Ex Vivo Intestinal Uptake and In Vivo Administration in Atlantic Salmon, Salmo salar L.</t>
  </si>
  <si>
    <t>MARINE BIOTECHNOLOGY</t>
  </si>
  <si>
    <t>Oral vaccination; Fish; Microencapsulation; Intestinal uptake; Alginate; Salmon</t>
  </si>
  <si>
    <t>MUCOSAL IMMUNE-RESPONSES; FOOD PARTICLE-SIZE; 2ND GUT SEGMENT; RAINBOW-TROUT; CHITOSAN MICROSPHERES; DRUG-DELIVERY; IMMUNOLOGICAL IMPORTANCE; POLYMERIC MICROSPHERES; GAIRDNERI RICHARDSON; VIBRIO-ANGUILLARUM</t>
  </si>
  <si>
    <t>This study examined the feasibility of alginate microcapsules manufactured using a low-impact technology and reagents to protect orally delivered immunogens for use as immunoprophylactics for fish. Physical characteristics and protein release kinetics of the microcapsules were examined at different pH and temperature levels using a microencapsulated model protein, bovine serum albumin (BSA). Impact of the microencapsulation process on contents was determined by analysing change in bioactivity of microencapsulated lysozyme. Feasibility of the method for oral immunoprophylaxis of finfish was assessed using FITC-labelled microcapsules. These were applied to distal intestinal explants of Atlantic salmon (Salmo salar) to investigate uptake ex vivo. Systemic distribution of microcapsules was investigated by oral administration of FITC-labelled microcapsules to Atlantic salmon fry by incorporating into feed. The microcapsules produced were structurally robust and retained surface integrity, with a modal size distribution of 250-750 nm and a tendency to aggregate. Entrapment efficiency of microencapsulation was 51.2 % for BSA and 43.2 % in the case of lysozyme. Microcapsules demonstrated controlled release of protein, which increased with increasing pH or temperature, and the process had no significant negative effect on bioactivity of lysozyme. Uptake of fluorescent-labelled microcapsules was clearly demonstrated by intestinal explants over a 24-h period. Evidence of microcapsules was found in the intestine, spleen, kidney and liver of fry following oral administration. Amenability of the microcapsules to intestinal uptake and distribution reinforced the strong potential for use of this microencapsulation method in oral immunoprophylaxis of finfish using sensitive immunogenic substances.</t>
  </si>
  <si>
    <t>[Ghosh, Bikramjit; Nowak, Barbara F.; Bridle, Andrew R.] Univ Tasmania, Inst Marine &amp; Antarctic Studies, Launceston, Tas 7250, Australia</t>
  </si>
  <si>
    <t>Ghosh, B (corresponding author), Univ Tasmania, Inst Marine &amp; Antarctic Studies, Locked Bag 1370, Launceston, Tas 7250, Australia.</t>
  </si>
  <si>
    <t>bikramjit.ghosh@utas.edu.au; b.nowak@utas.edu.au; andrew.bridle@utas.edu.au</t>
  </si>
  <si>
    <t>Bridle, Andrew R/B-4117-2013; Nowak, Barbara/J-7261-2014; Ghosh, Bikramjit/P-4916-2016</t>
  </si>
  <si>
    <t>Nowak, Barbara/0000-0002-0347-643X; Bridle, Andrew/0000-0002-5788-1297; Ghosh, Bikramjit/0000-0002-5144-263X</t>
  </si>
  <si>
    <t>1436-2228</t>
  </si>
  <si>
    <t>1436-2236</t>
  </si>
  <si>
    <t>MAR BIOTECHNOL</t>
  </si>
  <si>
    <t>Mar. Biotechnol.</t>
  </si>
  <si>
    <t>10.1007/s10126-015-9663-7</t>
  </si>
  <si>
    <t>CV8EJ</t>
  </si>
  <si>
    <t>WOS:000364512500013</t>
  </si>
  <si>
    <t>Kalberg, T; Gohl, K; Eagles, G; Spiegel, C</t>
  </si>
  <si>
    <t>Kalberg, Thomas; Gohl, Karsten; Eagles, Graeme; Spiegel, Cornelia</t>
  </si>
  <si>
    <t>Rift processes and crustal structure of the Amundsen Sea Embayment, West Antarctica, from 3D potential field modelling</t>
  </si>
  <si>
    <t>MARINE GEOPHYSICAL RESEARCH</t>
  </si>
  <si>
    <t>Potential field modelling; Tectonics of West Antarctica; West Antarctic Rift System; Crustal architecture of the Amundsen Sea Embayment</t>
  </si>
  <si>
    <t>MAIN ETHIOPIAN RIFT; TECTONIC EVOLUTION; ROSS SEA; BELLINGSHAUSEN PLATE; CONTINENTAL-MARGIN; GRAVITY-ANOMALIES; PACIFIC MARGIN; GLACIATION; BASIN; EAST</t>
  </si>
  <si>
    <t>The Amundsen Sea Embayment of West Antarctica is of particular interest as it provides critical geological boundary conditions in better understanding the dynamic behavior of the West Antarctic Ice Sheet, which is undergoing rapid ice loss in the Amundsen Sea sector. One of the highly debated hypothesis is whether this region has been affected by the West Antarctic Rift System, which is one of the largest in the world and the dominating tectonic feature in West Antarctica. Previous geophysical studies suggested an eastward continuation of this rift system into the Amundsen Sea Embayment. This geophysical study of the Amundsen Sea Embayment presents a compilation of data collected during two RV Polarstern expeditions in the Amundsen Sea Embayment of West Antarctica in 2006 and 2010. Bathymetry and satellite-derived gravity data of the Amundsen Sea Embayment complete the dataset. Our 3-D gravity and magnetic models of the lithospheric architecture and development of this Pacific margin improve previous interpretations from 2-D models of the region. The crust-mantle boundary beneath the continental rise and shelf is between 14 and 29 km deep. The imaged basement structure can be related to rift basins within the Amundsen Sea Embayment, some of which can be interpreted as products of the Cretaceous rift and break-up phase and some as products of later propagation of the West Antarctic Rift System into the region. An estimate of the flexural rigidity of the lithosphere reveals a thin elastic thickness in the eastern embayment which increases towards the west. The results are comparable to estimates in other rift systems such as the Basin and Range province or the East African Rift. Based on these results, we infer an arm of the West Antarctic Rift System is superposed on a distributed Cretaceous rift province in the Amundsen Sea Embayment. Finally, the embayment was affected by magmatism from discrete sources along the Pacific margin of West Antarctica in the Cenozoic.</t>
  </si>
  <si>
    <t>[Kalberg, Thomas; Gohl, Karsten; Eagles, Graeme] Helmholtz Zentrum Polar &amp; Meeresforsch, Alfred Wegener Inst, Dept Geosci, D-27568 Bremerhaven, Germany; [Spiegel, Cornelia] Univ Bremen, Dept Geosci, D-28359 Bremen, Germany</t>
  </si>
  <si>
    <t>Kalberg, T (corresponding author), Helmholtz Zentrum Polar &amp; Meeresforsch, Alfred Wegener Inst, Dept Geosci, Am Alten Hafen 26, D-27568 Bremerhaven, Germany.</t>
  </si>
  <si>
    <t>thomas_kalberg@web.de</t>
  </si>
  <si>
    <t>Gohl, Karsten/0000-0002-9558-2116; Spiegel, Cornelia/0000-0002-1432-3447; Eagles, Graeme/0000-0001-5325-0810</t>
  </si>
  <si>
    <t>Deutsche Forschungsgemeinschaft (DFG) under the DFG Priority Program 'Antarctic Research' [GO 724/13-1]</t>
  </si>
  <si>
    <t>Deutsche Forschungsgemeinschaft (DFG) under the DFG Priority Program 'Antarctic Research'(German Research Foundation (DFG))</t>
  </si>
  <si>
    <t>We are grateful to the master, crews and scientific teams of the RV Polarstern expeditions ANT-XXIII/4 (2006) und ANT-XXVI/3 (2010) for their support in collecting new geophysical data from the ASE. This project was funded by the Deutsche Forschungsgemeinschaft (DFG) under the DFG Priority Program 'Antarctic Research' with project number GO 724/13-1 and is affiliated with Work Package 3.2 of the AWI research program PACES-II.</t>
  </si>
  <si>
    <t>0025-3235</t>
  </si>
  <si>
    <t>1573-0581</t>
  </si>
  <si>
    <t>MAR GEOPHYS RES</t>
  </si>
  <si>
    <t>Mar. Geophys. Res.</t>
  </si>
  <si>
    <t>10.1007/s11001-015-9261-0</t>
  </si>
  <si>
    <t>Geochemistry &amp; Geophysics; Oceanography</t>
  </si>
  <si>
    <t>CV7YI</t>
  </si>
  <si>
    <t>WOS:000364492900001</t>
  </si>
  <si>
    <t>Uenzelmann-Neben, G; Clift, PD</t>
  </si>
  <si>
    <t>Uenzelmann-Neben, Gabriele; Clift, Peter D.</t>
  </si>
  <si>
    <t>A sediment budget for the Transkei Basin, Southwest Indian Ocean</t>
  </si>
  <si>
    <t>Reflection seismic; Sediment transport; Decompaction; Bottom currents</t>
  </si>
  <si>
    <t>FISSION-TRACK THERMOCHRONOLOGY; ACCUMULATION RATES; CLIMATE-CHANGE; PASSIVE MARGIN; EROSION RATES; NATAL VALLEY; AFRICA; GONDWANA; ASIA; RECONSTRUCTION</t>
  </si>
  <si>
    <t>Deep sea sediment budgets can be used to constrain erosion rates in the neighboring continents from which the material was derived. Here we construct a sediment budget for the Transkei Basin, offshore South Africa using an existing seismic reflection survey and dated by correlation of seismic attributes to dated sections in nearby basins. Backstripping of the sections reveals that sediment accumulation rates fell from 110 to 11 Ma, with a possible period of rapid accumulation from 36 to 34 Ma that may be driven by strengthening of the Antarctic Bottom Water (AABW). The long term trend is linked to erosional degradation of the onshore continental escarpment, formed as a consequence of continental break-up. No change is noted at 30 Ma, coincident with proposed uplift of southern Africa driven by plume activity. The basin shows a significant increase in sediment accumulation after 11 Ma, which we interpret to reflect strengthening and rerouting of the AABW from the south into Transkei Basin, as a far field effect of the start of closure of the Indonesian Throughflow.</t>
  </si>
  <si>
    <t>[Uenzelmann-Neben, Gabriele] Helmholtz Ctr Polar &amp; Marine Res, Alfred Wegener Inst, Bremerhaven, Germany; [Clift, Peter D.] Louisiana State Univ, Dept Geol &amp; Geophys, Baton Rouge, LA 70803 USA</t>
  </si>
  <si>
    <t>Helmholtz Association; Alfred Wegener Institute, Helmholtz Centre for Polar &amp; Marine Research; Louisiana State University System; Louisiana State University</t>
  </si>
  <si>
    <t>Clift, PD (corresponding author), Louisiana State Univ, Dept Geol &amp; Geophys, Baton Rouge, LA 70803 USA.</t>
  </si>
  <si>
    <t>pclift@lsu.edu</t>
  </si>
  <si>
    <t>Clift, Peter/JWO-3915-2024; Clift, Peter D/A-8972-2012; Uenzelmann-Neben, Gabriele/AAI-8618-2020</t>
  </si>
  <si>
    <t>Uenzelmann-Neben, Gabriele/0000-0002-0115-5923</t>
  </si>
  <si>
    <t>German Ministry of Education and Research (BMBF) [03G0182A]</t>
  </si>
  <si>
    <t>German Ministry of Education and Research (BMBF)(Federal Ministry of Education &amp; Research (BMBF))</t>
  </si>
  <si>
    <t>PC acknowledges support from the Charles T. McCord Chair in Petroleum Geology. Alan Roberts and Nick Kusznir are thanked for letting us use their backstripping software FlexDecomp''. The seismic data forming the base of this paper have been collected as part of project AISTEK-I funded by the German Ministry of Education and Research (BMBF) under contract No 03G0182A.</t>
  </si>
  <si>
    <t>10.1007/s11001-015-9250-3</t>
  </si>
  <si>
    <t>WOS:000364492900002</t>
  </si>
  <si>
    <t>Clement, S; Moore, SA; Lockwood, M; Mitchell, M</t>
  </si>
  <si>
    <t>Clement, Sarah; Moore, Susan A.; Lockwood, Michael; Mitchell, Michael</t>
  </si>
  <si>
    <t>Using insights from pragmatism to develop reforms that strengthen institutional competence for conserving biodiversity</t>
  </si>
  <si>
    <t>POLICY SCIENCES</t>
  </si>
  <si>
    <t>Adaptive governance; Biodiversity conservation; Multifunctional landscapes; Institutional reform; Protected areas; Private land conservation</t>
  </si>
  <si>
    <t>CLIMATE-CHANGE ADAPTATION; GREAT-BARRIER-REEF; ADAPTIVE GOVERNANCE; TRANSBOUNDARY CONSERVATION; MANAGEMENT; RESILIENCE; CAPACITY; SUSTAINABILITY; COLLABORATION; LANDSCAPES</t>
  </si>
  <si>
    <t>The poor performance of biodiversity institutions has prompted calls for reform. Adaptive governance has been promoted as a means of supporting improved biodiversity outcomes. However, incorporating adaptive elements into biodiversity governance has been a challenge. In particular, efforts to make institutions more adaptive often fail to account for existing capacity and context-specific factors. Clear guidance on how to move from general, ambitious adaptive governance prescriptions to specific, context-dependent recommendations is needed. This paper demonstrates how insights from pragmatism can inform an approach for designing institutional reforms that address current shortcomings in adaptive governance approaches. This design scaffolds reform options on a platform of existing competency and institutional legacy. Informed by the results of a prior institutional diagnosis, reform development followed a three-stage process: defining plausible reform spaces; identifying reform possibilities within these spaces; and elaborating reform options. Two very different landscapes provided the case studies: (1) a highly modified agricultural landscape, where private landholders are responsible for managing biodiversity as a public good; (2) a group of national parks, where the state holds primary responsibility. The reforms in the agricultural landscape build on successful landholder and organizational efforts to self-organize and pursue innovative solutions, while those for the protected area enable greater managerial discretion and address the challenges of working across multiple government jurisdictions. This context-driven approach draws on insights from pragmatism to provide guidance on the design of institutional reforms that meet the demands of adaptive governance in a way that is both systematic and realistic.</t>
  </si>
  <si>
    <t>[Clement, Sarah; Moore, Susan A.] Murdoch Univ, Environm &amp; Conservat Sci, Murdoch, WA 6150, Australia; [Lockwood, Michael; Mitchell, Michael] Univ Tasmania, Sch Land &amp; Food, Geog &amp; Spatial Sci, Hobart, Tas 7001, Australia</t>
  </si>
  <si>
    <t>Murdoch University; University of Tasmania</t>
  </si>
  <si>
    <t>Clement, S (corresponding author), Murdoch Univ, Environm &amp; Conservat Sci, 90 South St, Murdoch, WA 6150, Australia.</t>
  </si>
  <si>
    <t>s.clement@murdoch.edu.au; s.moore@murdoch.edu.au; michael.lockwood@utas.edu.au; michael.mitchell@utas.edu.au</t>
  </si>
  <si>
    <t>Clement, Sarah/O-9997-2016; Mitchell, Michael/C-2382-2014</t>
  </si>
  <si>
    <t>Clement, Sarah/0000-0002-5422-622X; Mitchell, Michael/0000-0002-1082-3073</t>
  </si>
  <si>
    <t>Australian Government's National Environmental Research Program; University of Tasmania (UTAS); Australian National University (ANU); Murdoch University; Antarctic Climate and Ecosystems Cooperative Research Centre (ACE CRC); Griffith University; Charles Sturt University (CSU)</t>
  </si>
  <si>
    <t>Australian Government's National Environmental Research Program(Australian Government); University of Tasmania (UTAS); Australian National University (ANU)(Australian National University); Murdoch University; Antarctic Climate and Ecosystems Cooperative Research Centre (ACE CRC)(Australian GovernmentDepartment of Industry, Innovation and ScienceCooperative Research Centres (CRC) Programme); Griffith University(Griffith University - Gold Coast Campus); Charles Sturt University (CSU)</t>
  </si>
  <si>
    <t>This research is an output from the Landscapes and Policy Research Hub. The hub is supported through funding from the Australian Government's National Environmental Research Program and involves researchers from the University of Tasmania (UTAS), The Australian National University (ANU), Murdoch University, the Antarctic Climate and Ecosystems Cooperative Research Centre (ACE CRC), Griffith University, and Charles Sturt University (CSU).</t>
  </si>
  <si>
    <t>0032-2687</t>
  </si>
  <si>
    <t>1573-0891</t>
  </si>
  <si>
    <t>POLICY SCI</t>
  </si>
  <si>
    <t>Policy Sci.</t>
  </si>
  <si>
    <t>10.1007/s11077-015-9222-0</t>
  </si>
  <si>
    <t>Public Administration; Social Sciences, Interdisciplinary</t>
  </si>
  <si>
    <t>Public Administration; Social Sciences - Other Topics</t>
  </si>
  <si>
    <t>CV8YI</t>
  </si>
  <si>
    <t>WOS:000364573800004</t>
  </si>
  <si>
    <t>Picard, D</t>
  </si>
  <si>
    <t>Picard, David</t>
  </si>
  <si>
    <t>White magic: An anthropological perspective on value in Antarctic tourism</t>
  </si>
  <si>
    <t>TOURIST STUDIES</t>
  </si>
  <si>
    <t>Antarctic tourism; anthropology; nature magic; values</t>
  </si>
  <si>
    <t>This work explores the value of magic that Antarctic tourists frequently associate with their encounters of the White Continent. The argument developed here is that this magic emerges as a discourse delineating Antarctica as a radically Other to the modern Self in general, while at the same time offering a symbolic essence to modern social life that tourists actively seek out and try to capture while on the tour. Through its focus on the ambivalent and inherently contradictory values of this white magic, the work contributes to the Scientific Committee on Antarctic Research Social Science Action Group's effort to understand various forms of value that human beings place on Antarctica.</t>
  </si>
  <si>
    <t>[Picard, David] Univ Lausanne, Inst Geog &amp; Sustainabil, Anthropol Tourism, CH-1967 Bramois Sion, Switzerland</t>
  </si>
  <si>
    <t>University of Lausanne</t>
  </si>
  <si>
    <t>Picard, D (corresponding author), Univ Lausanne, Inst Geog &amp; Sustainabil, Chemin Inst 18, CH-1967 Bramois Sion, Switzerland.</t>
  </si>
  <si>
    <t>piccccc@gmail.com</t>
  </si>
  <si>
    <t>Picard, David/I-5654-2013</t>
  </si>
  <si>
    <t>Picard, David/0000-0001-6677-4197</t>
  </si>
  <si>
    <t>Portuguese Polar Program (PROPOLAR) of the Portuguese Science and Technology Foundation (FTC/MEC); Portuguese Foundation for Science and Technology (FCT) [PTDC/CS-ANT/114825/2009]; Fundação para a Ciência e a Tecnologia [PTDC/CS-ANT/114825/2009] Funding Source: FCT</t>
  </si>
  <si>
    <t>Portuguese Polar Program (PROPOLAR) of the Portuguese Science and Technology Foundation (FTC/MEC); Portuguese Foundation for Science and Technology (FCT)(Fundacao para a Ciencia e a Tecnologia (FCT)); Fundação para a Ciência e a Tecnologia(Fundacao para a Ciencia e a Tecnologia (FCT))</t>
  </si>
  <si>
    <t>This work was carried out as part of the project Anthropology of Antarctic Tourism Culture (ANATOCU) funded by the Portuguese Polar Program (PROPOLAR) of the Portuguese Science and Technology Foundation (FTC/MEC). Living and subsistence costs during fieldwork were supported through national funds provided by the Portuguese Foundation for Science and Technology (FCT), Project PTDC/CS-ANT/114825/2009. The Argentinian National Research Foundation, through its Austral Centre for Scientific Investigation (CADIC) in Ushuaia, provided logistic help and facilitated access to the field. CADIC offered a preferential rate to host the research team in their guest apartment. The Antarctic Office of Terra del Fuego provided access to policy documents and quantitative data. Terra del Fuego National Park granted the team a special research permit.</t>
  </si>
  <si>
    <t>SAGE PUBLICATIONS INC</t>
  </si>
  <si>
    <t>THOUSAND OAKS</t>
  </si>
  <si>
    <t>2455 TELLER RD, THOUSAND OAKS, CA 91320 USA</t>
  </si>
  <si>
    <t>1468-7976</t>
  </si>
  <si>
    <t>1741-3206</t>
  </si>
  <si>
    <t>TOURIST STUD</t>
  </si>
  <si>
    <t>Tour. Stud.</t>
  </si>
  <si>
    <t>10.1177/1468797615597858</t>
  </si>
  <si>
    <t>CW2KY</t>
  </si>
  <si>
    <t>WOS:000364822400005</t>
  </si>
  <si>
    <t>Shao, YP; Nickling, W; Bergametti, G; Butler, H; Chappell, A; Findlater, P; Gillies, J; Ishizuka, M; Klose, M; Kok, JF; Leys, J; Lu, H; Marticorena, B; McTainsh, G; McKenna-Neuman, C; Okin, GS; Strong, C; Webb, N</t>
  </si>
  <si>
    <t>Shao, Yaping; Nickling, William; Bergametti, Gilles; Butler, Harry; Chappell, Adrian; Findlater, Paul; Gillies, John; Ishizuka, Masahide; Klose, Martina; Kok, Jasper F.; Leys, John; Lu, Hua; Marticorena, Beatrice; McTainsh, Grant; McKenna-Neuman, Cheryl; Okin, Gregory S.; Strong, Craig; Webb, Nicholas</t>
  </si>
  <si>
    <t>A tribute to Michael R. Raupach for contributions to aeolian fluid dynamics</t>
  </si>
  <si>
    <t>AEOLIAN RESEARCH</t>
  </si>
  <si>
    <t>Michael R. Raupach; Drag partition; Roughness; Dust emission; Threshold friction velocity; Carbon cycle</t>
  </si>
  <si>
    <t>ZERO-PLANE DISPLACEMENT; ATMOSPHERIC INERTIAL SUBLAYER; SOIL SPECTRAL REFLECTANCE; TURBULENT DUST EMISSION; WIND EROSION THRESHOLD; AERODYNAMIC ROUGHNESS; DRAG PARTITION; MINERAL DUST; SIZE DISTRIBUTIONS; SALTATION BOMBARDMENT</t>
  </si>
  <si>
    <t>Since the pioneering work of Bagnold in the 1940s, aeolian research has grown to become an integral part of earth-system science. Many individuals have contributed to this development, and Dr. Michael R. Raupach (1950-2015) has played a pivotal role. Raupach worked intensively on wind erosion problems for about a decade (1985-1995), during which time he applied his deep knowledge of turbulence to aeolian research problems and made profound contributions with far-reaching impact. The beauty of Raupach's work lies in his clear conceptual thinking and his ability to reduce complex problems to their bare essentials. The results of his work are fundamentally important and have many practical applications. In this review we reflect on Raupach's contribution to a number of important aspects of aeolian research, summarise developments since his inspirational work and place Raupach's efforts in the context of aeolian science. We also demonstrate how Raupach's work provided a foundation for new developments in aeolian research. In this tribute, we concentrate on five areas of research: (1) drag partition theory; (2) saltation roughness length; (3) saltation bombardment; (4) threshold friction velocity and (5) the carbon cycle. (C) 2015 Elsevier B.V. All rights reserved.</t>
  </si>
  <si>
    <t>[Shao, Yaping; Klose, Martina] Univ Cologne, Inst Geophys &amp; Meteorol, Cologne, Germany; [Nickling, William] Univ Guelph, Dept Geog, Wind Eros Lab, Guelph, ON N1G 2W1, Canada; [Bergametti, Gilles; Marticorena, Beatrice] Univ Paris Diderot, Lab Interuniv Syst Atmospher, Paris, France; [Bergametti, Gilles; Marticorena, Beatrice] Univ Paris Est, Lab Interuniv Syst Atmospher, Creteil, France; [Butler, Harry] Univ So Queensland, Dept Math &amp; Comp, Toowoomba, Qld 4350, Australia; [Chappell, Adrian] CSIRO Land &amp; Water Natl Res Flagship, Canberra, ACT, Australia; [Findlater, Paul] WA Dept Agr &amp; Food, Geraldton, Australia; [Gillies, John] Univ Nevada, Desert Res Inst, Div Atmospher Sci, Reno, NV 89506 USA; [Ishizuka, Masahide] Kagawa Univ, Fac Engn, Takamatsu, Kagawa 760, Japan; [Kok, Jasper F.] Univ Calif Los Angeles, Dept Atmospher &amp; Ocean Sci, Los Angeles, CA USA; [Leys, John] NSW Off Environm &amp; Heritage, Gunnedah, Australia; [Lu, Hua] British Antarctic Survey, Cambridge CB3 0ET, England; [McTainsh, Grant] Griffith Univ, Griffith Sch Environm, Nathan, Qld 4111, Australia; [McKenna-Neuman, Cheryl] Trent Univ, Dept Geog, Peterborough, ON K9J 7B8, Canada; [Okin, Gregory S.] Univ Calif Los Angeles, Dept Geog, Los Angeles, CA 90024 USA; [Strong, Craig] Australian Natl Univ, Canberra, ACT, Australia; [Webb, Nicholas] USDA ARS Jornada Expt Range, Las Cruces, NM USA</t>
  </si>
  <si>
    <t>University of Cologne; University of Guelph; Universite Paris-Est-Creteil-Val-de-Marne (UPEC); Universite Paris Cite; Universite Paris-Est-Creteil-Val-de-Marne (UPEC); Universite Paris Cite; University of Southern Queensland; Commonwealth Scientific &amp; Industrial Research Organisation (CSIRO); Nevada System of Higher Education (NSHE); University of Nevada Reno; Desert Research Institute NSHE; Kagawa University; University of California System; University of California Los Angeles; Office of Environment &amp; Heritage - New South Wales; UK Research &amp; Innovation (UKRI); Natural Environment Research Council (NERC); NERC British Antarctic Survey; Griffith University; Trent University; University of California System; University of California Los Angeles; Australian National University; United States Department of Agriculture (USDA)</t>
  </si>
  <si>
    <t>Shao, YP (corresponding author), Univ Cologne, Inst Geophys &amp; Meteorol, Cologne, Germany.</t>
  </si>
  <si>
    <t>yshao@uni-koeln.de; nickling@uoguelph.ca; Gilles.Bergametti@lisa.u-pec.fr; butler@usq.edu.au; adrian.chappell@csiro.au; paul.findlater@agric.wa.gov.au; Jack.Gillies@dri.edu; ishizuka@eng.kagawa-u.ac.jp; mklose@uni-koeln.de; jfltok@ucla.edu; John.Leys@environment.nsw.gov.au; hlu@bas.ac.uk; Beatrice.Marticorena@lisa.u-pec.fr; g.mctainsh@griffith.edu.au; cmckneuman@trentu.ca; okin@ucla.edu; craig.strong@anu.edu.au; nwebb@nmsu.edu</t>
  </si>
  <si>
    <t>Shao, Yaping/G-3606-2013; Strong, Craig L/A-5235-2012; Okin, Greg/D-3226-2019; Kok, Jasper F/A-9698-2008; Chappell, Adrian/A-7058-2011; Lu, Hua/GXA-0276-2022; Ishizuka, Masahide/D-8153-2019; Webb, Nicholas/D-3337-2011</t>
  </si>
  <si>
    <t>Shao, Yaping/0000-0002-2041-5479; Chappell, Adrian/0000-0002-0694-7348; Lu, Hua/0000-0001-9485-5082; Ishizuka, Masahide/0000-0001-9296-4103; Bergametti, Gilles/0000-0002-0839-1048; Klose, Martina/0000-0001-8190-3700; Webb, Nicholas/0000-0001-9355-5512</t>
  </si>
  <si>
    <t>Grants-in-Aid for Scientific Research [15H05115, 24110003] Funding Source: KAKEN; ARS [ARS-0423561, 813350] Funding Source: Federal RePORTER; Natural Environment Research Council [bas0100032] Funding Source: researchfish; NERC [bas0100032] Funding Source: UKRI</t>
  </si>
  <si>
    <t>Grants-in-Aid for Scientific Research(Ministry of Education, Culture, Sports, Science and Technology, Japan (MEXT)Japan Society for the Promotion of ScienceGrants-in-Aid for Scientific Research (KAKENHI)); ARS(United States Department of Agriculture (USDA)USDA Agricultural Research Service); Natural Environment Research Council(UK Research &amp; Innovation (UKRI)Natural Environment Research Council (NERC)); NERC(UK Research &amp; Innovation (UKRI)Natural Environment Research Council (NERC))</t>
  </si>
  <si>
    <t>1875-9637</t>
  </si>
  <si>
    <t>2212-1684</t>
  </si>
  <si>
    <t>AEOLIAN RES</t>
  </si>
  <si>
    <t>Aeolian Res.</t>
  </si>
  <si>
    <t>10.1016/j.aeolia.2015.09.004</t>
  </si>
  <si>
    <t>CZ3RY</t>
  </si>
  <si>
    <t>WOS:000367022900004</t>
  </si>
  <si>
    <t>Voss, P</t>
  </si>
  <si>
    <t>Voss, Paul</t>
  </si>
  <si>
    <t>Trove of data from Antarctic balloon missions</t>
  </si>
  <si>
    <t>AEROSPACE AMERICA</t>
  </si>
  <si>
    <t>AMER INST AERONAUTICS ASTRONAUTICS</t>
  </si>
  <si>
    <t>RESTON</t>
  </si>
  <si>
    <t>1801 ALEXANDER BELL DRIVE, STE 500, RESTON, VA 22091-4344 USA</t>
  </si>
  <si>
    <t>0740-722X</t>
  </si>
  <si>
    <t>AEROSPACE AM</t>
  </si>
  <si>
    <t>Aerosp. Am.</t>
  </si>
  <si>
    <t>DA1XF</t>
  </si>
  <si>
    <t>WOS:000367588400027</t>
  </si>
  <si>
    <t>Gilbert, N; Njåstad, B</t>
  </si>
  <si>
    <t>Gilbert, Neil; Njastad, Birgit</t>
  </si>
  <si>
    <t>Opening the Doors Between Science and Policy</t>
  </si>
  <si>
    <t>Gilbert, Neil/AAD-7842-2022</t>
  </si>
  <si>
    <t>Gilbert, Neil/0000-0003-2055-4249</t>
  </si>
  <si>
    <t>10.1017/S0954102015000528</t>
  </si>
  <si>
    <t>WOS:000367904800001</t>
  </si>
  <si>
    <t>Hofmann, E; Bundy, A; Drinkwater, K; Piola, AR; Avril, B; Robinson, C; Murphy, E; Maddison, L; Svendsen, E; Hall, J; Xu, Y</t>
  </si>
  <si>
    <t>Hofmann, Eileen; Bundy, Alida; Drinkwater, Ken; Piola, Alberto R.; Avril, Bernard; Robinson, Carol; Murphy, Eugene; Maddison, Lisa; Svendsen, Einar; Hall, Julie; Xu, Yi</t>
  </si>
  <si>
    <t>IMBER - Research for marine sustainability: Synthesis and the way forward</t>
  </si>
  <si>
    <t>IMBER; Global environmental change; Marine ecosystems; Biogeochemical cycles; Human systems; Marine sustainability</t>
  </si>
  <si>
    <t>END-TO-END; CLIMATE-CHANGE; BIOGEOCHEMICAL PROCESSES; OCEAN ACIDIFICATION; FOOD WEBS; ECOSYSTEMS; VARIABILITY; SEA; FISHERIES; IMPACTS</t>
  </si>
  <si>
    <t>The Integrated Marine Biogeochemistry and Ecosystem Research (IMBER) project aims at developing a comprehensive understanding of and accurate predictive capacity of ocean responses to accelerating global change and the consequent effects on the Earth system and human society. Understanding the changing ecology and biogeochemistry of marine ecosystems and their sensitivity and resilience to multiple drivers, pressures and stressors is critical to developing responses that will help reduce the vulnerability of marine-dependent human communities. This overview of the IMBER project provides a synthesis of project achievements and highlights the value of collaborative, interdisciplinary, integrated research approaches as developed and implemented through IMBER regional programs, working groups, project-wide activities, national contributions, and external partnerships. A perspective is provided on the way forward for the next 10 years of the IMBER project as the global environmental change research landscape evolves and as new areas of marine research emerge. IMBER science aims to foster collaborative, interdisciplinary and integrated research that addresses key ocean and social science issues and provides the understanding needed to propose innovative societal responses to changing marine systems. (C) 2015 The Authors. Published by Elsevier Ltd.</t>
  </si>
  <si>
    <t>[Hofmann, Eileen] Old Dominion Univ, Ctr Coastal Phys Oceanog, Norfolk, VA 23529 USA; [Bundy, Alida] Bedford Inst Oceanog, Ocean Ecosyst Sci Div, Fisheries &amp; Oceans, Dartmouth, NS, Canada; [Drinkwater, Ken; Svendsen, Einar] Inst Marine Res, Bergen, Norway; [Piola, Alberto R.] Univ Buenos Aires, Dept Oceanog, Serv Hidrog Naval, RA-1053 Buenos Aires, DF, Argentina; [Piola, Alberto R.] Univ Buenos Aires, Fac Ciencias Exactas &amp; Nat, Dept Ciencias Atmosfera &amp; Oceanos, RA-1053 Buenos Aires, DF, Argentina; [Avril, Bernard; Maddison, Lisa] Inst Marine Res, IMBER Int Project Off, Bergen, Norway; [Robinson, Carol] Univ East Anglia, Sch Environm Sci, Norwich, Norfolk, England; [Murphy, Eugene] British Antarctic Survey, Cambridge, England; [Hall, Julie] NIWA, Wellington, New Zealand; [Xu, Yi] East China Normal Univ, IMBER Reg Project Off, Shanghai, Peoples R China</t>
  </si>
  <si>
    <t>Old Dominion University; Fisheries &amp; Oceans Canada; Bedford Institute of Oceanography; Institute of Marine Research - Norway; Servicio de Hidrografia Naval; University of Buenos Aires; University of Buenos Aires; Institute of Marine Research - Norway; University of East Anglia; UK Research &amp; Innovation (UKRI); Natural Environment Research Council (NERC); NERC British Antarctic Survey; National Institute of Water &amp; Atmospheric Research (NIWA) - New Zealand; East China Normal University</t>
  </si>
  <si>
    <t>Hofmann, E (corresponding author), Old Dominion Univ, Ctr Coastal Phys Oceanog, Norfolk, VA 23529 USA.</t>
  </si>
  <si>
    <t>hofmann@ccpo.odu.edu</t>
  </si>
  <si>
    <t>Robinson, Carol/F-7649-2011; murphy, eugene/GZL-1620-2022; Avril, Bernard/E-8139-2012; Piola, Alberto/HZI-5475-2023; Robinson, Carol/AAW-1857-2021; Piola, Alberto/O-2280-2013</t>
  </si>
  <si>
    <t>Robinson, Carol/0000-0003-3033-4565; Avril, Bernard/0000-0003-2373-3947; Robinson, Carol/0000-0003-3033-4565; Piola, Alberto/0000-0002-5003-8926</t>
  </si>
  <si>
    <t>Directorate For Geosciences; Division Of Ocean Sciences [1546580] Funding Source: National Science Foundation; Natural Environment Research Council [bas0100035] Funding Source: researchfish; NERC [bas0100035] Funding Source: UKRI</t>
  </si>
  <si>
    <t>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</si>
  <si>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10.1016/j.ancene.2015.12.002</t>
  </si>
  <si>
    <t>Green Submitted, Green Accepted, hybrid, Green Published</t>
  </si>
  <si>
    <t>WOS:000381903600005</t>
  </si>
  <si>
    <t>de Jesus, HE; Peixoto, RS; Cury, JC; van Elsas, JD; Rosado, AS</t>
  </si>
  <si>
    <t>de Jesus, Hugo E.; Peixoto, Raquel S.; Cury, Juliano C.; van Elsas, Jan D.; Rosado, Alexandre S.</t>
  </si>
  <si>
    <t>Evaluation of soil bioremediation techniques in an aged diesel spill at the Antarctic Peninsula</t>
  </si>
  <si>
    <t>APPLIED MICROBIOLOGY AND BIOTECHNOLOGY</t>
  </si>
  <si>
    <t>Soil; Bioremediation; Antarctica; Diesel</t>
  </si>
  <si>
    <t>16S RIBOSOMAL-RNA; GRADIENT GEL-ELECTROPHORESIS; POLYMERASE-CHAIN-REACTION; SEDIMENTS; GENES; OIL; BIOAUGMENTATION; BIODEGRADATION; BIOSTIMULATION; ENVIRONMENTS</t>
  </si>
  <si>
    <t>Many areas on the Antarctic continent already suffer from the direct and indirect influences of human activities. The main cause of contamination is petroleum hydrocarbons because this compound is used as a source of energy at the many research stations around the continent. Thus, the current study aims to evaluate treatments for bioremediation (biostimulation, bioaugmentation, and bioaugmentation + biostimulation) using soils from around the Brazilian Antarctic Station Comandante Ferraz (EACF), King George Island, Antarctic Peninsula. The experiment lasted for 45 days, and at the end of this period, chemical and molecular analyses were performed. Those analyses included the quantification of carbon and nitrogen, denaturing gradient gel electrophoresis (DGGE) analysis (with gradient denaturation), real-time PCR, and quantification of total hydrocarbons and polyaromatics. Molecular tests evaluated changes in the profile and quantity of the rrs genes of archaea and bacteria and also the alkB gene. The influence of the treatments tested was directly related to the type of soil used. The work confirmed that despite the extreme conditions found in Antarctic soils, the bacterial strains degraded hydrocarbons and bioremediation treatments directly influenced the microbial communities present in these soils even in short periods. Although the majority of the previous studies demonstrate that the addition of fertilizer seems to be most effective at promoting bioremediation, our results show that for some conditions, autochthonous bioaugmentation (ABA) treatment is indicated. This work highlights the importance of understanding the processes of recovery of contaminated environments in polar regions because time is crucial to the soil recovery and to choosing the appropriate treatment.</t>
  </si>
  <si>
    <t>[de Jesus, Hugo E.; Peixoto, Raquel S.; Rosado, Alexandre S.] Univ Fed Rio de Janeiro, IMPG, LEMM, Rio De Janeiro, Brazil; [Cury, Juliano C.] Univ Fed Sao Joao Rei, CSL, Mol Microbiol Lab, Sete Lagoas, MG, Brazil; [van Elsas, Jan D.] Univ Groningen, Microbial Ecol Dept, Groningen, Netherlands</t>
  </si>
  <si>
    <t>Universidade Federal do Rio de Janeiro; Universidade Federal de Sao Joao del-Rei; University of Groningen</t>
  </si>
  <si>
    <t>Rosado, AS (corresponding author), Univ Fed Rio de Janeiro, IMPG, LEMM, Rio De Janeiro, Brazil.</t>
  </si>
  <si>
    <t>asrosado@micro.ufrj.br</t>
  </si>
  <si>
    <t>Peixoto, Raquel/V-2554-2019; Rosado, Alexandre Soares/G-1955-2012; Cury, J C/F-8034-2014</t>
  </si>
  <si>
    <t>Rosado, Alexandre Soares/0000-0001-5135-1394; Cury, Juliano/0000-0002-1450-5726; Peixoto, Raquel/0000-0002-9536-3132</t>
  </si>
  <si>
    <t>National Council for Research and Development (CNPq) [574018/2008-5]; Carlos Chagas Research Support Foundation of the State of Rio de Janeiro (FAPERJ); Brazilian Ministry of Science, Technology and Innovation (MCTI); Brazilian Ministry of Environment (MMA); Inter-Ministry Commission for Sea Resources (CIRM)</t>
  </si>
  <si>
    <t>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Brazilian Ministry of Science, Technology and Innovation (MCTI); Brazilian Ministry of Environment (MMA); Inter-Ministry Commission for Sea Resources (CIRM)</t>
  </si>
  <si>
    <t>This work integrates the National Institute of Science and Technology Antarctic Environmental Research (INCT-APA) that receives scientific and financial support from the National Council for Research and Development (CNPq process: no. 574018/2008-5) and Carlos Chagas Research Support Foundation of the State of Rio de Janeiro (FAPERJ). The authors also acknowledge the support of the Brazilian Ministries of Science, Technology and Innovation (MCTI), of Environment (MMA) and Inter-Ministry Commission for Sea Resources (CIRM).</t>
  </si>
  <si>
    <t>0175-7598</t>
  </si>
  <si>
    <t>1432-0614</t>
  </si>
  <si>
    <t>APPL MICROBIOL BIOT</t>
  </si>
  <si>
    <t>Appl. Microbiol. Biotechnol.</t>
  </si>
  <si>
    <t>10.1007/s00253-015-6919-0</t>
  </si>
  <si>
    <t>Biotechnology &amp; Applied Microbiology</t>
  </si>
  <si>
    <t>CX5AJ</t>
  </si>
  <si>
    <t>WOS:000365712300038</t>
  </si>
  <si>
    <t>Onofri, S; de Vera, JP; Zucconi, L; Selbmann, L; Scalzi, G; Venkateswaran, KJ; Rabbow, E; de la Torre, R; Horneck, G</t>
  </si>
  <si>
    <t>Onofri, Silvano; de Vera, Jean-Pierre; Zucconi, Laura; Selbmann, Laura; Scalzi, Giuliano; Venkateswaran, Kasthuri J.; Rabbow, Elke; de la Torre, Rosa; Horneck, Gerda</t>
  </si>
  <si>
    <t>Survival of Antarctic Cryptoendolithic Fungi in Simulated Martian Conditions On Board the International Space Station</t>
  </si>
  <si>
    <t>ASTROBIOLOGY</t>
  </si>
  <si>
    <t>Endoliths; Eukaryotes; Extremophilic microorganisms; Mars; Radiation resistance</t>
  </si>
  <si>
    <t>LOW-EARTH-ORBIT; EXPOSE-R FACILITY; DESERT CYANOBACTERIUM CHROOCOCCIDIOPSIS; COSMIC-RADIATION EXPOSURE; AMINO EXPERIMENT; E MISSION; BLACK FUNGI; OUTER-SPACE; MARS; LIFE</t>
  </si>
  <si>
    <t>Dehydrated Antarctic cryptoendolithic communities and colonies of the rock inhabitant black fungi Cryomyces antarcticus (CCFEE 515) and Cryomyces minteri (CCFEE 5187) were exposed as part of the Lichens and Fungi Experiment (LIFE) for 18 months in the European Space Agency's EXPOSE-E facility to simulated martian conditions aboard the International Space Station (ISS). Upon sample retrieval, survival was proved by testing colony-forming ability, and viability of cells (as integrity of cell membrane) was determined by the propidium monoazide (PMA) assay coupled with quantitative PCR tests. Although less than 10% of the samples exposed to simulated martian conditions were able to proliferate and form colonies, the PMA assay indicated that more than 60% of the cells and rock communities had remained intact after the Mars exposure. Furthermore, a high stability of the DNA in the cells was demonstrated. The results contribute to assessing the stability of resistant microorganisms and biosignatures on the surface of Mars, data that are valuable information for further search-for-life experiments on Mars.</t>
  </si>
  <si>
    <t>[Onofri, Silvano; Zucconi, Laura; Selbmann, Laura; Scalzi, Giuliano] Univ Tuscia, Dept Ecol &amp; Biol Sci, I-01100 Viterbo, Italy; [de Vera, Jean-Pierre] German Aerosp Ctr DLR, Inst Planetary Res, Berlin, Germany; [Venkateswaran, Kasthuri J.] CALTECH, Jet Prop Lab, Pasadena, CA USA; [Rabbow, Elke; Horneck, Gerda] German Aerosp Ctr DLR, Inst Aerosp Med, Cologne, Germany; [de la Torre, Rosa] Spanish Aerosp Res Estab INTA, Dept Earth Observat, Madrid, Spain</t>
  </si>
  <si>
    <t>Tuscia University; Helmholtz Association; German Aerospace Centre (DLR); California Institute of Technology; National Aeronautics &amp; Space Administration (NASA); NASA Jet Propulsion Laboratory (JPL); Helmholtz Association; German Aerospace Centre (DLR)</t>
  </si>
  <si>
    <t>Onofri, S (corresponding author), Univ Tuscia, Dept Ecol &amp; Biol Sci, I-01100 Viterbo, Italy.</t>
  </si>
  <si>
    <t>onofri@unitus.it</t>
  </si>
  <si>
    <t>Zucconi, L./U-9781-2018; de la Torre Noetzel, Rosa/AAA-2920-2019; Selbmann, Laura/L-3056-2013</t>
  </si>
  <si>
    <t>Zucconi, L./0000-0001-9793-2303; Selbmann, Laura/0000-0002-8967-3329; ONOFRI, Silvano/0000-0001-8872-1440; de la Torre Noetzel, Maria Rosa/0000-0003-2394-0268</t>
  </si>
  <si>
    <t>Italian National Program of Antarctic Researches (PNRA); Italian National Antarctic Museum; German Ministry of Economy and Technology BMWi; HGF-Foundation</t>
  </si>
  <si>
    <t>Italian National Program of Antarctic Researches (PNRA); Italian National Antarctic Museum; German Ministry of Economy and Technology BMWi(Federal Ministry for Economic Affairs and Energy (BMWi)); HGF-Foundation</t>
  </si>
  <si>
    <t>The European Space Agency is acknowledged for the provision and operations of the EXPOSE-E facility. We also thank the Italian National Program of Antarctic Researches (PNRA) and Italian National Antarctic Museum for funding the collection of Antarctic samples, the preservation of the Culture Collection of Fungi from Extreme Environments (CCFEE), and sample analyses. Special thanks are also due to the German Ministry of Economy and Technology BMWi as well as to the HGF-Foundation in the frame of the Helmholtz-Alliance Planetary Evolution and Life,'' which have partly supported the German Co-Is of this work.</t>
  </si>
  <si>
    <t>MARY ANN LIEBERT, INC</t>
  </si>
  <si>
    <t>NEW ROCHELLE</t>
  </si>
  <si>
    <t>140 HUGUENOT STREET, 3RD FL, NEW ROCHELLE, NY 10801 USA</t>
  </si>
  <si>
    <t>1531-1074</t>
  </si>
  <si>
    <t>1557-8070</t>
  </si>
  <si>
    <t>Astrobiology</t>
  </si>
  <si>
    <t>10.1089/ast.2015.1324</t>
  </si>
  <si>
    <t>Astronomy &amp; Astrophysics; Biology; Geosciences, Multidisciplinary</t>
  </si>
  <si>
    <t>Astronomy &amp; Astrophysics; Life Sciences &amp; Biomedicine - Other Topics; Geology</t>
  </si>
  <si>
    <t>CY9JF</t>
  </si>
  <si>
    <t>WOS:000366722500003</t>
  </si>
  <si>
    <t>Musilova, M; Wright, G; Ward, JM; Dartnell, LR</t>
  </si>
  <si>
    <t>Musilova, Michaela; Wright, Gary; Ward, John M.; Dartnell, Lewis R.</t>
  </si>
  <si>
    <t>Isolation of Radiation-Resistant Bacteria from Mars Analog Antarctic Dry Valleys by Preselection, and the Correlation between Radiation and Desiccation Resistance</t>
  </si>
  <si>
    <t>Extremophiles; Halomonas sp.; Antarctica; Mars; Ionizing radiation; Cosmic rays</t>
  </si>
  <si>
    <t>SIMULATED MARTIAN CONDITIONS; IONIZING-RADIATION; DEINOCOCCUS RADIODURANS; MICROBIAL DIVERSITY; STRESS TOLERANCE; LOW-TEMPERATURE; TOTAL OZONE; SP-NOV.; SOIL; DESERT</t>
  </si>
  <si>
    <t>Extreme radiation-resistant microorganisms can survive doses of ionizing radiation far greater than are present in the natural environment. Radiation resistance is believed to be an incidental adaptation to desiccation resistance, as both hazards cause similar cellular damage. Desert soils are, therefore, promising targets to prospect for new radiation-resistant strains. This is the first study to isolate radiation-resistant microbes by using gamma-ray exposure preselection from the extreme cold desert of the Antarctic Dry Valleys (a martian surface analogue). Halomonads, identified by 16S rRNA gene sequencing, were the most numerous survivors of the highest irradiation exposures. They were studied here for the first time for both their desiccation and irradiation survival characteristics. In addition, the association between desiccation and radiation resistance has not been investigated quantitatively before for a broad diversity of microorganisms. Thus, a meta-analysis of scientific literature was conducted to gather a larger data set. A strong correlation was found between desiccation and radiation resistance, indicating that an increase in the desiccation resistance of 5 days corresponds to an increase in the room-temperature irradiation survival of 1 kGy. Irradiation at -79 degrees C (representative of average martian surface temperatures) increases the microbial radiation resistance 9-fold. Consequently, the survival of the cold-, desiccation-, and radiation-resistant organisms isolated here has implications for the potential habitability of dormant or cryopreserved life on Mars.</t>
  </si>
  <si>
    <t>[Musilova, Michaela] UCL, Dept Earth Sci, London, England; [Wright, Gary] Cranfield Univ, Dept Engn &amp; Appl Sci, Swindon, Wilts, England; [Ward, John M.] UCL, Dept Biochem Engn, London, England; [Dartnell, Lewis R.] UCL, UCL Inst Origins, London, England; [Dartnell, Lewis R.] UCL, Ctr Planetary Sci, UCL Birkbeck, Earth Sci, London, England</t>
  </si>
  <si>
    <t>University of London; University College London; Cranfield University; University of London; University College London; University of London; University College London; University of London; University College London; Birkbeck University London</t>
  </si>
  <si>
    <t>Musilova, M (corresponding author), Slovak Org Space Act, Zamocka 18, Bratislava 81101, Slovakia.</t>
  </si>
  <si>
    <t>musilova@sosa.sk</t>
  </si>
  <si>
    <t>; Musilova, Michaela/P-9103-2015</t>
  </si>
  <si>
    <t>Ward, John/0000-0002-4415-5544; Musilova, Michaela/0000-0001-9811-5719</t>
  </si>
  <si>
    <t>UCL Institute of Origins Post-Doctoral Research Associateship; UCL Earth Sciences Department; Biotechnology and Biological Sciences Research Council [1205472] Funding Source: researchfish; Science and Technology Facilities Council [ST/J005347/1] Funding Source: researchfish</t>
  </si>
  <si>
    <t>UCL Institute of Origins Post-Doctoral Research Associateship; UCL Earth Sciences Department; Biotechnology and Biological Sciences Research Council(UK Research &amp; Innovation (UKRI)Biotechnology and Biological Sciences Research Council (BBSRC)); Science and Technology Facilities Council(UK Research &amp; Innovation (UKRI)Science &amp; Technology Facilities Council (STFC))</t>
  </si>
  <si>
    <t>L.R.D. was supported by the UCL Institute of Origins Post-Doctoral Research Associateship, and M.M. was supported by the UCL Earth Sciences Department.</t>
  </si>
  <si>
    <t>10.1089/ast.2014.1278</t>
  </si>
  <si>
    <t>WOS:000366722500005</t>
  </si>
  <si>
    <t>Drewer, J; Braban, CF; Tang, YS; Anderson, M; Skiba, UM; Dragosits, U; Trathan, P</t>
  </si>
  <si>
    <t>Drewer, Julia; Braban, Christine F.; Tang, Y. Sim; Anderson, Margaret; Skiba, Ute M.; Dragosits, Ulrike; Trathan, Phil</t>
  </si>
  <si>
    <t>Surface greenhouse gas fluxes downwind of a penguin colony in the maritime sub-Antarctic</t>
  </si>
  <si>
    <t>Methane; Nitrous oxide; Carbon dioxide; Nitric oxide; Sub-Antarctica; Vegetal residue</t>
  </si>
  <si>
    <t>NITROUS-OXIDE EMISSIONS; CORMORANT PHALACROCORAX-CARBO; AMMONIA EMISSIONS; ATMOSPHERIC AMMONIA; ORNITHOGENIC SOILS; METHANE EMISSIONS; TUNDRA WETLANDS; N2O; SNOWPACK</t>
  </si>
  <si>
    <t>The relationship between ammonia (NH3) concentrations downwind from a penguin colony and local surface greenhouse gas (GHG) fluxes was investigated on the remote sub-Antarctic Bird Island (54 degrees 00'S, 38 degrees 03'W) during summer 2010 (November and December). A Macaroni penguin (Eudyptes chrysolophus) colony (40,000 pairs) at Goldcrest Point is a large point source of NH3 on the island and a measurement transect of 23 m, 36 m, 70 m, 143 m and 338 m was set up downwind from the colony. Atmospheric NH3 concentrations measured by passive diffusion samplers declined from 23 mu g m(-3) close to the colony to less than 1 mu g m(-3) 338 m downwind. As increased nitrogen (N) deposition can affect soil carbon (C) and N cycling, it can therefore potentially influence GHG and nitric oxide (NO) emission rates. However, in this study, a clear correlation between surface GHG fluxes and atmospheric NH3 concentrations could not be established. Average fluxes for nitrous oxide (N2O), methane (CH4) and carbon dioxide (CO2) over the entire transect and the eight week study period ranged from 7 to 23 mu g N2O-N m(-2) h(-1), -5.5 -245 mu g CH4 m(-2) h(-1), and CO2 respiration rates averaged 2.2 mu mol m(-2) s(-1). Laboratory studies using intact soil cores from the transect also did not show any significant correlation between atmospheric NH3 concentrations and N2O, NO, CH4 emissions or CO2 respiration rates. Overall, fluxes measured in the laboratory study reflected the high variability measured in the field. Large changes in soil depth along the transect, due to the topography of the island, possibly influenced fluxes more than NH3 concentration and seabirds appeared to have a more localised input (e.g. ground nesting birds). However, warmer temperatures might have a large potential to increase GHG fluxes in this ecosystem. This study confirms that GHG fluxes do occur in these ornithogenic ecosystems, however, the scale of the impact remains largely unquantified due to high uncertainties and high spatial variability. (C) 2015 Elsevier Ltd. All rights reserved.</t>
  </si>
  <si>
    <t>[Drewer, Julia; Braban, Christine F.; Tang, Y. Sim; Anderson, Margaret; Skiba, Ute M.; Dragosits, Ulrike] CEH, Penicuik EH26 0QB, Midlothian, Scotland; [Trathan, Phil] British Antarctic Survey, Cambridge CB3 0ET, England</t>
  </si>
  <si>
    <t>UK Centre for Ecology &amp; Hydrology (UKCEH); UK Research &amp; Innovation (UKRI); Natural Environment Research Council (NERC); NERC British Antarctic Survey</t>
  </si>
  <si>
    <t>Drewer, J (corresponding author), CEH, Bush Estate, Penicuik EH26 0QB, Midlothian, Scotland.</t>
  </si>
  <si>
    <t>juew@ceh.ac.uk</t>
  </si>
  <si>
    <t>Skiba, Ute Maria/I-6441-2012; Drewer, Julia/S-3166-2019; Drewer, Julia/A-1845-2010; Braban, Christine Fiona/J-3225-2012; Dragosits, Ulrike/A-1842-2010</t>
  </si>
  <si>
    <t>Skiba, Ute Maria/0000-0001-8659-6092; Drewer, Julia/0000-0002-6263-6341; Braban, Christine/0000-0003-4275-0152; Tang, Sim/0000-0002-7814-3998</t>
  </si>
  <si>
    <t>NERC British Antarctic Survey [AFI-CGS-068]; NERC Centre for Ecology &amp; Hydrology NC projects; CEH Environmental Change Integrating Fund; Natural Environment Research Council [bas0100035, ceh020001] Funding Source: researchfish; NERC [ceh020001, bas0100035] Funding Source: UKRI</t>
  </si>
  <si>
    <t>NERC British Antarctic Survey(UK Research &amp; Innovation (UKRI)Natural Environment Research Council (NERC)); NERC Centre for Ecology &amp; Hydrology NC projects; CEH Environmental Change Integrating Fund; Natural Environment Research Council(UK Research &amp; Innovation (UKRI)Natural Environment Research Council (NERC)); NERC(UK Research &amp; Innovation (UKRI)Natural Environment Research Council (NERC))</t>
  </si>
  <si>
    <t>This work was supported through the NERC British Antarctic Survey AFI-CGS-068 project, NERC Centre for Ecology &amp; Hydrology NC projects and the CEH Environmental Change Integrating Fund. The authors thank the fabulous British Antarctic Survey and Bird Island crews for logistical support throughout the measurements, Julia Schmale for assistance in setting up the chambers, CEH Lancaster for chemical analysis (C/N) and Alan Warwick and the CEH workshops for making the chambers and Marcel van Oijen for advice on statistics.</t>
  </si>
  <si>
    <t>10.1016/j.atmosenv.2015.10.062</t>
  </si>
  <si>
    <t>DA0PC</t>
  </si>
  <si>
    <t>WOS:000367498600002</t>
  </si>
  <si>
    <t>Gao, SP; Liu, DM; Kang, SC; Kawamura, K; Wu, GM; Zhang, GS; Cong, ZY</t>
  </si>
  <si>
    <t>Gao, Shaopeng; Liu, Dameng; Kang, Shichang; Kawamura, Kimitaka; Wu, Guangming; Zhang, Guoshuai; Cong, Zhiyuan</t>
  </si>
  <si>
    <t>A new isolation method for biomass-burning tracers in snow: Measurements of p-hydroxybenzoic, vanillic, and dehydroabietic acids</t>
  </si>
  <si>
    <t>Glacier snow; Solid-phase extraction; DOC; BC; Biomass-burning tracer</t>
  </si>
  <si>
    <t>DISSOLVED ORGANIC-MATTER; CENTRAL TIBETAN PLATEAU; CARBONACEOUS AEROSOLS; ZHADANG GLACIER; ASIA; NYAINQENTANGLHA; LEVOGLUCOSAN; EMISSIONS; SITE</t>
  </si>
  <si>
    <t>Organic acids such as p-hydroxybenzoic, vanillic, and dehydroabietic acids are unique biomass-burning tracers for black carbon (BC) and dissolved organic carbon (DOC) in the snow of mountain glaciers, Arctic and Antarctic ice sheets. In this study, we developed a method by solid-phase extraction (SPE) coupled with gas chromatography/ion trap mass spectrometry for the determination of those organic acids in snow. The limit of detection (LOD) is 0.002, 0.001, 0.004 ng mL(-1) for p-hydroxybenzoic, vanillic, and dehydroabietic acids, respectively. For p-hydroxybenzoic and vanillic acids, all the four SPE cartridges used produce good recoveries (&gt;75%). However, for dehydroabietic acid, HLB cartridge has much better performance than DPA, FEP-2 and PAX cartridges. The method was applied to the snow samples collected from Zhadang Glacier in the Tibetan Plateau (TP), and demonstrated its feasibility in pretreating and detecting of these target compounds. We found that BC and DOC accumulated in the snow during winter and spring over the TP glaciers are mainly derived from biomass burning. This result demonstrates the capability of our analytical method for a deep understanding on the source of carbonaceous materials in snow. (C) 2015 Elsevier Ltd. All rights reserved.</t>
  </si>
  <si>
    <t>[Gao, Shaopeng; Liu, Dameng] China Univ Geosci, Sch Energy Resources, Beijing 100083, Peoples R China; [Gao, Shaopeng; Wu, Guangming; Zhang, Guoshuai; Cong, Zhiyuan] Chinese Acad Sci, Inst Tibetan Plateau Res, Key Lab Tibetan Environm Changes &amp; Land Surface P, Beijing 100101, Peoples R China; [Kang, Shichang; Cong, Zhiyuan] Chinese Acad Sci, Ctr Excellence Tibetan Plateau Earth Sci, Beijing 100101, Peoples R China; [Kawamura, Kimitaka; Cong, Zhiyuan] Hokkaido Univ, Inst Low Temp Sci, Sapporo, Hokkaido 0600819, Japan; [Kang, Shichang] Chinese Acad Sci, Cold &amp; Arid Reg Environm &amp; Engn Res Inst, State Key Lab Cryospher Sci, Lanzhou 730000, Peoples R China</t>
  </si>
  <si>
    <t>China University of Geosciences; Chinese Academy of Sciences; Institute of Tibetan Plateau Research, CAS; Chinese Academy of Sciences; Hokkaido University; Chinese Academy of Sciences; Cold &amp; Arid Regions Environmental &amp; Engineering Research Institute, CAS</t>
  </si>
  <si>
    <t>Cong, ZY (corresponding author), Chinese Acad Sci, Inst Tibetan Plateau Res, Bldg 3,Courtyard 16,Lincui Rd, Beijing 100101, Peoples R China.</t>
  </si>
  <si>
    <t>Zhiyuancong@itpcas.ac.cn</t>
  </si>
  <si>
    <t>Liu, Dameng/HTQ-6976-2023; Kawamura, Kimitaka/B-3839-2011; cong, z/KCF-0053-2024; Kang, Shichang/I-6830-2018; ?, ??/E-5237-2012</t>
  </si>
  <si>
    <t>Liu, Dameng/0000-0002-4688-074X; Kawamura, Kimitaka/0000-0003-1190-3726; Kang, Shichang/0000-0003-2115-9005; ?, ??/0000-0002-7545-5611</t>
  </si>
  <si>
    <t>National Natural Science Foundation of China [41271073, 41522103, 41225002]; Strategic Priority Research Program-Climate Change: Carbon Budget and Relevant Issues, CAS [XDA05100105]; Youth Innovation Promotion Association; Japan Society for the Promotion of Science [2422100]</t>
  </si>
  <si>
    <t>National Natural Science Foundation of China(National Natural Science Foundation of China (NSFC)); Strategic Priority Research Program-Climate Change: Carbon Budget and Relevant Issues, CAS; Youth Innovation Promotion Association; Japan Society for the Promotion of Science(Ministry of Education, Culture, Sports, Science and Technology, Japan (MEXT)Japan Society for the Promotion of Science)</t>
  </si>
  <si>
    <t>This study is supported by National Natural Science Foundation of China (41271073, 41522103 and 41225002) and Strategic Priority Research Program-Climate Change: Carbon Budget and Relevant Issues (XDA05100105), CAS. Z. Cong acknowledges the support of Youth Innovation Promotion Association. This study is also supported by the Japan Society for the Promotion of Science through grant-in-aid No. 2422100.</t>
  </si>
  <si>
    <t>10.1016/j.atmosenv.2015.09.049</t>
  </si>
  <si>
    <t>WOS:000367413600014</t>
  </si>
  <si>
    <t>Massonnet, F; Guemas, V; Fuckar, NS; Doblas-Reyes, FJ</t>
  </si>
  <si>
    <t>Massonnet, F.; Guemas, V.; Fuckar, N. S.; Doblas-Reyes, F. J.</t>
  </si>
  <si>
    <t>THE 2014 HIGH RECORD OF ANTARCTIC SEA ICE EXTENT</t>
  </si>
  <si>
    <t>TRENDS; VARIABILITY; OCEAN</t>
  </si>
  <si>
    <t>[Massonnet, F.] Catholic Univ Louvain, Georges Lemaitre Ctr Earth &amp; Climate Res, Earth &amp; Life Inst, Louvain La Neuve, Belgium; [Massonnet, F.; Guemas, V.; Fuckar, N. S.; Doblas-Reyes, F. J.] Catalan Inst Climate Sci, Climate Forecasting Unit, Barcelona, Spain; [Guemas, V.] Ctr Natl Rech Meteorol, Toulouse, France; [Doblas-Reyes, F. J.] Catalan Inst Res &amp; Adv Studies, Barcelona, Spain; [Doblas-Reyes, F. J.] Barcelona Supercomp Ctr, Ctr Nacl Supercomputac, Barcelona, Spain</t>
  </si>
  <si>
    <t>Universite Catholique Louvain; Institut Catala de Ciencies del Clima (IC3); ICREA; Universitat Politecnica de Catalunya; Barcelona Supercomputer Center (BSC-CNS)</t>
  </si>
  <si>
    <t>Massonnet, F (corresponding author), Catholic Univ Louvain, Georges Lemaitre Ctr Earth &amp; Climate Res, Earth &amp; Life Inst, Louvain La Neuve, Belgium.</t>
  </si>
  <si>
    <t>Massonnet, Francois/J-5315-2014; Doblas-Reyes, Francisco/C-1228-2016; Guemas, Virginie/B-9090-2016</t>
  </si>
  <si>
    <t>Massonnet, Francois/0000-0002-4697-5781; Doblas-Reyes, Francisco/0000-0002-6622-4280; Fuckar, Neven S./0000-0002-0097-3764; Guemas, Virginie/0000-0002-6340-3558</t>
  </si>
  <si>
    <t>EU [308378, 607085, CGL2012-31987]; ICREA Funding Source: Custom</t>
  </si>
  <si>
    <t>EU(European Union (EU)); ICREA(ICREA)</t>
  </si>
  <si>
    <t>We wish to thank Editor-in-Chief J. Rosenfeld, Editor T. Peterson and two anonymous reviewers for handling and commenting on our manuscript. Francois Massonnet is a F.R.S. - FNRS Post-Doctoral Researcher. The research leading to these results has also received funding from the EU Seventh Framework Programme FP7 (2007-2013) under grant agreements 308378 (SPECS) and 607085 (EUCLEIA) and CGL2012-31987 (PICA-ICE).</t>
  </si>
  <si>
    <t>S163</t>
  </si>
  <si>
    <t>S167</t>
  </si>
  <si>
    <t>10.1175/BAMS-D-15-00093.1</t>
  </si>
  <si>
    <t>DB4SL</t>
  </si>
  <si>
    <t>WOS:000368503300033</t>
  </si>
  <si>
    <t>Herring, SC; Hoerling, MP; Kossin, JP; Peterson, TC; Stott, PA</t>
  </si>
  <si>
    <t>Herring, Stephanie C.; Hoerling, Martin P.; Kossin, James P.; Peterson, Thomas C.; Stott, Peter A.</t>
  </si>
  <si>
    <t>EXPLAINING EXTREME EVENTS OF 2014 FROM A CLIMATE PERSPECTIVE</t>
  </si>
  <si>
    <t>Understanding how long-term global change affects the intensity and likelihood of extreme weather events is a frontier science challenge. This fourth edition of explaining extreme events of the previous year (2014) from a climate perspective is the most extensive yet with 33 different research groups exploring the causes of 29 different events that occurred in 2014. A number of this year's studies indicate that human-caused climate change greatly increased the likelihood and intensity for extreme heat waves in 2014 over various regions. For other types of extreme events, such as droughts, heavy rains, and winter storms, a climate change influence was found in some instances and not in others. This year's report also included many different types of extreme events. The tropical cyclones that impacted Hawaii were made more likely due to human-caused climate change. Climate change also decreased the Antarctic sea ice extent in 2014 and increased the strength and likelihood of high sea surface temperatures in both the Atlantic and Pacific Oceans. For western U.S. wildfires, no link to the individual events in 2014 could be detected, but the overall probability of western U.S. wildfires has increased due to human impacts on the climate. Challenges that attribution assessments face include the often limited observational record and inability of models to reproduce some extreme events well. In general, when attribution assessments fail to find anthropogenic signals this alone does not prove anthropogenic climate change did not influence the event. The failure to find a human fingerprint could be due to insufficient data or poor models and not the absence of anthropogenic effects. This year researchers also considered other human-caused drivers of extreme events beyond the usual radiative drivers. For example, flooding in the Canadian prairies was found to be more likely because of human land-use changes that affect drainage mechanisms. Similarly, the Jakarta floods may have been compounded by land-use change via urban development and associated land subsidence. These types of mechanical factors re-emphasize the various pathways beyond climate change by which human activity can increase regional risk of extreme events.</t>
  </si>
  <si>
    <t>[Herring, Stephanie C.] NOAA, Natl Ctr Environm Informat, Boulder, CO 80305 USA; [Hoerling, Martin P.] NOAA, Earth Syst Res Lab, Boulder, CO USA; [Kossin, James P.] NOAA, Natl Ctr Environm Informat, Madison, WI USA; [Peterson, Thomas C.] NOAA, Natl Ctr Environm Informat, Asheville, NC USA; [Stott, Peter A.] Met Off Hadley Ctr, Exeter, Devon, England</t>
  </si>
  <si>
    <t>National Oceanic Atmospheric Admin (NOAA) - USA; National Oceanic Atmospheric Admin (NOAA) - USA; National Oceanic Atmospheric Admin (NOAA) - USA; National Oceanic Atmospheric Admin (NOAA) - USA; Met Office - UK; Hadley Centre</t>
  </si>
  <si>
    <t>Herring, SC (corresponding author), NOAA, Natl Ctr Environm Informat, Boulder, CO 80305 USA.</t>
  </si>
  <si>
    <t>Stott, Peter A/N-1228-2016; Zhang, Wei/J-3155-2019; Kossin, James/C-2022-2016</t>
  </si>
  <si>
    <t>Zhang, Wei/0000-0001-8134-6908; Kossin, James/0000-0003-0461-9794</t>
  </si>
  <si>
    <t>10.1175/BAMS-EEE_2014_ch1.1</t>
  </si>
  <si>
    <t>DB4SE</t>
  </si>
  <si>
    <t>WOS:000368502600001</t>
  </si>
  <si>
    <t>Liu, W; Lu, J; Leung, LR; Xie, SP; Liu, ZY; Zhu, J</t>
  </si>
  <si>
    <t>Liu, Wei; Lu, Jian; Leung, L. Ruby; Xie, Shang-Ping; Liu, Zhengyu; Zhu, Jiang</t>
  </si>
  <si>
    <t>The de-correlation of westerly winds and westerly-wind stress over the Southern Ocean during the Last Glacial Maximum</t>
  </si>
  <si>
    <t>Southern Westerly Winds; Westerly wind stress; Antarctic sea ice; LGM; PMIP3/CMIP5</t>
  </si>
  <si>
    <t>SEA-ICE; HYDROLOGICAL CYCLE; MODEL SIMULATIONS; CLIMATE; POLLEN; VEGETATION; PACIFIC; HISTORY; RECORD; EXTENT</t>
  </si>
  <si>
    <t>Motivated by indications from paleo-evidence, this paper investigates the changes of the Southern Westerly Winds (SWW) and westerly-wind stress between the Last Glacial Maximum (LGM) and pre-industrial in the PMIP3/CMIP5 simulations, highlighting the role of Antarctic sea ice in modulating the wind effect on ocean. Particularly, a de-correlation occurs between the changes in SWW and westerly-wind stress, caused primarily by an equatorward expansion of winter Antarctic sea ice that undermines the efficacy of wind in generating stress over the liquid ocean. Such de-correlation may reflect the LGM condition in reality, in view of the fact that the model which simulates this condition has most fidelity in simulating modern SWW and Antarctic sea ice. Therein two models stand out for their agreements with paleo-evidence regarding the change of SWW and the westerly-wind stress. They simulate strengthened and poleward-migrated LGM SWW in the atmosphere, consistent with the indications from dust records. Whilst in the ocean, they well capture an equatorward-shifted pattern of the observed oceanic front shift, with most pronounced equatorward-shifted westerly wind stress during the LGM.</t>
  </si>
  <si>
    <t>[Liu, Wei; Xie, Shang-Ping] Univ Calif San Diego, Scripps Inst Oceanog, CASPO, La Jolla, CA 92093 USA; [Liu, Wei; Lu, Jian; Leung, L. Ruby] Pacific NW Natl Lab, Richland, WA 99352 USA; [Liu, Zhengyu; Zhu, Jiang] Univ Wisconsin, Nelson Ctr Climat Res, Dept Atmospher &amp; Ocean Sci, Madison, WI USA; [Liu, Zhengyu] Peking Univ, Sch Phys, LaCOAS, Beijing 100871, Peoples R China</t>
  </si>
  <si>
    <t>University of California System; University of California San Diego; Scripps Institution of Oceanography; United States Department of Energy (DOE); Pacific Northwest National Laboratory; University of Wisconsin System; University of Wisconsin Madison; Peking University</t>
  </si>
  <si>
    <t>Liu, W (corresponding author), Univ Calif San Diego, Scripps Inst Oceanog, CASPO, 9500 Gilman Dr, La Jolla, CA 92093 USA.</t>
  </si>
  <si>
    <t>wel109@ucsd.edu</t>
  </si>
  <si>
    <t>Xie, Shang-Ping/C-1254-2009; Zhu, Jiang/H-6040-2011; Leung, Ruby/F-9276-2018</t>
  </si>
  <si>
    <t>Xie, Shang-Ping/0000-0002-3676-1325; Zhu, Jiang/0000-0002-0908-5130; Leung, Ruby/0000-0002-3221-9467</t>
  </si>
  <si>
    <t>NSF [AGS-1249145]; Office of Science of the US Department of Energy as part of the Regional and Global Climate Modeling program; DOE [DE-AC05-76RL01830]; Directorate For Geosciences; Div Atmospheric &amp; Geospace Sciences [1249145, 1249156] Funding Source: National Science Foundation</t>
  </si>
  <si>
    <t>NSF(National Science Foundation (NSF)); Office of Science of the US Department of Energy as part of the Regional and Global Climate Modeling program(United States Department of Energy (DOE)); DOE(United States Department of Energy (DOE)); Directorate For Geosciences; Div Atmospheric &amp; Geospace Sciences(National Science Foundation (NSF)NSF - Directorate for Geosciences (GEO))</t>
  </si>
  <si>
    <t>This work is primarily supported by NSF AGS-1249145. Jian Lu and L. Ruby Leung were partly supported by the Office of Science of the US Department of Energy as part of the Regional and Global Climate Modeling program. The Pacific Northwest National Laboratory is operated for DOE by Battelle Memorial Institute under contract DE-AC05-76RL01830.</t>
  </si>
  <si>
    <t>11-12</t>
  </si>
  <si>
    <t>10.1007/s00382-015-2530-4</t>
  </si>
  <si>
    <t>CX0WU</t>
  </si>
  <si>
    <t>WOS:000365418900013</t>
  </si>
  <si>
    <t>Kuhlbrodt, T; Gregory, JM; Shaffrey, LC</t>
  </si>
  <si>
    <t>Kuhlbrodt, T.; Gregory, J. M.; Shaffrey, L. C.</t>
  </si>
  <si>
    <t>A process-based analysis of ocean heat uptake in an AOGCM with an eddy-permitting ocean component</t>
  </si>
  <si>
    <t>Ocean heat uptake; Process-based analysis; Advection-diffusion balance; Isopycnal diffusion; Eddy-permitting ocean model; Southern Ocean; Antarctic Circumpolar Current</t>
  </si>
  <si>
    <t>TRANSIENT CLIMATE-CHANGE; SOUTHERN-OCEAN; MESOSCALE EDDIES; MODEL; CIRCULATION; MECHANISMS; TRANSPORTS; ENERGETICS; NEMO</t>
  </si>
  <si>
    <t>About 90 % of the anthropogenic increase in heat stored in the climate system is found in the oceans. Therefore it is relevant to understand the details of ocean heat uptake. Here we present a detailed, process-based analysis of ocean heat uptake (OHU) processes in HiGEM1.2, an atmosphere-ocean general circulation model with an eddy-permitting ocean component of 1/3A degrees resolution. Similarly to various other models, HiGEM1.2 shows that the global heat budget is dominated by a downward advection of heat compensated by upward isopycnal diffusion. Only in the upper tropical ocean do we find the classical balance between downward diapycnal diffusion and upward advection of heat. The upward isopycnal diffusion of heat is located mostly in the Southern Ocean, which thus dominates the global heat budget. We compare the responses to a 4xCO2 forcing and an enhancement of the windstress forcing in the Southern Ocean. This highlights the importance of regional processes for the global ocean heat uptake. These are mainly surface fluxes and convection in the high latitudes, and advection in the Southern Ocean mid-latitudes. Changes in diffusion are less important. In line with the CMIP5 models, HiGEM1.2 shows a band of strong OHU in the mid-latitude Southern Ocean in the 4xCO2 run, which is mostly advective. By contrast, in the high-latitude Southern Ocean regions it is the suppression of convection that leads to OHU. In the enhanced windstress run, convection is strengthened at high Southern latitudes, leading to heat loss, while the magnitude of the OHU in the Southern mid-latitudes is very similar to the 4xCO2 results. Remarkably, there is only very small global OHU in the enhanced windstress run. The wind stress forcing just leads to a redistribution of heat. We relate the ocean changes at high Southern latitudes to the effect of climate change on the Antarctic Circumpolar Current (ACC). It weakens in the 4xCO2 run and strengthens in the wind stress run. The weakening is due to a narrowing of the ACC, caused by an expansion of the Weddell Gyre, and a flattening of the isopycnals, which are explained by a combination of the wind stress forcing and increased precipitation.</t>
  </si>
  <si>
    <t>[Kuhlbrodt, T.; Gregory, J. M.; Shaffrey, L. C.] Univ Reading, Dept Meteorol, NCAS, Reading RG6 6BB, Berks, England; [Gregory, J. M.] Met Off Hadley Ctr, Exeter, Devon, England</t>
  </si>
  <si>
    <t>UK Research &amp; Innovation (UKRI); Natural Environment Research Council (NERC); NERC National Centre for Atmospheric Science; University of Reading; Met Office - UK; Hadley Centre</t>
  </si>
  <si>
    <t>Kuhlbrodt, T (corresponding author), Univ Reading, Dept Meteorol, NCAS, POB 243, Reading RG6 6BB, Berks, England.</t>
  </si>
  <si>
    <t>t.kuhlbrodt@reading.ac.uk</t>
  </si>
  <si>
    <t>Gregory, Jonathan/J-2939-2016</t>
  </si>
  <si>
    <t>Gregory, Jonathan/0000-0003-1296-8644; Kuhlbrodt, Till/0000-0003-2328-6729</t>
  </si>
  <si>
    <t>European Research Council under the European Community's Seventh Framework Programme (FP7), ERC, project Seachange [247220]; National Centre for Atmospheric Science (NCAS) Climate Programme; Natural Environment Research Council [ncas10009] Funding Source: researchfish</t>
  </si>
  <si>
    <t>European Research Council under the European Community's Seventh Framework Programme (FP7), ERC, project Seachange; National Centre for Atmospheric Science (NCAS) Climate Programme; Natural Environment Research Council(UK Research &amp; Innovation (UKRI)Natural Environment Research Council (NERC))</t>
  </si>
  <si>
    <t>We are grateful to Dave Stevens and Ian Stevens for help and support with running HiGEM1.2 and investigating the model code. The comments of Steve Griffies and two anonymous reviewers have led to important clarifications in the paper. The research leading to the results presented here has received funding from the European Research Council under the European Community's Seventh Framework Programme (FP7/2007-2013), ERC grant agreement number 247220, project Seachange, and from the National Centre for Atmospheric Science (NCAS) Climate Programme.</t>
  </si>
  <si>
    <t>10.1007/s00382-015-2534-0</t>
  </si>
  <si>
    <t>WOS:000365418900016</t>
  </si>
  <si>
    <t>Yeo, SR; Kim, KY</t>
  </si>
  <si>
    <t>Yeo, Sae-Rim; Kim, Kwang-Yul</t>
  </si>
  <si>
    <t>Decadal changes in the Southern Hemisphere sea surface temperature in association with El Nio-Southern Oscillation and Southern Annular Mode</t>
  </si>
  <si>
    <t>Southern Hemisphere sea surface temperature; El Nino-Southern Oscillation; Southern Annular Mode; Decadal change</t>
  </si>
  <si>
    <t>LOW-FREQUENCY VARIABILITY; ANTARCTIC OSCILLATION; ENSO TELECONNECTIONS; TROPICAL CONVECTION; AMERICAN MODES; PACIFIC; OCEAN; NINO; ICE; CIRCULATION</t>
  </si>
  <si>
    <t>The spatial structure of El Nio-Southern Oscillation (ENSO) and the Southern Annular Mode (SAM), which are the two most important climate modes affecting sea surface temperature (SST) variability in the Southern Hemisphere (SH), appear to have changed since 1999. The characteristic features of the ENSO- and SAM-related atmospheric and oceanic variability in the SH are compared between two sub-periods (1979-1998 and 1999-2012) using cyclostationary empirical orthogonal function analysis. During the earlier period of 1979-1998, the ENSO is characterized by conventional eastern Pacific type, in which the signals in the SH constitute the Pacific South America teleconnection pattern. In contrast, due to a shift of the active center of ENSO to the central Pacific in the later period (1999-2012), atmospheric circulation and SST variability over the SH significantly vary. Moreover, the SAM-related SST variability also shows remarkable differences before and after 1998-1999. This difference is primarily attributed to differences in the non-annular spatial component of the SAM between the two periods. Due to the changes in the spatial structure of the SAM, as well as those of the ENSO, SST variability in the SH displays a marked change between the two periods. Detailed descriptions of the decadal changes of the SH SST in terms of interaction in the oceanic and atmospheric variability are presented along with the possible implications of this change.</t>
  </si>
  <si>
    <t>[Yeo, Sae-Rim; Kim, Kwang-Yul] Seoul Natl Univ, Sch Earth &amp; Environm Sci, Seoul 151742, South Korea; [Yeo, Sae-Rim] CSIRO Marine &amp; Atmospher Res, Aspendale, Vic, Australia</t>
  </si>
  <si>
    <t>Seoul National University (SNU); Commonwealth Scientific &amp; Industrial Research Organisation (CSIRO)</t>
  </si>
  <si>
    <t>Kim, KY (corresponding author), Seoul Natl Univ, Sch Earth &amp; Environm Sci, Seoul 151742, South Korea.</t>
  </si>
  <si>
    <t>kwang56@gmail.com</t>
  </si>
  <si>
    <t>SNU-Yonsei Research Cooperation Program through Seoul National University (SNU)</t>
  </si>
  <si>
    <t>This work was supported by SNU-Yonsei Research Cooperation Program through Seoul National University (SNU) in 2014.</t>
  </si>
  <si>
    <t>10.1007/s00382-015-2535-z</t>
  </si>
  <si>
    <t>WOS:000365418900017</t>
  </si>
  <si>
    <t>Jones, DH; Rose, M</t>
  </si>
  <si>
    <t>Jones, David H.; Rose, Mike</t>
  </si>
  <si>
    <t>Measurement of relative position of Halley VI modules (MORPH): GPS monitoring of building deformation in dynamic regions</t>
  </si>
  <si>
    <t>COLD REGIONS SCIENCE AND TECHNOLOGY</t>
  </si>
  <si>
    <t>GPS; Infrastructure monitoring; Antarctica</t>
  </si>
  <si>
    <t>ANTARCTICA</t>
  </si>
  <si>
    <t>The Halley VI Antarctic Research station was designed as a series of linked, ski-mounted modules. This makes it possible to relocate the station in the event that changing Antarctic conditions require it. These modules are gradually moving relative to each other, distorting the station configuration and potentially threatening the inter-module connections. In this paper we describe a scalable network of GPS receivers used to monitor this distortion. This network has been installed and operational for two months, and is measuring the relative motion of the modules to an accuracy of 1 mm, despite the station and its underlying ice shelf moving metres each day under the influence of ocean tides and glacial flow. (C) 2015 Elsevier B.V. All rights reserved.</t>
  </si>
  <si>
    <t>[Jones, David H.; Rose, Mike] British Antarctic Survey, Madingley Rd, Cambridge CB3 0ET, England</t>
  </si>
  <si>
    <t>Jones, DH (corresponding author), British Antarctic Survey, Madingley Rd, Cambridge CB3 0ET, England.</t>
  </si>
  <si>
    <t>davnes@bas.ac.uk; mcr@bas.ac.uk</t>
  </si>
  <si>
    <t>Jones, David/0000-0003-2379-909X</t>
  </si>
  <si>
    <t>Natural Environment Research Council [bas010011] Funding Source: researchfish; NERC [bas010011] Funding Source: UKRI</t>
  </si>
  <si>
    <t>0165-232X</t>
  </si>
  <si>
    <t>1872-7441</t>
  </si>
  <si>
    <t>COLD REG SCI TECHNOL</t>
  </si>
  <si>
    <t>Cold Reg. Sci. Tech.</t>
  </si>
  <si>
    <t>10.1016/j.coldregions.2015.09.010</t>
  </si>
  <si>
    <t>Engineering, Environmental; Engineering, Civil; Geosciences, Multidisciplinary</t>
  </si>
  <si>
    <t>Engineering; Geology</t>
  </si>
  <si>
    <t>CW5RX</t>
  </si>
  <si>
    <t>WOS:000365055400006</t>
  </si>
  <si>
    <t>Gudmundsson, JE; Ade, PAR; Amiri, M; Benton, SJ; Bock, JJ; Bond, JR; Bryan, SA; Chiang, HC; Contaldi, CR; Crill, BP; Dore, O; Filippini, JP; Fraisse, AA; Gambrel, A; Gandilo, NN; Hasselfield, M; Halpern, M; Hilton, G; Holmes, W; Hristov, VV; Irwin, KD; Jones, WC; Kermish, Z; MacTavish, CJ; Mason, PV; Megerian, K; Moncelsi, L; Montroy, TE; Morford, TA; Nagy, JM; Netterfield, CB; Rahlin, AS; Reintsema, CD; Ruhl, JE; Runyan, MC; Shariff, JA; Soler, JD; Trangsrud, A; Tucker, C; Tucker, RS; Turner, AD; Wiebe, DV; Young, E</t>
  </si>
  <si>
    <t>Gudmundsson, J. E.; Ade, P. A. R.; Amiri, M.; Benton, S. J.; Bock, J. J.; Bond, J. R.; Bryan, S. A.; Chiang, H. C.; Contaldi, C. R.; Crill, B. P.; Dore, O.; Filippini, J. P.; Fraisse, A. A.; Gambrel, A.; Gandilo, N. N.; Hasselfield, M.; Halpern, M.; Hilton, G.; Holmes, W.; Hristov, V. V.; Irwin, K. D.; Jones, W. C.; Kermish, Z.; MacTavish, C. J.; Mason, P. V.; Megerian, K.; Moncelsi, L.; Montroy, T. E.; Morford, T. A.; Nagy, J. M.; Netterfield, C. B.; Rahlin, A. S.; Reintsema, C. D.; Ruhl, J. E.; Runyan, M. C.; Shariff, J. A.; Soler, J. D.; Trangsrud, A.; Tucker, C.; Tucker, R. S.; Turner, A. D.; Wiebe, D. V.; Young, E.</t>
  </si>
  <si>
    <t>SPIDER Collaboration</t>
  </si>
  <si>
    <t>The thermal design, characterization, and performance of the SPIDER long-duration balloon cryostat</t>
  </si>
  <si>
    <t>CRYOGENICS</t>
  </si>
  <si>
    <t>Instrumentation; Cosmic microwave background; Stratospheric payload; Cryostat</t>
  </si>
  <si>
    <t>MODE POLARIZATION</t>
  </si>
  <si>
    <t>We describe the SPIDER flight cryostat, which is designed to cool six millimeter-wavelength telescopes during an Antarctic long-duration balloon flight. The cryostat, one of the largest to have flown on a stratospheric payload, uses liquid He-4 to deliver cooling power to stages at 4.2 and 1.6 K. Stainless steel capillaries facilitate a high flow impedance connection between the main liquid helium tank and a smaller superfluid tank, allowing the latter to operate at 1.6 K as long as there is liquid in the 4.2 K main tank. Each telescope houses a closed cycle He-3 adsorption refrigerator that further cools the focal planes down to 300 mK. Liquid helium vapor from the main tank is routed through heat exchangers that cool radiation shields, providing negative thermal feedback. The system performed successfully during a 17 day flight in the 2014-2015 Antarctic summer. The cryostat had a total hold time of 16.8 days, with 15.9 days occurring during flight. (C) 2015 Elsevier Ltd. All rights reserved.</t>
  </si>
  <si>
    <t>[Gudmundsson, J. E.; Benton, S. J.; Fraisse, A. A.; Gambrel, A.; Jones, W. C.; Kermish, Z.; Rahlin, A. S.; Young, E.] Princeton Univ, Dept Phys, Princeton, NJ 08544 USA; [Ade, P. A. R.; Tucker, R. S.] Cardiff Univ, Sch Phys &amp; Astron, Cardiff CF10 3AX, S Glam, Wales; [Amiri, M.; Hasselfield, M.; Halpern, M.; Wiebe, D. V.] Univ British Columbia, Dept Phys &amp; Astron, Vancouver, BC V5Z 1M9, Canada; [Benton, S. J.; Gandilo, N. N.; Netterfield, C. B.] Univ Toronto, Dept Phys, Toronto, ON, Canada; [Montroy, T. E.; Nagy, J. M.; Ruhl, J. E.] Case Western Reserve Univ, Dept Phys, Cleveland, OH 44106 USA; [Bock, J. J.; Crill, B. P.; Dore, O.; Holmes, W.; Megerian, K.; Trangsrud, A.; Turner, A. D.] CALTECH, Jet Prop Lab, Pasadena, CA USA; [Bock, J. J.; Crill, B. P.; Hristov, V. V.; Mason, P. V.; Moncelsi, L.; Morford, T. A.; Runyan, M. C.; Trangsrud, A.; Tucker, R. S.] CALTECH, Div Phys Math &amp; Astron, Pasadena, CA 91125 USA; [Bond, J. R.] Univ Toronto, Canadian Inst Theoret Astrophys, Toronto, ON M5S 1A1, Canada; [Contaldi, C. R.] Imperial Coll, Blackett Lab, Theoret Phys, London, England; [Reintsema, C. D.] NIST, Boulder, CO USA; [Irwin, K. D.] Stanford Univ, Dept Phys, Stanford, CA 94305 USA; [MacTavish, C. J.] Univ Cambridge, Kavli Inst Cosmol, Cambridge, England; [Bryan, S. A.] Arizona State Univ, Tempe, AZ USA; [Chiang, H. C.] Univ KwaZulu Natal, Sch Math Stat &amp; Comp Sci, Durban, South Africa; [Shariff, J. A.] Univ Toronto, Dept Astron &amp; Astrophys, Toronto, ON, Canada; [Filippini, J. P.] Univ Illinois, Dept Phys, Urbana, IL 61801 USA; [Hasselfield, M.] Princeton Univ, Dept Astrophys Sci, Princeton, NJ 08544 USA; [Soler, J. D.] Inst Astrophys Spatiale, Orsay, France; [Netterfield, C. B.] Canadian Inst Adv Res CIFAR Program Cosmol Gravit, Toronto, ON, Canada</t>
  </si>
  <si>
    <t>Princeton University; Cardiff University; University of British Columbia; University of Toronto; University System of Ohio; Case Western Reserve University; California Institute of Technology; National Aeronautics &amp; Space Administration (NASA); NASA Jet Propulsion Laboratory (JPL); California Institute of Technology; University of Toronto; Imperial College London; National Institute of Standards &amp; Technology (NIST) - USA; Stanford University; University of Cambridge; Arizona State University; Arizona State University-Tempe; University of Kwazulu Natal; University of Toronto; University of Illinois System; University of Illinois Urbana-Champaign; Princeton University; Sorbonne Universite; Universite Paris Saclay; Canadian Institute for Advanced Research (CIFAR)</t>
  </si>
  <si>
    <t>Gudmundsson, JE (corresponding author), Princeton Univ, Dept Phys, Princeton, NJ 08544 USA.</t>
  </si>
  <si>
    <t>Bryan, Scott E/J-1297-2012; Ruhl, John/HHS-2212-2022; Moncelsi, Lorenzo/AAU-1009-2020; jones, william C/AGJ-6132-2022</t>
  </si>
  <si>
    <t>Ruhl, John/0000-0001-5875-4751; Moncelsi, Lorenzo/0000-0002-4242-3015; jones, william C/0000-0002-3636-1241; Bryan, Sean/0000-0003-4607-9562; Contaldi, Carlo/0000-0001-7285-0707; Chiang, Hsin/0000-0002-4098-9533; Irwin, Kent/0000-0002-2998-9743; Tucker, Carole/0000-0002-1851-3918; Nagy, Johanna/0000-0002-2036-7008; Soler, Juan Diego/0000-0002-0294-4465; Crill, Brendan/0000-0002-4650-8518</t>
  </si>
  <si>
    <t>U.S. by National Aeronautics and Space Administration through the Science Mission Directorate [NNX07AL64G, NNX12AE95G]; NESSF [NNX10AM55H]; National Science Foundation [PLR-1043515]; David and Lucile Packard Foundation; National Sciences and Engineering Council; Canadian Space Agency; NASA [75099, NNX12AE95G] Funding Source: Federal RePORTER; Science and Technology Facilities Council [ST/L00044X/1] Funding Source: researchfish; STFC [ST/L00044X/1, ST/K000926/1] Funding Source: UKRI</t>
  </si>
  <si>
    <t>U.S. by National Aeronautics and Space Administration through the Science Mission Directorate; NESSF; National Science Foundation(National Science Foundation (NSF)); David and Lucile Packard Foundation(The David &amp; Lucile Packard Foundation); National Sciences and Engineering Council; Canadian Space Agency(Canadian Space Agency); NASA(National Aeronautics &amp; Space Administration (NASA)); Science and Technology Facilities Council(UK Research &amp; Innovation (UKRI)Science &amp; Technology Facilities Council (STFC)); STFC(UK Research &amp; Innovation (UKRI)Science &amp; Technology Facilities Council (STFC))</t>
  </si>
  <si>
    <t>SPIDER is supported in the U.S. by National Aeronautics and Space Administration under Grant No. NNX07AL64G and NNX12AE95G issued through the Science Mission Directorate, with support for ASR from NESSF NNX10AM55H, and by the National Science Foundation through PLR-1043515. Logistical support for the Antarctic deployment and operations was provided by the NSF through the U.S. Antarctic Program. The collaboration is grateful for the generous support of the David and Lucile Packard Foundation, which has been crucial to the success of the project.r Support in Canada is provided by the National Sciences and Engineering Council and the Canadian Space Agency.</t>
  </si>
  <si>
    <t>0011-2275</t>
  </si>
  <si>
    <t>1879-2235</t>
  </si>
  <si>
    <t>Cryogenics</t>
  </si>
  <si>
    <t>10.1016/j.cryogenics.2015.09.002</t>
  </si>
  <si>
    <t>Thermodynamics; Physics, Applied</t>
  </si>
  <si>
    <t>DA0JG</t>
  </si>
  <si>
    <t>WOS:000367482800009</t>
  </si>
  <si>
    <t>Clark, PU; Church, JA; Gregory, JM; Payne, AJ</t>
  </si>
  <si>
    <t>Clark, Peter U.; Church, John A.; Gregory, Jonathan M.; Payne, Anthony J.</t>
  </si>
  <si>
    <t>Recent Progress in Understanding and Projecting Regional and Global Mean Sea Level Change</t>
  </si>
  <si>
    <t>CURRENT CLIMATE CHANGE REPORTS</t>
  </si>
  <si>
    <t>Global mean sea level; Regional sea level; Sea-level observations; Sea-level projections</t>
  </si>
  <si>
    <t>GREENLAND ICE-SHEET; SURFACE MASS-BALANCE; PINE ISLAND GLACIER; UPPER-OCEAN; WEST ANTARCTICA; CLIMATE-CHANGE; EAST ANTARCTICA; NORTHEAST COAST; FUTURE CLIMATE; RISE</t>
  </si>
  <si>
    <t>Considerable progress has been made in understanding the present and future regional and global sea level in the 2 years since the publication of the Fifth Assessment Report (AR5) of the Intergovernmental Panel on Climate Change. Here, we evaluate how the new results affect the AR5's assessment of (i) historical sea level rise, including attribution of that rise and implications for the sea level budget, (ii) projections of the components and of total global mean sea level (GMSL), and (iii) projections of regional variability and emergence of the anthropogenic signal. In each of these cases, new work largely provides additional evidence in support of the AR5 assessment, providing greater confidence in those findings. Recent analyses confirm the twentieth century sea level rise, with some analyses showing a slightly smaller rate before 1990 and some a slightly larger value than reported in the AR5. There is now more evidence of an acceleration in the rate of rise. Ongoing ocean heat uptake and associated thermal expansion have continued since 2000, and are consistent with ocean thermal expansion reported in the AR5. A significant amount of heat is being stored deeper in the water column, with a larger rate of heat uptake since 2000 compared to the previous decades and with the largest storage in the Southern Ocean. The first formal detection studies for ocean thermal expansion and glacier mass loss since the AR5 have confirmed the AR5 finding of a significant anthropogenic contribution to sea level rise over the last 50 years. New projections of glacier loss from two regions suggest smaller contributions to GMSL rise from these regions than in studies assessed by the AR5; additional regional studies are required to further assess whether there are broader implications of these results. Mass loss from the Greenland Ice Sheet, primarily as a result of increased surface melting, and from the Antarctic Ice Sheet, primarily as a result of increased ice discharge, has accelerated. The largest estimates of acceleration in mass loss from the two ice sheets for 2003-2013 equal or exceed the acceleration of GMSL rise calculated from the satellite altimeter sea level record over the longer period of 1993-2014. However, when increased mass gain in land water storage and parts of East Antarctica, and decreased mass loss from glaciers in Alaska and some other regions are taken into account, the net acceleration in the ocean mass gain is consistent with the satellite altimeter record. New studies suggest that a marine ice sheet instability (MISI) may have been initiated in parts of the West Antarctic Ice Sheet (WAIS), but that it will affect only a limited number of ice streams in the twenty-first century. New projections of mass loss from the Greenland and Antarctic Ice Sheets by 2100, including a contribution from parts of WAIS undergoing unstable retreat, suggest a contribution that falls largely within the likely range (i.e., two thirds probability) of the AR5. These new results increase confidence in the AR5 likely range, indicating that there is a greater probability that sea level rise by 2100 will lie in this range with a corresponding decrease in the likelihood of an additional contribution of several tens of centimeters above the likely range. In view of the comparatively limited state of knowledge and understanding of rapid ice sheet dynamics, we continue to think that it is not yet possible to make reliable quantitative estimates of future GMSL rise outside the likely range. Projections of twenty-first century GMSL rise published since the AR5 depend on results from expert elicitation, but we have low confidence in conclusions based on these approaches. New work on regional projections and emergence of the anthropogenic signal suggests that the two commonly predicted features of future regional sea level change (the increasing tilt across the Antarctic Circumpolar Current and the dipole in the North Atlantic) are related to regional changes in wind stress and surface heat flux. Moreover, it is expected that sea level change in response to anthropogenic forcing, particularly in regions of relatively low unforced variability such as the low-latitude Atlantic, will be detectable over most of the ocean by 2040. The east-west contrast of sea level trends in the Pacific observed since the early 1990s cannot be satisfactorily accounted for by climate models, nor yet definitively attributed either to unforced variability or forced climate change.</t>
  </si>
  <si>
    <t>[Clark, Peter U.] Oregon State Univ, Coll Earth Ocean &amp; Atmospher Sci, Corvallis, OR 97330 USA; [Church, John A.] CSIRO, Oceans &amp; Atmosphere Flagship, Hobart, Tas 7000, Australia; [Gregory, Jonathan M.] Univ Reading, NCAS Climate, Reading RG6 6BB, Berks, England; [Gregory, Jonathan M.] Met Off Hadley Ctr, Exeter EX1 3PB, Devon, England; [Payne, Anthony J.] Univ Bristol, Sch Geog Sci, Bristol BS8 1SS, Avon, England</t>
  </si>
  <si>
    <t>Oregon State University; Commonwealth Scientific &amp; Industrial Research Organisation (CSIRO); University of Reading; UK Research &amp; Innovation (UKRI); Natural Environment Research Council (NERC); NERC National Centre for Atmospheric Science; Met Office - UK; Hadley Centre; University of Bristol</t>
  </si>
  <si>
    <t>Clark, PU (corresponding author), Oregon State Univ, Coll Earth Ocean &amp; Atmospher Sci, Corvallis, OR 97330 USA.</t>
  </si>
  <si>
    <t>clarkp@geo.oregonstate.edu</t>
  </si>
  <si>
    <t>Gregory, Jonathan/J-2939-2016; Church, John A/A-1541-2012; payne, antony/A-8916-2008</t>
  </si>
  <si>
    <t>Gregory, Jonathan/0000-0003-1296-8644; Church, John A/0000-0002-7037-8194; payne, antony/0000-0001-8825-8425</t>
  </si>
  <si>
    <t>US National Science Foundation Antarctic Glaciology Program [ANT-1043517]; Marine Geology and Geophysics Program [OCE-1335197]; Australian Government Department of the Environment; Bureau of Meteorology; CSIRO through the Australian Climate Change Science Programme; NERC [NE/I010874/1] Funding Source: UKRI</t>
  </si>
  <si>
    <t>US National Science Foundation Antarctic Glaciology Program(National Science Foundation (NSF)NSF - Directorate for Geosciences (GEO)); Marine Geology and Geophysics Program; Australian Government Department of the Environment(Australian Government); Bureau of Meteorology(Bureau of Meteorology - Australia); CSIRO through the Australian Climate Change Science Programme; NERC(UK Research &amp; Innovation (UKRI)Natural Environment Research Council (NERC))</t>
  </si>
  <si>
    <t>PUC was supported by the US National Science Foundation Antarctic Glaciology Program (ANT-1043517) and the Marine Geology and Geophysics Program (OCE-1335197). JAC was supported by the Australian Government Department of the Environment, the Bureau of Meteorology and CSIRO through the Australian Climate Change Science Programme. We thank two reviewers for their helpful comments.</t>
  </si>
  <si>
    <t>2198-6061</t>
  </si>
  <si>
    <t>CURR CLIM CHANGE REP</t>
  </si>
  <si>
    <t>Curr. Clim. Chang. Rep.</t>
  </si>
  <si>
    <t>10.1007/s40641-015-0024-4</t>
  </si>
  <si>
    <t>VI2LP</t>
  </si>
  <si>
    <t>WOS:000463897100002</t>
  </si>
  <si>
    <t>Khan, NS; Ashe, E; Shaw, TA; Vacchi, M; Walker, J; Peltier, WR; Kopp, RE; Horton, BP</t>
  </si>
  <si>
    <t>Khan, Nicole S.; Ashe, Erica; Shaw, Timothy A.; Vacchi, Matteo; Walker, Jennifer; Peltier, W. R.; Kopp, Robert E.; Horton, Benjamin P.</t>
  </si>
  <si>
    <t>Holocene Relative Sea-Level Changes from Near-, Intermediate-, and Far-Field Locations</t>
  </si>
  <si>
    <t>Holocene; Relative sea-level change; Glacio-isostatic adjustment; Noisy-input Gaussian Process model</t>
  </si>
  <si>
    <t>LAST GLACIAL MAXIMUM; SOUTH SHETLAND ISLANDS; GREAT-BARRIER-REEF; ISOSTATIC-ADJUSTMENT; ICE-SHEET; LATE PLEISTOCENE; MANTLE VISCOSITY; DISKO BUGT; ANTARCTIC PENINSULA; DEGLACIAL HISTORY</t>
  </si>
  <si>
    <t>Holocene relative sea-level (RSL) records exhibit spatial and temporal variability that arises mainly from the interaction of eustatic (land ice volume and thermal expansion) and isostatic (glacio- and hydro-) factors. We fit RSL histories from near-, intermediate-, and far-field locations with noisy-input Gaussian process models to assess rates of RSL change. Records from near-field regions (e.g., Antarctica, Greenland, Canada, Sweden, and Scotland) reveal a complex pattern of RSL fall from a maximum marine limit due to the net effect of eustatic sea-level rise and glacio- isostatic uplift with rates of RSL fall as great as -69 +/- 9 m/ka. Intermediate-field regions (e.g., mid-Atlantic and Pacific coasts of the USA, Netherlands, Southern France, St. Croix) display variable rates of RSL rise from the cumulative effect of eustatic and isostatic factors. Fast rates of RSL rise (up to 10 +/- 1 m/ka) are found in the early Holocene in regions near the center of forebulge collapse. Far-field RSL records exhibit a mid-Holocene highstand, the timing (between 8 and 4 ka) and magnitude (between &lt;1 and 6 m) of which varies among South America, Africa, Asia, and Oceania regions.</t>
  </si>
  <si>
    <t>[Khan, Nicole S.; Shaw, Timothy A.; Walker, Jennifer; Horton, Benjamin P.] Rutgers State Univ, Sch Environm &amp; Biol Sci, Dept Marine &amp; Coastal Sci, Sea Level Res, New Brunswick, NJ 08901 USA; [Khan, Nicole S.; Ashe, Erica; Shaw, Timothy A.; Walker, Jennifer; Kopp, Robert E.; Horton, Benjamin P.] Rutgers State Univ, Inst Earth Ocean &amp; Atmospher Sci, New Brunswick, NJ 08901 USA; [Ashe, Erica] Rutgers State Univ, Dept Stat &amp; Biostat, Piscataway, NJ 08854 USA; [Ashe, Erica] Rutgers State Univ, CCICADA, Dept A, Homeland Secur Ctr Excellence, Piscataway, NJ 08854 USA; [Vacchi, Matteo] Aix Marseille Univ, CEREGE, CNRS, IRD UMR 34, Aix En Provence, France; [Peltier, W. R.] Univ Toronto, Dept Phys, Toronto, ON M5S 1A7, Canada; [Kopp, Robert E.] Rutgers State Univ, Dept Earth &amp; Planetary Sci, Piscataway, NJ 08854 USA; [Kopp, Robert E.] Rutgers State Univ, Rutgers Energy Inst, Piscataway, NJ 08854 USA; [Horton, Benjamin P.] Nanyang Technol Univ, Earth Observ Singapore, Singapore 639798, Singapore; [Horton, Benjamin P.] Nanyang Technol Univ, Asian Sch Environm, Singapore 639798, Singapore</t>
  </si>
  <si>
    <t>Rutgers University System; Rutgers University New Brunswick; Rutgers University System; Rutgers University New Brunswick; Rutgers University System; Rutgers University New Brunswick; Rutgers University System; Rutgers University New Brunswick; Centre National de la Recherche Scientifique (CNRS); Aix-Marseille Universite; University of Toronto; Rutgers University System; Rutgers University New Brunswick; Rutgers University System; Rutgers University New Brunswick; Nanyang Technological University; Nanyang Technological University</t>
  </si>
  <si>
    <t>Khan, NS (corresponding author), Rutgers State Univ, Sch Environm &amp; Biol Sci, Dept Marine &amp; Coastal Sci, Sea Level Res, New Brunswick, NJ 08901 USA.</t>
  </si>
  <si>
    <t>nkhan@usgs.gov</t>
  </si>
  <si>
    <t>Kopp, Robert E/B-8822-2008; Khan, Nicole Sophia/M-6875-2018; Peltier, William R./A-1102-2008; IPO, PAGES/JXY-7546-2024; Vacchi, Matteo/E-1622-2011</t>
  </si>
  <si>
    <t>Khan, Nicole Sophia/0000-0002-9845-1103; Horton, Benjamin/0000-0001-9245-3768; Ashe, Erica/0000-0002-7445-6321; eric, azhe/0009-0002-4135-7236; Vacchi, Matteo/0000-0002-1569-7862</t>
  </si>
  <si>
    <t>National Oceanic and Atmospheric Administration [NA11OAR4310101]; NSF [EAR 1402017, EAR 1419366, OCE 1458904, ARC 1203415]; French Government Investissements d'Avenir program of the ANR through the A*MIDEX project [ANR-11-LABX-0061, ANR-11-IDEX-0001-02]; Directorate For Geosciences; Office of Polar Programs (OPP) [1203415] Funding Source: National Science Foundation</t>
  </si>
  <si>
    <t>National Oceanic and Atmospheric Administration(National Oceanic Atmospheric Admin (NOAA) - USA); NSF(National Science Foundation (NSF)); French Government Investissements d'Avenir program of the ANR through the A*MIDEX project(Agence Nationale de la Recherche (ANR)); Directorate For Geosciences; Office of Polar Programs (OPP)(National Science Foundation (NSF)NSF - Directorate for Geosciences (GEO))</t>
  </si>
  <si>
    <t>This work was supported by National Oceanic and Atmospheric Administration award NA11OAR4310101 (to BPH and WRP) and NSF grants EAR 1402017 (to BPH), EAR 1419366 (to BPH), OCE 1458904 (to BPH and REK), and ARC 1203415 (to REK). MVcontributes to the Labex OT-Med (no ANR-11-LABX-0061) funded by the French Government Investissements d'Avenir program of the ANR through the A*MIDEX project (no ANR-11-IDEX-0001-02). We thank two anonymous reviewers for their insightful comments. This paper is a contribution to PALSEA2. The authors have no conflict of interest or financial interest to report.</t>
  </si>
  <si>
    <t>10.1007/s40641-015-0029-z</t>
  </si>
  <si>
    <t>WOS:000463897100003</t>
  </si>
  <si>
    <t>Wu, Q; Colin, C; Liu, ZF; Douville, E; Dubois-Dauphin, Q; Frank, N</t>
  </si>
  <si>
    <t>Wu, Qiong; Colin, Christophe; Liu, Zhifei; Douville, Eric; Dubois-Dauphin, Quentin; Frank, Norbert</t>
  </si>
  <si>
    <t>New insights into hydrological exchange between the South China Sea and the Western Pacific Ocean based on the Nd isotopic composition of seawater</t>
  </si>
  <si>
    <t>Nd isotopic composition; Seawater; South China Sea; Philippine Sea; Hydrology; Nepheloid layers</t>
  </si>
  <si>
    <t>RARE-EARTH-ELEMENTS; ANTARCTIC INTERMEDIATE WATER; NORTH-ATLANTIC DEEP; NEODYMIUM ISOTOPES; THERMOHALINE CIRCULATION; PRECISE DETERMINATION; VARIABILITY; TRANSPORT; EVOLUTION; SEDIMENTS</t>
  </si>
  <si>
    <t>Rare Earth Element (REE) concentrations and Nd isotopic compositions (epsilon Nd) of 16 seawater profiles collected in the northern South China Sea (SCS) and the Philippine Sea were investigated (1) to establish the distribution of the Nd isotopic composition of water masses along the tropical Western Pacific and the SCS until now underexplored, (2) to constrain hydrological exchanges between the SCS and the Philippine Sea through the Luzon Strait, and (3) to test, in the context of the semi-closed marginal sea (SCS), the possible impact of the process of exchange of Nd between SCS water masses and unradiogenic sediments from its north-western margin. epsilon Nd values for mid- and deep-water masses of the Philippine Sea and the SCS range from -2.3 to -4.4 and generally increase slightly as water depth increases. In the Philippine Sea, epsilon Nd values for the North Pacific Intermediate Water (NPIW) reach -2.7 +/- 0.4 at mid-depths (500 to 1400 m). Below similar to 1800 m, the Pacific Deep Water (PDW) is characterised by less radiogenic Nd ( -4.1 +/- 0.5) indicating the intrusion of southern-sourced water. For most of the stations in the Northern SCS, water masses below 1500 m (PDW) display homogenous epsilon Nd values (-4.1) identical to those of the PDW in the Philippine Sea. epsilon Nd values for the South China Sea Intermediate Water (SCSIW, 500-1500 m) vary from -3.0 to -3.9 as a result of the vertical mixing of the NPIW with the PDW in the SCS. Seawater epsilon Nd values for the SCS display local modification (similar to-5.3 to -7.0) in areas where water passes above sediment drift deposit systems. This implies locally confined boundary exchange with unradiogenic sediments (around -11) insufficient to alter the Nd isotopic composition of the PDW in the Northern SCS. In addition, epsilon Nd values analysed for the first time in nepheloid layers collected along the northwestern margin of the SCS do not exhibit any significant modification of the seawater epsilon Nd which remains into a narrow range between -3.7 and -4.3, similar to that of the PDW. A compilation of aid from the sea surface water of the SCS indicates lower epsilon Nd values in the western and the central SCS (-3.3 to -9.5), induced by sediments riverine input which are characterised by unradiogenic epsilon Nd (around -11). Finally, as significant variations are observed in seawater epsilon Nd at mid-depth between the SCS and the Philippine Sea, epsilon Nd values could be used in the future to track intermediate water mass exchange in the Luzon Strait, a process which, at present, remains poorly understood. (C) 2015 Elsevier Ltd. All rights reserved.</t>
  </si>
  <si>
    <t>[Wu, Qiong; Colin, Christophe; Dubois-Dauphin, Quentin] Univ Paris Saclay, Univ Paris 11, CNRS, Lab Geosci Paris Sud,UMR 8148, Orsay, France; [Wu, Qiong; Liu, Zhifei] Tongji Univ, State Key Lab Marine Geol, Shanghai 200092, Peoples R China; [Douville, Eric] UVSQ, CEA, CNRS, LSCE,IPSL,UMR 8212, F-91198 Gif Sur Yvette, France; [Frank, Norbert] Heidelberg Univ, Inst Environm Phys, Heidelberg, Germany</t>
  </si>
  <si>
    <t>Universite Paris Saclay; Centre National de la Recherche Scientifique (CNRS); CNRS - National Institute for Earth Sciences &amp; Astronomy (INSU); Universite Paris Cite; Tongji University; CEA; Centre National de la Recherche Scientifique (CNRS); Universite Paris Saclay; CNRS - National Institute for Earth Sciences &amp; Astronomy (INSU); Universite Paris Cite; Ruprecht Karls University Heidelberg</t>
  </si>
  <si>
    <t>Wu, Q (corresponding author), Tongji Univ, State Key Lab Marine Geol, Shanghai 200092, Peoples R China.</t>
  </si>
  <si>
    <t>wuqiong06@hotmail.com</t>
  </si>
  <si>
    <t>Dubois-Dauphin, Quentin/H-7355-2017; Liu, Zhifei/L-8817-2019; Frank, Norbert/D-6486-2016</t>
  </si>
  <si>
    <t>Dubois-Dauphin, Quentin/0000-0002-4616-2502; Frank, Norbert/0000-0002-0416-9546; Douville, Eric/0000-0002-6673-1768</t>
  </si>
  <si>
    <t>National Natural Science Foundation of China [91128206, 40925008]; Labex L-IPSL [ANR-10-LABX-0018]</t>
  </si>
  <si>
    <t>National Natural Science Foundation of China(National Natural Science Foundation of China (NSFC)); Labex L-IPSL</t>
  </si>
  <si>
    <t>We specially thank two anonymous reviewers for their constructive comments, which significantly helped to improve this work. We are grateful to Ziding He, Jiawang Wu and Hao Wang for the excellent quality of their sampling campaign undertaken during 2010. Thanks also to Yanli Li, Quan Chen and Shiwen Zhou for their help during the 2013 sampling campaign. We also thank the captain, crew and scientific team of R/V Dongfang Hong, Kexue No.1 and Shiyan No.3 for their collaboration in sampling. Special thanks are addressed to Louise Bordier and Francois Thil for their kind assistance in REE element concentration and Nd isotopic composition measurement. This work was supported by the National Natural Science Foundation of China Projects (Nos. 91128206 and 40925008) and the Labex L-IPSL (noANR-10-LABX-0018). This is LSCE contribution no5501. The study is a part of the French-Chinese collaborative project LIA MONOCL.</t>
  </si>
  <si>
    <t>10.1016/j.dsr2.2015.11.005</t>
  </si>
  <si>
    <t>CZ4XO</t>
  </si>
  <si>
    <t>WOS:000367106500004</t>
  </si>
  <si>
    <t>Webster-Brown, JG; Hawes, I; Jungblut, AD; Wood, SA; Christenson, HK</t>
  </si>
  <si>
    <t>Webster-Brown, Jenny G.; Hawes, Ian; Jungblut, Anne D.; Wood, Susanna A.; Christenson, Hannah K.</t>
  </si>
  <si>
    <t>The effects of entombment on water chemistry and bacterial assemblages in closed cryoconite holes on Antarctic glaciers</t>
  </si>
  <si>
    <t>FEMS MICROBIOLOGY ECOLOGY</t>
  </si>
  <si>
    <t>Antarctica; bacteria; cryoconite; cyanobacteria; geochemistry; isotopes</t>
  </si>
  <si>
    <t>MCMURDO DRY VALLEYS; ICE SHELF; MICROBIAL ACTIVITY; MELTWATER PONDS; DIVERSITY; COMMUNITIES; REGION; MATS; BIOGEOCHEMISTRY; ECOSYSTEM</t>
  </si>
  <si>
    <t>Closed cryoconite holes (CCHs) are small aquatic ecosystems enclosed in glacier surface ice, and they collectively contribute substantial aquatic habitat to inland Antarctica. We examined the morphology, geochemistry and bacterial diversity of 57 CCHs, spread over seven sites, located on five glaciers, covering a range of latitudes, elevations and distance from open seawater. Isotopes confirmed glacial ice as the initial water source, with water chemistry evolving through freeze concentration and photosynthetic processes to have conductivities ranging from &lt; 0.005 to &gt;4 mS cm(-1) and pH from &lt; 5 to &gt;11. Nitrate concentrations were more elevated in inland, higher altitude sites. Bacterial communities were characterized by Automated Ribosomal Intergenic Spacer Analysis and high-throughput sequencing. The dominant phyla were Cyanobacteria, Bacteroides, Proteobacteria and Actinobacteria. CCH bacterial communities predominantly grouped by geographic location, suggesting initial wind-borne inocula from local and regional sources play a role in structuring assemblages. However, multivariate multiple regression analysis indicated that internal CCH conditions also influenced community structure, particularly the ion content and pH of the liquid water. This highlights the importance of founder bacterial populations, isolation and water chemistry in the evolution of CCH bacterial communities.</t>
  </si>
  <si>
    <t>[Webster-Brown, Jenny G.; Christenson, Hannah K.] Univ Canterbury, Waterways Ctr Freshwater Management, Christchurch 8140, New Zealand; [Hawes, Ian; Christenson, Hannah K.] Univ Canterbury, Gateway Antarctica, Christchurch 8140, New Zealand; [Jungblut, Anne D.] Nat Hist Museum, Dept Life Sci, London SW7 5BD, England; [Wood, Susanna A.] Cawthron Inst, Nelson 7010, New Zealand; [Wood, Susanna A.] Univ Waikato, Environm Res Inst, Hamilton 3240, New Zealand</t>
  </si>
  <si>
    <t>University of Canterbury; University of Canterbury; Natural History Museum London; Cawthron Institute; University of Waikato</t>
  </si>
  <si>
    <t>Webster-Brown, JG (corresponding author), Univ Canterbury, Waterways Ctr Freshwater Management, Private Bag 4800, Christchurch, New Zealand.</t>
  </si>
  <si>
    <t>jenny.webster-brown@canterbury.ac.nz</t>
  </si>
  <si>
    <t>Webster-Brown, Jenny/0000-0001-9665-871X; Hawes, Ian/0000-0003-2471-6903</t>
  </si>
  <si>
    <t>0168-6496</t>
  </si>
  <si>
    <t>1574-6941</t>
  </si>
  <si>
    <t>FEMS MICROBIOL ECOL</t>
  </si>
  <si>
    <t>FEMS Microbiol. Ecol.</t>
  </si>
  <si>
    <t>fiv144</t>
  </si>
  <si>
    <t>10.1093/femsec/fiv144</t>
  </si>
  <si>
    <t>DB3SA</t>
  </si>
  <si>
    <t>WOS:000368430600015</t>
  </si>
  <si>
    <t>Leiva, S; Alvarado, P; Huang, Y; Wang, J; Garrido, I</t>
  </si>
  <si>
    <t>Leiva, Sergio; Alvarado, Pamela; Huang, Ying; Wang, Jian; Garrido, Ignacio</t>
  </si>
  <si>
    <t>Diversity of pigmented Gram-positive bacteria associated with marine macroalgae from Antarctica</t>
  </si>
  <si>
    <t>FEMS MICROBIOLOGY LETTERS</t>
  </si>
  <si>
    <t>Antarctica; marine macroalgae; pigmented bacteria; Gram-positive; Actinobacteria; antimicrobial activity</t>
  </si>
  <si>
    <t>HETEROTROPHIC BACTERIA; ACTINOBACTERIA; ANTIBACTERIAL; SEAWEEDS</t>
  </si>
  <si>
    <t>Little is known about the diversity and roles of Gram-positive and pigmented bacteria in Antarctic environments, especially those associated with marine macroorganisms. This work is the first study about the diversity and antimicrobial activity of culturable pigmented Gram-positive bacteria associated with marine Antarctic macroalgae. A total of 31 pigmented Gram-positive strains were isolated from the surface of six species of macroalgae collected in the King George Island, South Shetland Islands. On the basis of 16S rRNA gene sequence similarities &gt;= 99%, 18 phylotypes were defined, which were clustered into 11 genera of Actinobacteria (Agrococcus, Arthrobacter, Brachybacterium, Citricoccus, Kocuria, Labedella, Microbacterium, Micrococcus, Rhodococcus, Salinibacterium and Sanguibacter) and one genus of the Firmicutes (Staphylococcus). It was found that five isolates displayed antimicrobial activity against a set of macroalgae-associated bacteria. The active isolates were phylogenetically related to Agrococcus baldri, Brachybacterium rhamnosum, Citricoccus zhacaiensis and Kocuria palustris. The results indicate that a diverse community of pigmented Gram-positive bacteria is associated with Antartic macroalgae and suggest its potential as a promising source of antimicrobial and pigmented natural compounds.</t>
  </si>
  <si>
    <t>[Leiva, Sergio; Alvarado, Pamela] Univ Austral Chile, Fac Ciencias, Inst Bioquim &amp; Microbiol, Campus Isl Teja,Casilla 567, Valdivia, Chile; [Huang, Ying; Wang, Jian] Chinese Acad Sci, Inst Microbiol, State Key Lab Microbial Resources, Beijing 100101, Peoples R China; [Garrido, Ignacio] Univ Austral Chile, Fac Ciencias, Inst Ciencias Marinas &amp; Limnol, Valdivia, Chile</t>
  </si>
  <si>
    <t>Universidad Austral de Chile; Chinese Academy of Sciences; Institute of Microbiology, CAS; Universidad Austral de Chile</t>
  </si>
  <si>
    <t>Leiva, S (corresponding author), Univ Austral Chile, Fac Ciencias, Inst Bioquim &amp; Microbiol, Campus Isl Teja,Casilla 567, Valdivia, Chile.</t>
  </si>
  <si>
    <t>sleiva@uach.cl</t>
  </si>
  <si>
    <t>Alvarado, Pamela/JOJ-8930-2023</t>
  </si>
  <si>
    <t>Instituto Antartico Chileno (INACH) [RT_06-13]</t>
  </si>
  <si>
    <t>Instituto Antartico Chileno (INACH)</t>
  </si>
  <si>
    <t>This study was supported by Grant RT_06-13 from the Instituto Antartico Chileno (INACH).</t>
  </si>
  <si>
    <t>0378-1097</t>
  </si>
  <si>
    <t>1574-6968</t>
  </si>
  <si>
    <t>FEMS MICROBIOL LETT</t>
  </si>
  <si>
    <t>FEMS Microbiol. Lett.</t>
  </si>
  <si>
    <t>fnv206</t>
  </si>
  <si>
    <t>10.1093/femsle/fnv206</t>
  </si>
  <si>
    <t>DB3ML</t>
  </si>
  <si>
    <t>WOS:000368415600007</t>
  </si>
  <si>
    <t>Mcowen, CJ; Cheung, WWL; Rykaczewski, RR; Watson, RA; Wood, LJ</t>
  </si>
  <si>
    <t>Mcowen, Chris J.; Cheung, William W. L.; Rykaczewski, Ryan R.; Watson, Reg A.; Wood, Louisa J.</t>
  </si>
  <si>
    <t>Is fisheries production within Large Marine Ecosystems determined by bottom-up or top-down forcing?</t>
  </si>
  <si>
    <t>FISH AND FISHERIES</t>
  </si>
  <si>
    <t>Bottom-up; climate forcing; fisheries production; fishing effort; Large Marine Ecosystem; top-down</t>
  </si>
  <si>
    <t>CLIMATE-CHANGE; RELATIVE IMPORTANCE; FOOD WEBS; FISH PRODUCTION; GLOBAL OCEAN; DYNAMICS; PACIFIC; SCALE; VARIABILITY; MANAGEMENT</t>
  </si>
  <si>
    <t>Understanding the mechanisms driving fisheries production is essential if we are to accurately predict changes under climate change and exploit fish stocks in a sustainable manner. Traditionally, studies have sought to distinguish between the two most prominent drivers, bottom-up' (resource driven) and top-down' (consumer driven); however, this dichotomy is increasingly proving to be artificial as the relative importance of each mechanism has been shown to vary through space and time. Nevertheless, the reason why one predominates over another within a region remains largely unknown. To address this gap in understanding, we identified the dominant driver of commercial landings within 47 ecosystems, encompassing a wide range of biogeochemical conditions and fishing practices to elucidate general patterns. We show that bottom-up and top-down effects vary consistently with past fishing pressure and oceanographic conditions; bottom-up control predominates within productive, overfished regions and top-down in relatively unproductive and under-exploited areas. We attribute these findings to differences in the species composition and oceanographic properties of regions, together with variation in fishing practices and (indicative) management effectiveness. Collectively, our analyses suggest that despite the complexity of ecological systems, it is possible to elucidate a number of generalities. Such knowledge could be used to increase the parsimony of ecosystem models and to move a step forward in predicting how the global ocean, particularly fisheries productivity, will respond to climate change.</t>
  </si>
  <si>
    <t>[Mcowen, Chris J.; Wood, Louisa J.] UN, Environm Programme, World Conservat Monitoring Ctr, Cambridge CB3 0DL, England; [Mcowen, Chris J.] Univ Cambridge, Dept Geog, Cambridge CB3 3EN, England; [Cheung, William W. L.] Univ British Columbia, Fisheries Ctr, Vancouver, BC V6T 1Z4, Canada; [Rykaczewski, Ryan R.] Univ S Carolina, Dept Biol Sci, Columbia, SC 29208 USA; [Watson, Reg A.] Univ Tasmania, Inst Marine &amp; Antarctic Studies, Hobart, Tas 7000, Australia</t>
  </si>
  <si>
    <t>United Nations Environment Programme; University of Cambridge; University of British Columbia; University of South Carolina System; University of South Carolina Columbia; University of Tasmania</t>
  </si>
  <si>
    <t>Mcowen, CJ (corresponding author), UN, Environm Programme, World Conservat Monitoring Ctr, 219 Huntingdon Rd, Cambridge CB3 0DL, England.</t>
  </si>
  <si>
    <t>chris.mcowen@unep-wcmc.org</t>
  </si>
  <si>
    <t>Rykaczewski, Ryan/A-8625-2016; Watson, Reg A/F-4850-2012; , William/F-5104-2013</t>
  </si>
  <si>
    <t>Rykaczewski, Ryan/0000-0001-8893-872X; Watson, Reg A/0000-0001-7201-8865; , William/0000-0003-3626-1045</t>
  </si>
  <si>
    <t>1467-2960</t>
  </si>
  <si>
    <t>1467-2979</t>
  </si>
  <si>
    <t>FISH FISH</t>
  </si>
  <si>
    <t>Fish. Fish.</t>
  </si>
  <si>
    <t>10.1111/faf.12082</t>
  </si>
  <si>
    <t>CU1FC</t>
  </si>
  <si>
    <t>WOS:000363264400005</t>
  </si>
  <si>
    <t>Aviado, KB; Rilling-Hall, S; Bryce, JG; Mukasa, SB</t>
  </si>
  <si>
    <t>Aviado, Kimberly B.; Rilling-Hall, Sarah; Bryce, Julia G.; Mukasa, Samuel B.</t>
  </si>
  <si>
    <t>Submarine and subaerial lavas in the West Antarctic Rift System: Temporal record of shifting magma source components from the lithosphere and asthenosphere</t>
  </si>
  <si>
    <t>GEOCHEMISTRY GEOPHYSICS GEOSYSTEMS</t>
  </si>
  <si>
    <t>continental rifts; magma genesis; metasomatism</t>
  </si>
  <si>
    <t>MARIE BYRD LAND; ROSS-SEA-RIFT; NORTHERN VICTORIA-LAND; PB-ISOTOPE EVOLUTION; UPPER-MANTLE; OCEANIC BASALTS; TRACE-ELEMENT; MELTING EXPERIMENTS; CENOZOIC VOLCANISM; CONTINENTAL RIFT</t>
  </si>
  <si>
    <t>The petrogenesis of Cenozoic alkaline magmas in the West Antarctic Rift System (WARS) remains controversial, with competing models highlighting the roles of decompression melting due to passive rifting, active plume upwelling in the asthenosphere, and flux melting of a lithospheric mantle metasomatized by subduction. In this study, seamounts sampled in the Terror Rift region of the Ross Sea provide the first geochemical information from submarine lavas in the Ross Embayment in order to evaluate melting models. Together with subaerial samples from Franklin Island, Beaufort Island, and Mt. Melbourne in Northern Victoria Land (NVL), these Ross Sea lavas exhibit ocean island basalt (OIB)-like trace element signatures and isotopic affinities for the C or FOZO mantle endmember. Major-oxide compositions are consistent with the presence of multiple recycled lithologies in the mantle source region(s), including pyroxenite and volatile-rich lithologies such as amphibole-bearing, metasomatized peridotite. We interpret these observations as evidence that ongoing tectonomagmatic activity in the WARS is facilitated by melting of subduction-modified mantle generated during 550-100 Ma subduction along the paleo-Pacific margin of Gondwana. Following ingrowth of radiogenic daughter isotopes in high-mu (U/Pb) domains, Cenozoic extension triggered decompression melting of easily fusible, hydrated metasomes. This multistage magma generation model attempts to reconcile geochemical observations with increasing geophysical evidence that the broad seismic low-velocity anomaly imaged beneath West Antarctica and most of the Southern Ocean may be in part a compositional structure inherited from previous active margin tectonics.</t>
  </si>
  <si>
    <t>[Aviado, Kimberly B.; Bryce, Julia G.; Mukasa, Samuel B.] Univ New Hampshire, Dept Earth Sci, Durham, NH 03824 USA; [Rilling-Hall, Sarah] Shell Oil &amp; Gas, Houston, TX USA</t>
  </si>
  <si>
    <t>University System Of New Hampshire; University of New Hampshire; Royal Dutch Shell; Shell Oil Company</t>
  </si>
  <si>
    <t>Aviado, KB (corresponding author), Univ New Hampshire, Dept Earth Sci, Durham, NH 03824 USA.</t>
  </si>
  <si>
    <t>k.aviado@wildcats.unh.edu</t>
  </si>
  <si>
    <t>[ANT-0739617]; [ANT-1321588]; [EAR-1255888]</t>
  </si>
  <si>
    <t>; ;</t>
  </si>
  <si>
    <t>Data used in the text are available in the supporting information Table S1 and in the cited references. We thank ANT-0739617 and ANT-1321588 to S.M. and EAR-1255888 to J.G.B. and S.M. for support for the project. We thank L. Lawver and T. Wilson, who served as cochiefs on the Icebreaker N.B. Palmer cruise. We are grateful for M. F. Fahnestock for analytical assistance with MC-ICP-MS measurements at UNH. We thank Tyrone Rooney and an anonymous reviewer for constructive reviews that greatly improved the manuscript.</t>
  </si>
  <si>
    <t>1525-2027</t>
  </si>
  <si>
    <t>GEOCHEM GEOPHY GEOSY</t>
  </si>
  <si>
    <t>Geochem. Geophys. Geosyst.</t>
  </si>
  <si>
    <t>10.1002/2015GC006076</t>
  </si>
  <si>
    <t>DB9CO</t>
  </si>
  <si>
    <t>WOS:000368814000017</t>
  </si>
  <si>
    <t>Purdie, H; Rack, W; Anderson, B; Kerr, T; Chinn, T; Owens, I; Linton, M</t>
  </si>
  <si>
    <t>Purdie, Heather; Rack, Wolfgang; Anderson, Brian; Kerr, Tim; Chinn, Trevor; Owens, Ian; Linton, Matthew</t>
  </si>
  <si>
    <t>THE IMPACT OF EXTREME SUMMER MELT ON NET ACCUMULATION OF AN AVALANCHE FED GLACIER, AS DETERMINED BY GROUND-PENETRATING RADAR</t>
  </si>
  <si>
    <t>GEOGRAFISKA ANNALER SERIES A-PHYSICAL GEOGRAPHY</t>
  </si>
  <si>
    <t>glacier mass balance; ablation; accumulation; avalanche; ground penetrating radar</t>
  </si>
  <si>
    <t>MASS-BALANCE; DIELECTRIC-CONSTANT; SOUTHERN ALPS; NEW-ZEALAND; SNOW; CLIMATE; VARIABILITY; SENSITIVITY; FIRN</t>
  </si>
  <si>
    <t>Glacier mass balance is more sensitive to warming than cooling, but feedbacks related to the exposure of previously buried firn and ice in very warm years is not generally considered in sensitivity studies. A ground-penetrating radar survey in the accumulation area of Rolleston Glacier, New Zealand shows that five years of previous net accumulation was removed by melt from parts of the glacier above the long-term equilibrium line altitude during a single negative mass balance year. Rolleston Glacier receives a large amount of accumulation from snow avalanches, which may temporarily buffer it from climate warming by providing additional mass that has accumulated at higher elevations, effectively increasing the elevation range of the glacier. However, glaciers reliant on avalanche input may have high sensitivity to climatic variations because the extra mass is concentrated on a small part of the glacier, and small variations in avalanche input could have a large impact on overall glacier accumulation. Further research is needed to better estimate the amount and spatial distribution of accumulation by avalanche in order to quantify the climate sensitivity of small avalanche-fed glaciers.</t>
  </si>
  <si>
    <t>[Purdie, Heather; Owens, Ian; Linton, Matthew] Univ Canterbury, Dept Geog, Private Bag 4800, Christchurch 8140, New Zealand; [Rack, Wolfgang] Univ Canterbury, Gateway Antarctica, Private Bag 4800, Christchurch 8140, New Zealand; [Anderson, Brian] Victoria Univ Wellington, Antarctic Res Ctr, POB 600, Wellington, New Zealand; [Kerr, Tim] Aqualinc Res Ltd, POB 20462, Christchurch 8543, New Zealand; [Chinn, Trevor] Alpine &amp; Polar Proc Consultancy, 20 Muir Rd,Lake Hawea RD2, Lake Hawea 9382, New Zealand</t>
  </si>
  <si>
    <t>University of Canterbury; University of Canterbury; Victoria University Wellington</t>
  </si>
  <si>
    <t>Purdie, H (corresponding author), Univ Canterbury, Dept Geog, Private Bag 4800, Christchurch 8140, New Zealand.</t>
  </si>
  <si>
    <t>heather.purdie@canterbury.ac.nz</t>
  </si>
  <si>
    <t>Rack, Wolfgang/U-8898-2017</t>
  </si>
  <si>
    <t>Rack, Wolfgang/0000-0003-2447-377X; Kerr, Tim/0000-0002-5505-3244; Purdie, Heather/0000-0002-2723-6908</t>
  </si>
  <si>
    <t>University of Canterbury, Department of Geography research grant; Meridian Energy</t>
  </si>
  <si>
    <t>A University of Canterbury, Department of Geography research grant funded fieldwork associated with this study. A summer scholarship for M. Linton was supported by Meridian Energy.</t>
  </si>
  <si>
    <t>0435-3676</t>
  </si>
  <si>
    <t>1468-0459</t>
  </si>
  <si>
    <t>GEOGR ANN A</t>
  </si>
  <si>
    <t>Geogr. Ann. Ser. A-Phys. Geogr.</t>
  </si>
  <si>
    <t>10.1111/geoa.12117</t>
  </si>
  <si>
    <t>Geography, Physical; Geology</t>
  </si>
  <si>
    <t>DB3MV</t>
  </si>
  <si>
    <t>WOS:000368416700011</t>
  </si>
  <si>
    <t>Singh, AD; Verma, K; Jaiswal, S; Alonso-Garcia, M; Li, B; Abrantes, F</t>
  </si>
  <si>
    <t>Singh, A. D.; Verma, K.; Jaiswal, S.; Alonso-Garcia, M.; Li, B.; Abrantes, F.</t>
  </si>
  <si>
    <t>Planktic foraminiferal responses to orbital scale oceanographic changes off the western Iberian margin over the last 900 kyr: Results from IODP site U1391</t>
  </si>
  <si>
    <t>GLOBAL AND PLANETARY CHANGE</t>
  </si>
  <si>
    <t>Planktic foraminifera; Oceanography; Glacial/interglacial; Mid-Brunhes Event; Western Iberian margin</t>
  </si>
  <si>
    <t>NORTH-ATLANTIC OCEAN; LONG-TERM CHANGES; CLIMATE VARIABILITY; LATE PLEISTOCENE; VERTICAL-DISTRIBUTION; SEASONAL SUCCESSION; AZORES FRONT; SURFACE; CIRCULATION; WATER</t>
  </si>
  <si>
    <t>This paper presents planktic foraminiferal assemblage records of the last 900 kyr from the SW Iberian margin (IODP Site 111391). The faunal records show the history of surface oceanographic changes on glacial/interglacial scales before and after the Mid-Brunhes Event (MBE), a period when a major shift in the climate pattern was recorded in other regions. Temporal variations in relative abundances of characteristic species/groups are used to infer changes in the latitudinal position of the polar/Arctic water (% Neogloboquadrina pachyderma sinistral and Turborotalita quinqueloba), influence of the transitional subpolar water mass (% N. pachyderma dextral), and subtropical water (% tropical/subtropical species/group). Past changes in the upwelling intensity and productivity pattern associated with seasonal trade wind strength are inferred from the abundance variations of Globigerina bulloides and G. bulloides + Globigerinita glutinata, respectively. Faunal data reveal the influence of cold water masses (polar/subpolar) at the examined site was more pronounced during glacial stages except for marine isotope stage (MIS) 14 and 16. The magnitude of the polar/subpolar water mass invading the study area was at maximum before the MBE during MIS 18, 20 and 22, resulting in a situation like the present day Arctic Front. Interglacial periods prior to the MBE were also relatively colder than those of the post-MBE. Our faunal based inferences are in agreement with the ice-rafted debris (IRD) concentration and N. pachyderma sinistral records of the subpolar North Atlantic sites. Based on faunal proxies, we recorded major and rapid changes in upwelling intensity and related productivity during glacial Terminations. Both the upwelling intensity and productivity significantly increased after the MBE, particularly during the interglacials MIS 7, 9 and 11. Our productivity record parallels the EPICA CH4 record suggesting teleconnections between trade winds induced productivity and the tropical climate through oceanic-atmospheric processes. (C) 2015 Elsevier B.V. All rights reserved.</t>
  </si>
  <si>
    <t>[Singh, A. D.; Verma, K.; Jaiswal, S.] Banaras Hindu Univ, Ctr Adv Study Geol, Varanasi 221005, Uttar Pradesh, India; [Alonso-Garcia, M.; Abrantes, F.] IPMA, P-1449006 Lisbon, Portugal; [Alonso-Garcia, M.; Abrantes, F.] Univ Algarve, Ctr Ciencias Mar CCMAR, P-8005139 Faro, Portugal; [Li, B.] Chinese Acad Sci, Nanjing Inst Geol &amp; Palaeontol, Nanjing, Jiangsu, Peoples R China</t>
  </si>
  <si>
    <t>Banaras Hindu University (BHU); Instituto Portugues do Mar e da Atmosfera; Universidade do Algarve; Chinese Academy of Sciences</t>
  </si>
  <si>
    <t>Singh, AD (corresponding author), Banaras Hindu Univ, Ctr Adv Study Geol, Varanasi 221005, Uttar Pradesh, India.</t>
  </si>
  <si>
    <t>arundeosingh@yahoo.com</t>
  </si>
  <si>
    <t>Alonso-Garcia, Montserrat/AAB-5338-2021; Abrantes, Fatima/N-7253-2019</t>
  </si>
  <si>
    <t>Alonso-Garcia, Montserrat/0000-0002-0241-2178; Abrantes, Fatima/0000-0002-9110-0212; Jaiswal, Sumit/0009-0004-5913-0990</t>
  </si>
  <si>
    <t>IODP-India; National Centre for Antarctic and Ocean Research, MoES [NCAOR/IODP/17.7/10]; FCT [SFRH/BPD/96960/2013]</t>
  </si>
  <si>
    <t>IODP-India; National Centre for Antarctic and Ocean Research, MoES; FCT(Fundacao para a Ciencia e a Tecnologia (FCT))</t>
  </si>
  <si>
    <t>The Intergrated Ocean Drilling Program (IODP) is thankfully acknowledged for providing samples. We thank crew members, scientific and technical staff of RN JOIDES RESOLUTION during the IODP Expedition 339. We are also thankful to the two anonymous referees for their constructive reviews. ADS and IN acknowledge the financial support from the IODP-India, National Centre for Antarctic and Ocean Research, MoES (grant no. NCAOR/IODP/17.7/10). MAG acknowledges funding from the FCT postdoctoral fellowship program through the grant SFRH/BPD/96960/2013.</t>
  </si>
  <si>
    <t>0921-8181</t>
  </si>
  <si>
    <t>1872-6364</t>
  </si>
  <si>
    <t>GLOBAL PLANET CHANGE</t>
  </si>
  <si>
    <t>Glob. Planet. Change</t>
  </si>
  <si>
    <t>10.1016/j.gloplacha.2015.10.002</t>
  </si>
  <si>
    <t>DD8WM</t>
  </si>
  <si>
    <t>WOS:000370207600004</t>
  </si>
  <si>
    <t>Hielscher, NN; Malzahn, AM; Diekmann, R; Aberle, N</t>
  </si>
  <si>
    <t>Hielscher, N. N.; Malzahn, A. M.; Diekmann, R.; Aberle, N.</t>
  </si>
  <si>
    <t>Trophic niche partitioning of littoral fish species from the rocky intertidal of Helgoland, Germany</t>
  </si>
  <si>
    <t>HELGOLAND MARINE RESEARCH</t>
  </si>
  <si>
    <t>Fatty acids; Stable isotopes; Ctenolabrus rupestris; Pomatoschistus minutus; Pomatoschistus pictus; Myoxocephalus scorpius; Taurulus bubalis; Trophic ecology; Feeding ecology</t>
  </si>
  <si>
    <t>FATTY-ACID BIOMARKERS; STABLE-ISOTOPE RATIOS; ANTARCTIC KRILL; FEEDING ECOLOGY; MARINE FISH; FOOD-WEB; CARBON; FRACTIONATION; DELTA-N-15; COMMUNITY</t>
  </si>
  <si>
    <t>During a 3-year field study, interspecific and interannual differences in the trophic ecology of littoral fish species were investigated in the rocky intertidal of Helgoland island (North Sea). We investigated trophic niche partitioning of common coexisting littoral fish species based on a multi-tracer approach using stable isotope and fatty acids in order to show differences and similarities in resource use and feeding modes. The results of the dual-tracer approach showed clear trophic niche partitioning of the five target fish species, the goldsinny wrasse Ctenolabrus rupestris, the sand goby Pomatoschistus minutus, the painted goby Pomatoschistus pictus, the short-spined sea scorpion Myoxocephalus scorpius and the long-spined sea scorpion Taurulus bubalis. Both stable isotopes and fatty acids showed distinct differences in the trophic ecology of the studied fish species. However, the combined use of the two techniques added an additional resolution on the interannual scale. The sand goby P. minutus showed the largest trophic plasticity with a pronounced variability between years. The present data analysis provides valuable information on trophic niche partitioning of fish species in the littoral zones of Helgoland and on complex benthic food webs in general.</t>
  </si>
  <si>
    <t>[Hielscher, N. N.; Aberle, N.] Biol Anstalt Helgoland, Alfred Wegener Inst Helmholtz Ctr Polar &amp; Marine, Helgoland, Germany; [Hielscher, N. N.] Thuenen Inst Sea Fisheries, Hamburg, Germany; [Malzahn, A. M.] Sultan Qaboos Univ, Dept Marine Sci &amp; Fisheries, Coll Agr &amp; Marine Sci, Muscat, Oman; [Diekmann, R.] Thuenen Inst Fisheries Ecol, Hamburg, Germany</t>
  </si>
  <si>
    <t>Helmholtz Association; Alfred Wegener Institute, Helmholtz Centre for Polar &amp; Marine Research; Johann Heinrich von Thunen Institute; Sultan Qaboos University; Johann Heinrich von Thunen Institute</t>
  </si>
  <si>
    <t>Hielscher, NN (corresponding author), Biol Anstalt Helgoland, Alfred Wegener Inst Helmholtz Ctr Polar &amp; Marine, Helgoland, Germany.</t>
  </si>
  <si>
    <t>nicole.hielscher@ti.bund.de</t>
  </si>
  <si>
    <t>Aberle, Nicole/C-7366-2014; Malzahn, Arne Michael/C-5851-2013; Malzahn, Arne/AAD-6356-2022</t>
  </si>
  <si>
    <t>Aberle, Nicole/0000-0003-3254-5710; Malzahn, Arne Michael/0000-0002-2027-0804;</t>
  </si>
  <si>
    <t>ERAnet [189570, 03F0600A]</t>
  </si>
  <si>
    <t>ERAnet</t>
  </si>
  <si>
    <t>Special thanks to the technicians of the Alfred Wegener Institute, Helmholtz Centre for Polar and Marine Research, Biological Station Helgoland for their support in sample processing and lab analyses. We are grateful to the captains and crew members of RV Uthorn and RV Aade for providing fish samples. Further, our colleagues and volunteers within the AWI food web group are thanked for their kind support during beach seining campaigns regardless of wind and weather conditions. This project was funded by ERAnet (MarinERA project reference no. 189570, partner 4: AWI, PTJ Forderzeichen 03F0600A). In memory of our highly esteemed project leader, colleague and friend Vitor Almada.</t>
  </si>
  <si>
    <t>BMC</t>
  </si>
  <si>
    <t>CAMPUS, 4 CRINAN ST, LONDON N1 9XW, ENGLAND</t>
  </si>
  <si>
    <t>1438-387X</t>
  </si>
  <si>
    <t>1438-3888</t>
  </si>
  <si>
    <t>HELGOLAND MAR RES</t>
  </si>
  <si>
    <t>Helgoland Mar. Res.</t>
  </si>
  <si>
    <t>10.1007/s10152-015-0444-5</t>
  </si>
  <si>
    <t>CV8DO</t>
  </si>
  <si>
    <t>WOS:000364508400005</t>
  </si>
  <si>
    <t>Brennan, PV; Rahman, S; Lok, LB</t>
  </si>
  <si>
    <t>Brennan, Paul V.; Rahman, Samiur; Lok, Lai Bun</t>
  </si>
  <si>
    <t>Range migration compensation in static digital-beamforming-on-receive radar</t>
  </si>
  <si>
    <t>IET RADAR SONAR AND NAVIGATION</t>
  </si>
  <si>
    <t>compensation; array signal processing; radar signal processing; phased array radar; antenna phased arrays; synthetic aperture radar; FM radar; CW radar; ground penetrating radar; range migration compensation; static digital beamforming-on-receive radar; synthetic aperture radar; phased array radar; fixed antenna element; frequency modulated continuous wave radar; ground penetrating radar; 2D through-ice imaging; Antarctica</t>
  </si>
  <si>
    <t>SYNTHETIC-APERTURE RADAR; PHASE-SENSITIVE RADAR; ICE</t>
  </si>
  <si>
    <t>Range migration is a well-known, and readily compensable, phenomenon in synthetic-aperture radar. Under certain circumstances, it may also afflict phased array radar systems based on fixed antenna elements, but there is little or no literature on its occurrence in this type system, nor how it may be addressed. This study sets out to define the conditions in which range migration is a significant issue in phased array radar systems and how it may be mitigated, in particular concentrating on step frequency and frequency-modulated continuous-wave radar for which range migration is not so easily addressed. Results are presented to validate the approach based both on simulation and experimental data from ground-penetrating radar systems performing two-dimensional through-ice imaging in Antarctica.</t>
  </si>
  <si>
    <t>[Brennan, Paul V.; Rahman, Samiur; Lok, Lai Bun] UCL, Dept Elect &amp; Elect Engn, London WC1E 7JE, England</t>
  </si>
  <si>
    <t>University of London; University College London</t>
  </si>
  <si>
    <t>Brennan, PV (corresponding author), UCL, Dept Elect &amp; Elect Engn, Torrington Pl, London WC1E 7JE, England.</t>
  </si>
  <si>
    <t>p.brennan@ucl.ac.uk</t>
  </si>
  <si>
    <t>Rahman, Samiur/H-1159-2019</t>
  </si>
  <si>
    <t>Rahman, Samiur/0000-0002-5477-4218; Lok, Lai Bun/0000-0002-0033-9173</t>
  </si>
  <si>
    <t>NERC [NE/J005630/1]; EPSRC [EP/K00767X/1]; EPSRC [EP/K00767X/1] Funding Source: UKRI; NERC [NE/J005630/1, NE/F004621/1] Funding Source: UKRI; Engineering and Physical Sciences Research Council [EP/K00767X/1] Funding Source: researchfish; Natural Environment Research Council [NE/F004621/1, NE/J005630/1] Funding Source: researchfish</t>
  </si>
  <si>
    <t>NERC(UK Research &amp; Innovation (UKRI)Natural Environment Research Council (NERC)); EPSRC(UK Research &amp; Innovation (UKRI)Engineering &amp; Physical Sciences Research Council (EPSRC));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</si>
  <si>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The authors are grateful for the support of NERC (ref. NE/J005630/1) and EPSRC (ref. EP/K00767X/1) and for the help of Keith Nicholls and others in the British Antarctic Survey.</t>
  </si>
  <si>
    <t>INST ENGINEERING TECHNOLOGY-IET</t>
  </si>
  <si>
    <t>HERTFORD</t>
  </si>
  <si>
    <t>MICHAEL FARADAY HOUSE SIX HILLS WAY STEVENAGE, HERTFORD SG1 2AY, ENGLAND</t>
  </si>
  <si>
    <t>1751-8784</t>
  </si>
  <si>
    <t>1751-8792</t>
  </si>
  <si>
    <t>IET RADAR SONAR NAV</t>
  </si>
  <si>
    <t>IET Radar Sonar Navig.</t>
  </si>
  <si>
    <t>10.1049/iet-rsn.2014.0355</t>
  </si>
  <si>
    <t>Engineering, Electrical &amp; Electronic; Telecommunications</t>
  </si>
  <si>
    <t>CX7BK</t>
  </si>
  <si>
    <t>WOS:000365855500023</t>
  </si>
  <si>
    <t>Mattiucci, S; Cipriani, P; Paoletti, M; Nardi, V; Santoro, M; Bellisario, B; Nascetti, G</t>
  </si>
  <si>
    <t>Mattiucci, Simonetta; Cipriani, Paolo; Paoletti, Michela; Nardi, Valentina; Santoro, Mario; Bellisario, Bruno; Nascetti, Giuseppe</t>
  </si>
  <si>
    <t>Temporal stability of parasite distribution and genetic variability values of Contracaecum osculatum sp D and C. osculatum sp E (Nematoda: Anisakidae) from fish of the Ross Sea (Antarctica)</t>
  </si>
  <si>
    <t>INTERNATIONAL JOURNAL FOR PARASITOLOGY-PARASITES AND WILDLIFE</t>
  </si>
  <si>
    <t>TERRA-NOVA BAY; MITOCHONDRIAL COX2 SEQUENCES; NOTOTHENIOID FISHES; SPECIES NEMATODA; COMPLEX NEMATODA; FEEDING ECOLOGY; WEDDELL SEALS; FOOD-WEB; N. SP; ASCARIDOIDEA</t>
  </si>
  <si>
    <t>The Ross Sea, Eastern Antarctica, is considered a pristine ecosystem and a biodiversity hotspot scarcely impacted by humans. The sibling species Contracaecum osculatum sp. D and C. osculatum sp. E are anisakid parasites embedded in the natural Antarctic marine ecosystem. Aims of this study were to: identify the larvae of C. osculatum (s. l.) recovered in fish hosts during the XXVII Italian Expedition to Antarctica (2011-2012); perform a comparative analysis of the contemporary parasitic load and genetic variability estimates of C. osculatum sp. D and C. osculatum sp. E with respect to samples collected during the expedition of 1993-1994; to provide ecological data on these parasites. 200 fish specimens (Chionodraco hamatus, Trematomus bernacchii, Trematomus hansoni, Trematomus newnesi) were analysed for Contracaecum sp. larvae, identified at species level by allozyme diagnostic markers and sequences analysis of the mtDNA cox2 gene. Statistically significant differences were found between the occurrence of C. osculatum sp. D and C. osculatum sp. E in different fish species. C. osculatum sp. E was more prevalent in T. bernacchii; while, a higher percentage of C. osculatum sp. D occurred in Ch. hamatus and T. hansoni. The two species also showed differences in the host infection site: C. osculatum sp. D showed higher percentage of infection in the fish liver. High genetic variability values at both nuclear and mitochondrial level were found in the two species in both sampling periods. The parasitic infection levels by C. osculatum sp. D and sp. E and their estimates of genetic variability showed no statistically significant variation over a temporal scale (2012 versus 1994). This suggests that the low habitat disturbance of the Antarctic region permits the maintenance of stable ecosystem trophic webs, which contributes to the maintenance of a large populations of anisakid nematodes with high genetic variability. (C) 2015 The Authors. Published by Elsevier Ltd on behalf of Australian Society for Parasitology.</t>
  </si>
  <si>
    <t>[Mattiucci, Simonetta; Cipriani, Paolo; Paoletti, Michela; Nardi, Valentina] Univ Roma La Sapienza, Dept Publ Hlth &amp; Infect Dis, Sect Parasitol, Ple Aldo Moro 5, I-00185 Rome, Italy; [Cipriani, Paolo; Paoletti, Michela; Bellisario, Bruno; Nascetti, Giuseppe] Univ Tuscia, Dept Ecol &amp; Biol Sci, I-01100 Viterbo, Italy; [Santoro, Mario] Ist Zooprofilatt Sperimentale Mezzogiorno, I-80055 Naples, Italy</t>
  </si>
  <si>
    <t>Sapienza University Rome; Tuscia University; IZS del Mezzogiorno</t>
  </si>
  <si>
    <t>Mattiucci, S (corresponding author), Univ Roma La Sapienza, Dept Publ Hlth &amp; Infect Dis, Sect Parasitol, Ple Aldo Moro 5, I-00185 Rome, Italy.</t>
  </si>
  <si>
    <t>simonetta.mattiucci@uniroma1.it</t>
  </si>
  <si>
    <t>Santoro, Mario/K-3251-2019; Bellisario, Bruno/S-2651-2019; Bellisario, Bruno/JHU-4573-2023; Mattiucci, Simonetta/K-5285-2018</t>
  </si>
  <si>
    <t>Bellisario, Bruno/0000-0002-5339-0757; Bellisario, Bruno/0000-0002-5339-0757; Paoletti, Michela/0000-0002-0950-0576; cipriani, paolo/0000-0003-4599-7724</t>
  </si>
  <si>
    <t>2213-2244</t>
  </si>
  <si>
    <t>INT J PARASITOL-PAR</t>
  </si>
  <si>
    <t>Int. J. Parasitol.-Parasit. Wildl.</t>
  </si>
  <si>
    <t>10.1016/j.ijppaw.2015.10.004</t>
  </si>
  <si>
    <t>Ecology; Parasitology</t>
  </si>
  <si>
    <t>Environmental Sciences &amp; Ecology; Parasitology</t>
  </si>
  <si>
    <t>DF6BV</t>
  </si>
  <si>
    <t>WOS:000371441100013</t>
  </si>
  <si>
    <t>Zakhvatkina, NY; Bychkova, IA</t>
  </si>
  <si>
    <t>Zakhvatkina, N. Yu.; Bychkova, I. A.</t>
  </si>
  <si>
    <t>Bayesian Classification of the Ice Cover of the Arctic Seas</t>
  </si>
  <si>
    <t>IZVESTIYA ATMOSPHERIC AND OCEANIC PHYSICS</t>
  </si>
  <si>
    <t>sea ice; Arctic Seas; satellite; synthetic aperture radar; Bayesian classification; a priori probability estimation</t>
  </si>
  <si>
    <t>A classification of sea ice in the Arctic by age (multiyear; first-year; and first-year deformed ice, nilas, etc.) is developed based on the Bayesian approach using satellite radar data and taking into account regional peculiarities of these types of ice for different sectors of the Arctic. Estimations of a priori probabilities for each ice type, which are required for the use of the Bayesian classification, are obtained by the analysis of ice charts in the Arctic seas developed at the AARI in 2008-2013 using satellite data. A posterior probabilities are estimated visually by an expert. Types of sea ice distinguished by the expert on satellite images make it possible to create sample values of the radar-scattering cross section (RSCS). Examples of the proposed Bayesian classification of ice in the Laptev Sea according to Envisat satellite data are given.</t>
  </si>
  <si>
    <t>[Zakhvatkina, N. Yu.; Bychkova, I. A.] Arctic &amp; Antarctic Res Inst, St Petersburg, Russia; [Zakhvatkina, N. Yu.] Nansen Int Environm &amp; Remote Sensing Ctr, St Petersburg, Russia</t>
  </si>
  <si>
    <t>Arctic &amp; Antarctic Research Institute; Nansen Environmental &amp; Remote Sensing Center (NERSC)</t>
  </si>
  <si>
    <t>Bychkova, IA (corresponding author), Arctic &amp; Antarctic Res Inst, St Petersburg, Russia.</t>
  </si>
  <si>
    <t>natalia.piotrovskaya@niersc.spb.ru</t>
  </si>
  <si>
    <t>Bashmachnikov, Igor/B-2879-2012</t>
  </si>
  <si>
    <t>Bashmachnikov, Igor/0000-0002-1257-4197</t>
  </si>
  <si>
    <t>0001-4338</t>
  </si>
  <si>
    <t>1555-628X</t>
  </si>
  <si>
    <t>IZV ATMOS OCEAN PHY+</t>
  </si>
  <si>
    <t>Izv. Atmos. Ocean. Phys.</t>
  </si>
  <si>
    <t>10.1134/S0001433815090212</t>
  </si>
  <si>
    <t>VA9ED</t>
  </si>
  <si>
    <t>WOS:000410627600002</t>
  </si>
  <si>
    <t>Alekseev, GV; Aleksandrov, EI; Glok, NI; Ivanov, NE; Smolyanitsky, VM; Kharlanenkova, NE; Yulin, AV</t>
  </si>
  <si>
    <t>Alekseev, G. V.; Aleksandrov, E. I.; Glok, N. I.; Ivanov, N. E.; Smolyanitsky, V. M.; Kharlanenkova, N. E.; Yulin, A. V.</t>
  </si>
  <si>
    <t>Arctic sea ice cover in connection with climate change</t>
  </si>
  <si>
    <t>Arctic; sea ice cover; past data retrieval; influencing factors; prediction</t>
  </si>
  <si>
    <t>ATMOSPHERIC CIRCULATION; SURFACE-TEMPERATURE; NORTHERN-HEMISPHERE; BARENTS SEA; OCEAN; ATLANTIC; BALANCE; TRENDS; VARIABILITY; CYCLONE</t>
  </si>
  <si>
    <t>Recently published studies on key issues in the evolution of Arctic sea ice cover are reviewed and attempts to answer disputable questions are made in the research part of the work. It is shown that climate warming, manifested in an increase in the surface air temperature, and reduction in the ice cover develop with a high degree of agreement in summer. Based on this fact, anomalies of the September ice-cover area have been retrieved from 1900. They show a significant decrease in the 1930-1940s, which is almost twice as low as in 2007-2012. The influence of fluctuations in the flow of warm and salty Atlantic water is noted in variations in the winter maximum of the ice-cover area in the Barents Sea. An accelerated positive trend has been ascertained for the air temperature in late autumnearly winter in 1993-2012 due to an increase in the open water area in late summer. Inherent regularities of the ice-cover-area variability made it possible to develop a prediction of the monthly values of sea-ice extent with a head time from 6 months to 2 years. Their strong correlation with summer air temperature is used to estimate the onset of summer ice clearance in the Arctic.</t>
  </si>
  <si>
    <t>[Alekseev, G. V.; Aleksandrov, E. I.; Glok, N. I.; Ivanov, N. E.; Smolyanitsky, V. M.; Kharlanenkova, N. E.; Yulin, A. V.] Arctic &amp; Antarctic Res Inst, St Petersburg, Russia</t>
  </si>
  <si>
    <t>Alekseev, GV (corresponding author), Arctic &amp; Antarctic Res Inst, St Petersburg, Russia.</t>
  </si>
  <si>
    <t>alexgv@aari.ru</t>
  </si>
  <si>
    <t>Aleksandr, Yulin/Z-5911-2019</t>
  </si>
  <si>
    <t>Ministry of Education and Science of the Russian Federation [2014-14.610.21.0006 RFMEFI61014X0006]</t>
  </si>
  <si>
    <t>Ministry of Education and Science of the Russian Federation(Ministry of Education and Science, Russian Federation)</t>
  </si>
  <si>
    <t>This work was supported by the Ministry of Education and Science of the Russian Federation (project no. 2014-14.610.21.0006 RFMEFI61014X0006). The authors are grateful to a reviewer for useful remarks and advice.</t>
  </si>
  <si>
    <t>10.1134/S0001433815090029</t>
  </si>
  <si>
    <t>WOS:000410627600003</t>
  </si>
  <si>
    <t>Smirnov, VG; Bychkova, IA</t>
  </si>
  <si>
    <t>Smirnov, V. G.; Bychkova, I. A.</t>
  </si>
  <si>
    <t>Satellite Monitoring of Ice Features to Ensure Safety of Offshore Operations in the Arctic Seas</t>
  </si>
  <si>
    <t>sea ice; Arctic seas; dangerous ice features; satellite monitoring; synthetic aperture radar</t>
  </si>
  <si>
    <t>Methods for processing satellite data on ice features that pose a threat to the safety of offshore operations in the Arctic seas are considered. They are divided into interactive, automated, and automatic methods. The methods are illustrated by examples of archival satellite data on the Russian Arctic sector. Radar and optical data have been used as the satellite information source. It is shown that the successful satellite monitoring of dangerous ice features requires the optimal combination of satellite observations at various stages that provide for a synergistic approach to the data assimilation of different spectral bands obtained using different spacecraft.</t>
  </si>
  <si>
    <t>[Smirnov, V. G.; Bychkova, I. A.] Arctic &amp; Antarctic Res Inst, St Petersburg, Russia</t>
  </si>
  <si>
    <t>Smirnov, VG (corresponding author), Arctic &amp; Antarctic Res Inst, St Petersburg, Russia.</t>
  </si>
  <si>
    <t>vgs@aari.ru</t>
  </si>
  <si>
    <t>10.1134/S0001433815090182</t>
  </si>
  <si>
    <t>WOS:000410627600007</t>
  </si>
  <si>
    <t>Ivanov, BV; Svyashchennikov, PN</t>
  </si>
  <si>
    <t>Ivanov, B. V.; Svyashchennikov, P. N.</t>
  </si>
  <si>
    <t>Albedo of the Snow-Glasier Surface of Svalbard</t>
  </si>
  <si>
    <t>Arctic; Svalbard; albedo; surface contamination</t>
  </si>
  <si>
    <t>REFLECTANCE</t>
  </si>
  <si>
    <t>This paper discusses the results of measurements of the albedo of the snowglacier surface of Svalbard using the example of an Aldegonda glacier (the Green Fjord area) and surrounding area of the Russian settlement of Barentsburg that have been carried out in last years, including the third field phase of the International Polar Year, 20072008. The temporal and spatial variability of the albedo and its relationship to the natural and anthropogenic contamination of the surface are analyzed.</t>
  </si>
  <si>
    <t>[Ivanov, B. V.; Svyashchennikov, P. N.] Arctic &amp; Antarctic Res Inst, St Petersburg, Russia; [Ivanov, B. V.; Svyashchennikov, P. N.] St Petersburg State Univ, St Petersburg, Russia</t>
  </si>
  <si>
    <t>Ivanov, BV (corresponding author), Arctic &amp; Antarctic Res Inst, St Petersburg, Russia.</t>
  </si>
  <si>
    <t>b_ivanov@aari.ru</t>
  </si>
  <si>
    <t>Russian Ministry of Education; Western Arctic Zone of the Russian Federation [14.610.21.0006]</t>
  </si>
  <si>
    <t>Russian Ministry of Education(Ministry of Education and Science, Russian Federation); Western Arctic Zone of the Russian Federation</t>
  </si>
  <si>
    <t>This work was supported by the Russian Ministry of Education in carrying out the applied research and experimental development on the Creation of New Methods and Monitoring Tools of the Hydrometeorological and Geophysical Conditions on Svalbard and in the Western Arctic Zone of the Russian Federation, project no. 14.610.21.0006.</t>
  </si>
  <si>
    <t>10.1134/S0001433815090108</t>
  </si>
  <si>
    <t>WOS:000410627600008</t>
  </si>
  <si>
    <t>Poluianov, S; Usoskin, I; Mishev, A; Moraal, H; Krüger, H; Casasanta, G; Traversi, R; Udisti, R</t>
  </si>
  <si>
    <t>Poluianov, Stepan; Usoskin, Ilya; Mishev, Alexander; Moraal, Harm; Krueger, Helena; Casasanta, Giampietro; Traversi, Rita; Udisti, Roberto</t>
  </si>
  <si>
    <t>Mini Neutron Monitors at Concordia Research Station, Central Antarctica</t>
  </si>
  <si>
    <t>JOURNAL OF ASTRONOMY AND SPACE SCIENCES</t>
  </si>
  <si>
    <t>neutron monitor; solar energetic particle; Antarctica</t>
  </si>
  <si>
    <t>COSMIC-RAYS; MODEL</t>
  </si>
  <si>
    <t>Two mini neutron monitors are installed at Concordia research station (Dome C, Central Antarctica, 75 degrees 06'S, 123 degrees 23' E, 3,233 m.a.s.l.). The site has unique properties ideal for cosmic ray measurements, especially for the detection of solar energetic particles: very low cutoff rigidity &lt; 0.01 GV, high elevation and poleward asymptotic acceptance cones pointing to geographical latitudes &gt; 75 degrees S. The instruments consist of a standard neutron monitor and a bare (lead-free) neutron monitor. The instrument operation started in mid-January 2015. The barometric correction coefficients were computed for the period from 1 February to 31 July 2015. Several interesting events, including two notable Forbush decreases on 17 March 2015 and 22 June 2015, and a solar particle event of 29 October 2015 were registered. The data sets are available at cosmicrays.oulu.fi and nmdb.eu.</t>
  </si>
  <si>
    <t>[Poluianov, Stepan] Univ Oulu, Fac Sci, Oulu 90014, Finland; [Usoskin, Ilya] Univ Oulu, Sodankyla Geophys Observ, Oulu Unit, Oulu 90014, Finland; [Usoskin, Ilya; Mishev, Alexander] Univ Oulu, ReSoLVE Ctr Excellence, Oulu 90014, Finland; [Mishev, Alexander] Bulgarian Acad Sci, Inst Nucl Res &amp; Nucl Energy, Sofia 1784, Bulgaria; [Moraal, Harm; Krueger, Helena] North West Univ, Fac Nat Sci, ZA-2520 Potchefstroom, South Africa; [Casasanta, Giampietro] CNR, Inst Atmospher Sci &amp; Climate, I-00133 Rome, Italy; [Traversi, Rita; Udisti, Roberto] Univ Florence, Dept Chem Ugo Schiff, I-50019 Florence, Italy</t>
  </si>
  <si>
    <t>University of Oulu; University of Oulu; University of Oulu; Bulgarian Academy of Sciences; North West University - South Africa; Consiglio Nazionale delle Ricerche (CNR); Istituto di Scienze dell'Atmosfera e del Clima (ISAC-CNR); University of Florence</t>
  </si>
  <si>
    <t>Poluianov, S (corresponding author), Univ Oulu, Fac Sci, Oulu 90014, Finland.</t>
  </si>
  <si>
    <t>stepan.poluianov@oulu.fi</t>
  </si>
  <si>
    <t>Poluianov, Stepan/Q-6251-2019; Usoskin, Ilya/E-5089-2014</t>
  </si>
  <si>
    <t>Mishev, Alexander/0000-0002-7184-9664; Poluianov, Stepan/0000-0002-9119-4298; Usoskin, Ilya/0000-0001-8227-9081</t>
  </si>
  <si>
    <t>Academy of Finland [264378, 272157]; FINNARP (Finnish Antarctic Research Program); ReSoLVE Centre of Excellence (Academy of Finland) [272157]; Academy of Finland (AKA) [264378] Funding Source: Academy of Finland (AKA)</t>
  </si>
  <si>
    <t>Academy of Finland(Research Council of Finland); FINNARP (Finnish Antarctic Research Program); ReSoLVE Centre of Excellence (Academy of Finland); Academy of Finland (AKA)(Research Council of Finland)</t>
  </si>
  <si>
    <t>We are thankful to the personnel of the Concordia station for their great help and hard work in harsh conditions. We wish to acknowledge technical assistance from Gert Benade, Renier Fuchs, Hendrik Kruger, and Corrie Diedericks (all from the North-west University, Potchefstroom, South Africa), and Askar Ibragimov. This work is supported by the Academy of Finland (project 264378) and FINNARP (Finnish Antarctic Research Program). The work of Ilya Usoskin and Alexander Mishev was performed in the framework of the ReSoLVE Centre of Excellence (Academy of Finland, project 272157).</t>
  </si>
  <si>
    <t>KOREAN SPACE SCIENCE SOC</t>
  </si>
  <si>
    <t>134 SINCHON-DONG, SEODAEMUN-GU, SEOUL, 120-749, SOUTH KOREA</t>
  </si>
  <si>
    <t>2093-5587</t>
  </si>
  <si>
    <t>2093-1409</t>
  </si>
  <si>
    <t>J ASTRON SPACE SCI</t>
  </si>
  <si>
    <t>J. Astron. Space Sci.</t>
  </si>
  <si>
    <t>10.5140/JASS.2015.32.4.281</t>
  </si>
  <si>
    <t>VB7UJ</t>
  </si>
  <si>
    <t>WOS:000417291500001</t>
  </si>
  <si>
    <t>Graham, FS; Brown, JN; Wittenberg, AT; Holbrook, NJ</t>
  </si>
  <si>
    <t>Graham, Felicity S.; Brown, Jaclyn N.; Wittenberg, Andrew T.; Holbrook, Neil J.</t>
  </si>
  <si>
    <t>Reassessing Conceptual Models of ENSO</t>
  </si>
  <si>
    <t>Circulation; Dynamics; El Nino; ENSO; Feedback; Models and modeling; Ocean models</t>
  </si>
  <si>
    <t>SEA-SURFACE TEMPERATURE; COUPLED CLIMATE MODELS; WESTERLY WIND BURSTS; EQUATORIAL WAVE REFLECTION; OCEAN RECHARGE PARADIGM; TROPICAL PACIFIC-OCEAN; TONGUE EL-NINO; INTERANNUAL VARIABILITY; WARM-POOL; PART I</t>
  </si>
  <si>
    <t>The complex nature of the El Nino-Southern Oscillation (ENSO) is often simplified through the use of conceptual models, each of which offers a different perspective on the ocean-atmosphere feedbacks underpinning the ENSO cycle. One theory, the unified oscillator, combines a variety of conceptual frameworks in the form of a coupled system of delay differential equations. The system produces a self-sustained oscillation on interannual time scales. While the unified oscillator is assumed to provide a more complete conceptual framework of ENSO behaviors than the models it incorporates, its formulation and performance have not been systematically assessed. This paper investigates the accuracy of the unified oscillator through its ability to replicate the ENSO cycle modeled by flux-forced output from the Australian Community Climate and Earth-System Simulator Ocean Model (ACCESS-OM). The anomalous sea surface temperature equation reproduces the main features of the corresponding tendency modeled by ACCESS-OM reasonably well. However, the remaining equations for the thermocline depth anomaly and zonal wind stress anomalies are unable to accurately replicate the corresponding tendencies in ACCESS-OM. Modifications to the unified oscillator, including a diagnostic form of the zonal wind stress anomaly equations, improve its ability to emulate simulated ENSO tendencies. Despite these improvements, the unified oscillator model is less adept than the delayed oscillator model it incorporates in capturing ENSO behavior in ACCESS-OM, bringing into question its usefulness as a unifying ENSO framework.</t>
  </si>
  <si>
    <t>[Graham, Felicity S.; Holbrook, Neil J.] Univ Tasmania, Inst Marine &amp; Antarctic Studies, Hobart, Tas 7001, Australia; [Brown, Jaclyn N.] CSIRO, Oceans &amp; Atmosphere, Hobart, Tas, Australia; [Wittenberg, Andrew T.] NOAA, Geophys Fluid Dynam Lab, Princeton, NJ USA; [Holbrook, Neil J.] Australian Res Council, Ctr Excellence Climate Syst Sci, Hobart, Tas, Australia</t>
  </si>
  <si>
    <t>University of Tasmania; Commonwealth Scientific &amp; Industrial Research Organisation (CSIRO); National Oceanic Atmospheric Admin (NOAA) - USA</t>
  </si>
  <si>
    <t>Graham, FS (corresponding author), Univ Tasmania, Inst Marine &amp; Antarctic Studies, Private Bag 129, Hobart, Tas 7001, Australia.</t>
  </si>
  <si>
    <t>fsm@utas.edu.au</t>
  </si>
  <si>
    <t>Wittenberg, Andrew T/G-9619-2013; McCormack, Felicity/B-9218-2015; Holbrook, Neil/M-7544-2013</t>
  </si>
  <si>
    <t>Wittenberg, Andrew T/0000-0003-1680-8963; McCormack, Felicity/0000-0002-2324-2120; Holbrook, Neil/0000-0002-3523-6254</t>
  </si>
  <si>
    <t>Australian Postgraduate Award; CSIRO Wealth from Oceans scholarship</t>
  </si>
  <si>
    <t>Australian Postgraduate Award(Australian Government); CSIRO Wealth from Oceans scholarship</t>
  </si>
  <si>
    <t>The authors wish to thank Simon Marsland and the ACCESS modeling team for providing the data. F.S.G. is supported by an Australian Postgraduate Award and a CSIRO Wealth from Oceans scholarship. This paper makes a contribution to addressing the goals of the Australian Research Council Centre of Excellence for Climate System Science.</t>
  </si>
  <si>
    <t>45 BEACON ST, BOSTON, MA 02108-3693, UNITED STATES</t>
  </si>
  <si>
    <t>10.1175/JCLI-D-14-00812.1</t>
  </si>
  <si>
    <t>WOS:000365860500005</t>
  </si>
  <si>
    <t>Green, JAM; Schmittner, A</t>
  </si>
  <si>
    <t>Green, J. A. M.; Schmittner, A.</t>
  </si>
  <si>
    <t>Climatic Consequences of a Pine Island Glacier Collapse</t>
  </si>
  <si>
    <t>Geographic location; entity; Ice sheets; Circulation; Dynamics; Meridional overturning circulation; Thermocline circulation; Models and modeling; Coupled models</t>
  </si>
  <si>
    <t>ANTARCTIC ICE-SHEET; WEST ANTARCTICA; SOUTHERN-OCEAN; NORTH-ATLANTIC; MASS-BALANCE; FRESH-WATER; SEA-ICE; CIRCULATION; RETREAT; SENSITIVITY</t>
  </si>
  <si>
    <t>An intermediate-complexity climate model is used to simulate the impact of an accelerated Pine Island Glacier mass loss on the large-scale ocean circulation and climate. Simulations are performed for preindustrial conditions using hosing levels consistent with present-day observations of 3000 m(3) s(-1), at an accelerated rate of 6000 m(3) s(-1), and at a total collapse rate of 100 000 m(3) s(-1), and in all experiments the hosing lasted 100 years. It is shown that even a modest input of meltwater from the glacier can introduce an initial cooling over the upper part of the Southern Ocean due to increased stratification and ice cover, leading to a reduced upward heat flux from Circumpolar Deep Water. This causes global ocean heat content to increase and global surface air temperatures to decrease. The Atlantic meridional overturning circulation (AMOC) increases, presumably owing to changes in the density difference between Antarctic Intermediate Water and North Atlantic Deep Water. Simulations with a simultaneous hosing and increases of atmospheric CO2 concentrations show smaller effects of the hosing on global surface air temperature and ocean heat content, which the authors attribute to the melting of Southern Ocean sea ice. The sensitivity of the AMOC to the hosing is also reduced as the warming by the atmosphere completely dominates the perturbations.</t>
  </si>
  <si>
    <t>[Green, J. A. M.] Bangor Univ, Sch Ocean Sci, Menai Bridge LL59 5AB, Gwynedd, Wales; [Schmittner, A.] Oregon State Univ, Coll Earth Ocean &amp; Atmosphere Sci, Corvallis, OR 97331 USA</t>
  </si>
  <si>
    <t>Bangor University; Oregon State University</t>
  </si>
  <si>
    <t>Green, JAM (corresponding author), Bangor Univ, Sch Ocean Sci, Askew St, Menai Bridge LL59 5AB, Gwynedd, Wales.</t>
  </si>
  <si>
    <t>m.green@bangor.ac.uk</t>
  </si>
  <si>
    <t>Schmittner, Andreas/0000-0002-8376-0843</t>
  </si>
  <si>
    <t>Climate Change Consortium for Wales; Natural Environmental Research Council [NE/F014821/1]; National Science Foundation; National Oceanic and Atmospheric Administration [NA13OAR4310133]; Natural Environment Research Council [NE/F014821/1, NE/I030208/1] Funding Source: researchfish; NERC [NE/I030208/1, NE/F014821/1] Funding Source: UKRI</t>
  </si>
  <si>
    <t>Climate Change Consortium for Wales; Natural Environmental Research Council(UK Research &amp; Innovation (UKRI)Natural Environment Research Council (NERC)); National Science Foundation(National Science Foundation (NSF)); National Oceanic and Atmospheric Administration(National Oceanic Atmospheric Admin (NOAA) - USA); Natural Environment Research Council(UK Research &amp; Innovation (UKRI)Natural Environment Research Council (NERC)); NERC(UK Research &amp; Innovation (UKRI)Natural Environment Research Council (NERC))</t>
  </si>
  <si>
    <t>JAMG acknowledges funding from the Climate Change Consortium for Wales and from the Natural Environmental Research Council (Grant NE/F014821/1). AS is supported by grants from the National Science Foundation and the National Oceanic and Atmospheric Administration (Grant NA13OAR4310133). Comments from two anonymous reviewers and from the editor, Oleg Saenko, greatly improved the paper.</t>
  </si>
  <si>
    <t>10.1175/JCLI-D-15-0110.1</t>
  </si>
  <si>
    <t>WOS:000365860500010</t>
  </si>
  <si>
    <t>Parise, CK; Pezzi, LP; Hodges, KI; Justino, F</t>
  </si>
  <si>
    <t>Parise, Claudia K.; Pezzi, Luciano P.; Hodges, Kevin I.; Justino, Flavio</t>
  </si>
  <si>
    <t>The Influence of Sea Ice Dynamics on the Climate Sensitivity and Memory to Increased Antarctic Sea Ice</t>
  </si>
  <si>
    <t>Circulation; Dynamics; Annular mode; Atmosphere-ocean interaction; Feedback; Physical Meteorology and Climatology; Climate sensitivity; Models and modeling; Climate models; Ensembles</t>
  </si>
  <si>
    <t>THICKNESS DISTRIBUTION; GLOBAL PRECIPITATION; SURFACE-TEMPERATURE; ATMOSPHERIC CO2; SOUTHERN-OCEAN; ANNULAR MODES; OZONE HOLE; PART I; CIRCULATION; VARIABILITY</t>
  </si>
  <si>
    <t>The study analyzes the sensitivity and memory of the Southern Hemisphere coupled climate system to increased Antarctic sea ice (ASI), taking into account the persistence of the sea ice maxima in the current climate. The mechanisms involved in restoring the climate balance under two sets of experiments, which differ in regard to their sea ice models, are discussed. The experiments are perturbed with extremes of ASI and integrated for 10 yr in a large 30-member ensemble. The results show that an ASI maximum is able to persist for similar to 4 yr in the current climate, followed by a negative sea ice phase. The sea ice insulating effect during the positive phase reduces heat fluxes south of 60 degrees S, while at the same time these are intensified at the sea ice edge. The increased air stability over the sea ice field strengthens the polar cell while the baroclinicity increases at midlatitudes. The mean sea level pressure is reduced (increased) over high latitudes (midlatitudes), typical of the southern annular mode (SAM) positive phase. The Southern Ocean (SO) becomes colder and fresher as the sea ice melts mainly through sea ice lateral melting, the consequence of which is an increase in the ocean stability by buoyancy and mixing changes. The climate sensitivity is triggered by the sea ice insulating process and the resulting freshwater pulse (fast response), while the climate equilibrium is restored by the heat stored in the SO subsurface layers (long response). It is concluded that the time needed for the ASI anomaly to be dissipated and/or melted is shortened by the sea ice dynamical processes.</t>
  </si>
  <si>
    <t>[Parise, Claudia K.] Natl Inst Space Res INPE, Ctr Weather Forecast &amp; Climate Studies CPTEC, Sao Jose Dos Campos, SP, Brazil; [Pezzi, Luciano P.] Natl Inst Space Res INPE, Earth Observat Gen Coordinat OBT, Sao Jose Dos Campos, SP, Brazil; [Hodges, Kevin I.] Univ Reading, Dept Meteorol, Reading RG6 2AH, Berks, England; [Justino, Flavio] Univ Fed Vicosa, Dept Agr Engn, Vicosa, MG, Brazil</t>
  </si>
  <si>
    <t>Instituto Nacional de Pesquisas Espaciais (INPE); Instituto Nacional de Pesquisas Espaciais (INPE); University of Reading; Universidade Federal de Vicosa</t>
  </si>
  <si>
    <t>Parise, CK (corresponding author), Natl Inst Space Res INPE, Av Astronaltas 1758,Jardim,Granja, BR-12227010 Sao Jose Dos Campos, SP, Brazil.</t>
  </si>
  <si>
    <t>claudiakparise@gmail.com</t>
  </si>
  <si>
    <t>Pezzi, Luciano P/O-4952-2015; Flavio, Justino/AAT-2037-2020; Pezzi, Luciano Ponzi/A-6473-2011; Pezzi, Luciano Ponzi/N-7271-2017</t>
  </si>
  <si>
    <t>Pezzi, Luciano Ponzi/0000-0001-6016-4320</t>
  </si>
  <si>
    <t>CNPq [140843/2011-6, 304633/2012-7]; Marine Sciences research grant (CAPES) [1992/2014]; Projects Atlantic Carbon Experiment (ACEx-CNPq) [558108/2009-1]</t>
  </si>
  <si>
    <t>CNPq(Conselho Nacional de Desenvolvimento Cientifico e Tecnologico (CNPQ)); Marine Sciences research grant (CAPES)(Coordenacao de Aperfeicoamento de Pessoal de Nivel Superior (CAPES)); Projects Atlantic Carbon Experiment (ACEx-CNPq)</t>
  </si>
  <si>
    <t>The authors acknowledge the GFDL Coupled Climate Model Development Team for providing a public version of the model and for all technical support, especially Stephen Griffies and Seth Underwood for their comments while setting up the model experiments. The first author acknowledges the scholarship from CNPq for the Project No. 140843/2011-6. The second author acknowledges support from CNPq, as a contribution for the PQ(CNPq) Project No. 304633/2012-7. This study is also a contribution to the Projects Atlantic Carbon Experiment (ACEx-CNPq) 558108/2009-1 and Marine Sciences research grant 1992/2014 (CAPES).</t>
  </si>
  <si>
    <t>10.1175/JCLI-D-14-00748.1</t>
  </si>
  <si>
    <t>CY9IO</t>
  </si>
  <si>
    <t>WOS:000366720800006</t>
  </si>
  <si>
    <t>Reisinger, RR; Keith, M; Andrews, RD; de Bruyn, PJN</t>
  </si>
  <si>
    <t>Reisinger, Ryan R.; Keith, Mark; Andrews, Russel D.; de Bruyn, P. J. N.</t>
  </si>
  <si>
    <t>Movement and diving of killer whales (Orcinus orca) at a Southern Ocean archipelago</t>
  </si>
  <si>
    <t>Killer whale; Orcinus orca; Movement; Diving; Tracking; Satellite tagging</t>
  </si>
  <si>
    <t>2 SYMPATRIC POPULATIONS; FINNED PILOT WHALES; ELEPHANT SEALS; MIROUNGA-LEONINA; VERTICAL-DISTRIBUTION; MIGRATORY MOVEMENTS; MARINE PREDATOR; CEPHALOPOD PREY; BEHAVIOR; DYNAMICS</t>
  </si>
  <si>
    <t>Eleven satellite tags were deployed on 9 killer whales at the Prince Edwards Islands in the Southern Ocean. State-space switching models were used to generate position estimates from Argos location data, while two behavioural modes were estimated from the data. Individuals were tracked for 5.6-53.2 days, during which time they moved 416-4470 km (mean 82.7 km day(-1)) but 69% of position estimates were within the 1000 m depth contour around the islands (&lt;35 km from the tagging site). Killer whales showed restricted behaviour close to the islands, particularly inshore where they can effectively hunt seals and penguins, and at seamounts to the north of the islands. Generalised linear mixed effect models were used to explore the relationship between environmental variables and behavioural mode. The best model included depth, sea surface temperature, latitude, sea surface height anomaly and bottom slope, but killer whales did not clearly target features such as fronts and apparent mesoscale eddies. Killer whales showed restricted behaviour in shallow water, at high latitudes and low sea surface temperature the conditions characterising the archipelago. Dive data from two individuals largely revealed shallow dives (7.5-50 m deep), but deeper dive bouts to around 368 m were also recorded. Dives were significantly deeper during the day and maximum dive depths were 767.5 and 499.5 m, respectively. This suggests that killer whales might also prey on vertically migrating cephalopods and perhaps Patagonian toothfish. Three individuals made rapid and directed long-distance movements northwards of the islands, the reasons for which are speculative. (C) 2015 Elsevier B.V. All rights reserved.</t>
  </si>
  <si>
    <t>[Reisinger, Ryan R.; de Bruyn, P. J. N.] Univ Pretoria, Dept Zool &amp; Entomol, Mammal Res Inst, ZA-0028 Hatfield, South Africa; [Keith, Mark] Univ Pretoria, Ctr Wildlife Management, ZA-0028 Hatfield, South Africa; [Keith, Mark] Univ Alaska Fairbanks, Sch Fisheries &amp; Ocean Sci, Fairbanks, AK 99709 USA; [Andrews, Russel D.] Alaska SeaLife Ctr, Seward, AK 99664 USA</t>
  </si>
  <si>
    <t>University of Pretoria; University of Pretoria; University of Alaska System; University of Alaska Fairbanks</t>
  </si>
  <si>
    <t>Reisinger, RR (corresponding author), Nelson Mandela Metropolitan Univ, Dept Zool, POB 77000, ZA-6031 Port Elizabeth, South Africa.</t>
  </si>
  <si>
    <t>ryan.r.reisinger@gmail.com</t>
  </si>
  <si>
    <t>Keith, Mark/Q-1527-2018; Keith, Mark/A-2458-2015; de Bruyn, P. J. Nico/E-4176-2010; Reisinger, Ryan R/D-6151-2014</t>
  </si>
  <si>
    <t>Keith, Mark/0000-0001-7179-9989; Keith, Mark/0000-0001-6690-2718; de Bruyn, P. J. Nico/0000-0002-9114-9569; Reisinger, Ryan R/0000-0002-8933-6875; Andrews, Russel/0000-0002-4545-137X</t>
  </si>
  <si>
    <t>National Research Foundation Thuthuka [76230]; South African National Antarctic programmes through the Department of Science and Technology, Republic of South Africa [93071]; Mohamed bin Zayed Species Conservation Fund [10251290]</t>
  </si>
  <si>
    <t>National Research Foundation Thuthuka; South African National Antarctic programmes through the Department of Science and Technology, Republic of South Africa; Mohamed bin Zayed Species Conservation Fund</t>
  </si>
  <si>
    <t>We thank Dawn Cory-Toussaint, Nadia Hansa and Chris Oosthuizen for their outstanding efforts in the field, as well as the 'Sealers' of Marion Island overwintering expeditions M68-M70 for their support in the field. David Hedding assisted with bathymetry data. Funding was provided by the National Research Foundation Thuthuka (Grant: 76230) and South African National Antarctic programmes (Grant: 93071), through the Department of Science and Technology, Republic of South Africa, the Mohamed bin Zayed Species Conservation Fund (project number: 10251290) and the International Whaling Commission's Southern Ocean Research Partnership (IWC-SORP Project 2). The Department of Environmental Affairs provided logistical support. We acknowledge the data providers listed in Table 2. We thank an anonymous reviewer for comments on this paper. [SS]</t>
  </si>
  <si>
    <t>10.1016/j.jembe.2015.08.008</t>
  </si>
  <si>
    <t>CV4TI</t>
  </si>
  <si>
    <t>WOS:000364259000011</t>
  </si>
  <si>
    <t>Selyuzhenok, V; Krumpen, T; Mahoney, A; Janout, M; Gerdes, R</t>
  </si>
  <si>
    <t>Selyuzhenok, V.; Krumpen, T.; Mahoney, A.; Janout, M.; Gerdes, R.</t>
  </si>
  <si>
    <t>Seasonal and interannual variability of fast ice extent in the southeastern Laptev Sea between 1999 and 2013</t>
  </si>
  <si>
    <t>fast ice; sea ice; Arctic; Laptev Sea</t>
  </si>
  <si>
    <t>SHORE-FAST ICE; LANDFAST ICE; DISCHARGE</t>
  </si>
  <si>
    <t>Along with changes in sea ice extent, thickness, and drift speed, Arctic sea ice regime is characterized by a decrease of fast ice season and reduction of fast ice extent. The most extensive fast ice cover in the Arctic develops in the southeastern Laptev Sea. Using weekly operational sea ice charts produced by Arctic and Antarctic Research Institute (AARI, Russia) from 1999 to 2013, we identified five main key events that characterize the annual evolution of fast ice in the southeastern Laptev Sea. Linking the occurrence of the key events with the atmospheric forcing, bathymetry, freezeup, and melt onset, we examined the processes driving annual fast ice cycle. The analysis revealed that fast ice in the region is sensitive to thermodynamic processes throughout a season, while the wind has a strong influence only on the first stages of fast ice development. The maximal fast ice extent is closely linked to the bathymetry and local topography and is primarily defined by the location of shoals, where fast ice is likely grounded. The annual fast ice cycle shows significant changes over the period of investigation, with tendencies toward later fast ice formation and earlier breakup. These tendencies result in an overall decrease of the fast ice season by 2.8 d/yr, which is significantly higher than previously reported trends.</t>
  </si>
  <si>
    <t>[Selyuzhenok, V.; Krumpen, T.; Janout, M.; Gerdes, R.] Alfred Wegener Inst Helmholtz Zentrum Polar &amp; Mee, Bremerhaven, Germany; [Mahoney, A.] Univ Alaska, Inst Geophys, Fairbanks, AK 99701 USA; [Gerdes, R.] Jacobs Univ Bremen, Dept Phys &amp; Earth Sci, D-28759 Bremen, Germany</t>
  </si>
  <si>
    <t>Helmholtz Association; Alfred Wegener Institute, Helmholtz Centre for Polar &amp; Marine Research; University of Alaska System; University of Alaska Fairbanks; Jacobs University</t>
  </si>
  <si>
    <t>Selyuzhenok, V (corresponding author), Alfred Wegener Inst Helmholtz Zentrum Polar &amp; Mee, Bremerhaven, Germany.</t>
  </si>
  <si>
    <t>valeria.selyuzhenok@awi.de</t>
  </si>
  <si>
    <t>Krumpen, Thomas/D-5163-2011; Janout, Markus/AAI-7219-2020; Selyuzhenok, Valeria/K-8715-2016</t>
  </si>
  <si>
    <t>Krumpen, Thomas/0000-0001-6234-8756; Janout, Markus/0000-0003-4908-2855; Selyuzhenok, Valeria/0000-0001-9388-5706</t>
  </si>
  <si>
    <t>Helmholtz Graduate School for Polar and Marine Research POLMAR; European Space Agency project Formation, Transport and Distribution of Sediment-laden Sea-ice in the Arctic Shelf Seas [EO-500]</t>
  </si>
  <si>
    <t>Helmholtz Graduate School for Polar and Marine Research POLMAR; European Space Agency project Formation, Transport and Distribution of Sediment-laden Sea-ice in the Arctic Shelf Seas</t>
  </si>
  <si>
    <t>This work was funded by Helmholtz Graduate School for Polar and Marine Research POLMAR. The operational sea ice maps were obtained freely through the World Meteorological Organisation project Global Digital Sea Ice Data Bank Project'' (http://wdc.aari.ru/datasets/d0004/Lap/sigrid/). The ENVISAT SAR images were obtained through the European Space Agency project Formation, Transport and Distribution of Sediment-laden Sea-ice in the Arctic Shelf Seas (EO-500).'' The yearly maps of freezeup and melt onset were obtained from the Cryosphere Science Research Portal (http://neptune.gsfc.nasa.gov/csb/index.php?section554). We are grateful to Vera Fofonova for providing the digitized data from Kusur gauging station. We would also like to acknowledge Mario Hoppmann for his helpful comments on the manuscript.</t>
  </si>
  <si>
    <t>10.1002/2015JC011135</t>
  </si>
  <si>
    <t>WOS:000369153200005</t>
  </si>
  <si>
    <t>An, MJ; Wiens, DA; Zhao, Y; Feng, M; Nyblade, A; Kanao, M; Li, YS; Maggi, A; Lévêque, JJ</t>
  </si>
  <si>
    <t>An, Meijian; Wiens, Douglas A.; Zhao, Yue; Feng, Mei; Nyblade, Andrew; Kanao, Masaki; Li, Yuansheng; Maggi, Alessia; Leveque, Jean-Jacques</t>
  </si>
  <si>
    <t>Temperature, lithosphere-asthenosphere boundary, and heat flux beneath the Antarctic Plate inferred from seismic velocities</t>
  </si>
  <si>
    <t>UPPER-MANTLE TEMPERATURES; THERMAL STRUCTURE; ELECTRICAL-CONDUCTIVITY; TECTONIC EVOLUTION; CONTINENTAL-CRUST; UPPERMOST MANTLE; WAVE TOMOGRAPHY; MELT EXTRACTION; PACIFIC MARGIN; ICE-SHEET</t>
  </si>
  <si>
    <t>We estimate the upper mantle temperature of the Antarctic Plate based on the thermoelastic properties of mantle minerals and S velocities using a new 3-D shear velocity model, AN1-S. Crustal temperatures and surface heat fluxes are then calculated from the upper mantle temperature assuming steady state thermal conduction. The temperature at the top of the asthenosphere beneath the oceanic region and West Antarctica is higher than the dry mantle solidus, indicating the presence of melt. From the temperature values, we generate depth maps of the lithosphere-asthenosphere boundary and the Curie temperature isotherm. The maps show that East Antarctica has a thick lithosphere similar to that of other stable cratons, with the thickest lithosphere (similar to 250 km) between Domes A and C. The thin crust and lithosphere beneath West Antarctica are similar to those of modern subduction-related rift systems in East Asia. A cold region beneath the Antarctic Peninsula is similar in spatial extent to that of a flat-subducted slab beneath the southern Andes, indicating a possible remnant of the Phoenix Plate, which was subducted prior to 10Ma. The oceanic lithosphere generally thickens with increasing age, and the age-thickness correlation depends on the spreading rate of the ridge that formed the lithosphere. Significant flattening of the age-thickness curves is not observed for the mature oceanic lithosphere of the Antarctic Plate.</t>
  </si>
  <si>
    <t>[An, Meijian; Zhao, Yue; Feng, Mei] Chinese Acad Geol Sci, Inst Geomech, Beijing, Peoples R China; [Wiens, Douglas A.] Washington Univ, Dept Earth &amp; Planetary Sci, St Louis, MO 63130 USA; [Nyblade, Andrew] Penn State Univ, Dept Geosci, University Pk, PA 16802 USA; [Kanao, Masaki] Natl Inst Polar Res, Tokyo, Japan; [Li, Yuansheng] Polar Res Inst China, Shanghai, Peoples R China; [Maggi, Alessia; Leveque, Jean-Jacques] Univ Strasbourg, EOST, CNRS, Inst Phys Globe Strasbourg, Strasbourg, France</t>
  </si>
  <si>
    <t>China Geological Survey; Institute of Geomechanics, Chinese Academy of Geological Sciences; Chinese Academy of Geological Sciences; Washington University (WUSTL); Pennsylvania Commonwealth System of Higher Education (PCSHE); Pennsylvania State University; Pennsylvania State University - University Park; Research Organization of Information &amp; Systems (ROIS); National Institute of Polar Research (NIPR) - Japan; Polar Research Institute of China; Centre National de la Recherche Scientifique (CNRS); Universites de Strasbourg Etablissements Associes; Universite de Strasbourg</t>
  </si>
  <si>
    <t>An, MJ (corresponding author), Chinese Acad Geol Sci, Inst Geomech, Beijing, Peoples R China.</t>
  </si>
  <si>
    <t>meijianan@live.com</t>
  </si>
  <si>
    <t>Maggi, Alessia/P-5041-2016; Wiens, Douglas A/J-9259-2016</t>
  </si>
  <si>
    <t>Maggi, Alessia/0000-0001-8859-8948;</t>
  </si>
  <si>
    <t>National Natural Science Foundation of China [40874021]; Chinese Polar Environment Comprehensive Investigation and Assessment Programmes [CHINARE2013-04-02]; Chinese IPY projects; U.S. National Science Foundation [ANT-0537597, ANT-0632209]; Directorate For Geosciences; Office of Polar Programs (OPP) [1246776] Funding Source: National Science Foundation; Office of Polar Programs (OPP); Directorate For Geosciences [1246712] Funding Source: National Science Foundation; Grants-in-Aid for Scientific Research [26241010] Funding Source: KAKEN</t>
  </si>
  <si>
    <t>National Natural Science Foundation of China(National Natural Science Foundation of China (NSFC)); Chinese Polar Environment Comprehensive Investigation and Assessment Programmes; Chinese IPY projects; U.S. 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</si>
  <si>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This work was funded by the National Natural Science Foundation of China (grant 40874021), Chinese Polar Environment Comprehensive Investigation and Assessment Programmes (CHINARE2013-04-02), Chinese IPY projects, and the U.S. National Science Foundation (grants ANT-0537597 and ANT-0632209). Detailed constructive comments from the Associate Editor and two anonymous reviewers helped improve the text. We thank the Associate Editor, Anya M. Reading, and an anonymous reviewer for numerous comments on our companion paper, An et al. [2015]. All figures were generated using Generic Mapping Tools [Wessel and Smith, 1991]. The temperature models and LAB-depth map are available through http://www.seismolab.org.</t>
  </si>
  <si>
    <t>10.1002/2015JB011917</t>
  </si>
  <si>
    <t>WOS:000372204600041</t>
  </si>
  <si>
    <t>Forsyth, C; Rae, IJ; Coxon, JC; Freeman, MP; Jackman, CM; Gjerloev, J; Fazakerley, AN</t>
  </si>
  <si>
    <t>Forsyth, C.; Rae, I. J.; Coxon, J. C.; Freeman, M. P.; Jackman, C. M.; Gjerloev, J.; Fazakerley, A. N.</t>
  </si>
  <si>
    <t>A new technique for determining Substorm Onsets and Phases from Indices of the Electrojet (SOPHIE)</t>
  </si>
  <si>
    <t>GROWTH-PHASE; MAGNETOSPHERIC SUBSTORMS; EXPANSION PHASE; DURATION; AE</t>
  </si>
  <si>
    <t>We present a new quantitative technique that determines the times and durations of substorm expansion and recovery phases and possible growth phases based on percentiles of the rate of change of auroral electrojet indices. By being able to prescribe different percentile values, we can determine the onset and duration of substorm phases for smaller or larger variations of the auroral index or indeed any auroral zone ground-based magnetometer data. We apply this technique to the SuperMAG AL (SML) index and compare our expansion phase onset times with previous lists of substorm onsets. We find that more than 50% of events in previous lists occur within 20 min of our identified onsets. We also present a comparison of superposed epoch analyses of SML based on our onsets identified by our technique and existing onset lists and find that the general characteristics of the substorm bay are comparable. By prescribing user-defined thresholds, this automated, quantitative technique represents an improvement over any visual identification of substorm onsets or indeed any fixed threshold method.</t>
  </si>
  <si>
    <t>[Forsyth, C.; Rae, I. J.; Fazakerley, A. N.] UCL Mullard Space Sci Lab, Dorking, Surrey, England; [Coxon, J. C.; Jackman, C. M.] Univ Southampton, Dept Phys &amp; Astron, Southampton, Hants, England; [Freeman, M. P.] British Antarctic Survey, Cambridge CB3 0ET, England; [Gjerloev, J.] Johns Hopkins Univ, Appl Phys Lab, Laurel, MD USA; [Gjerloev, J.] Univ Bergen, Birkeland Ctr Excellence, Bergen, Norway</t>
  </si>
  <si>
    <t>University of London; University College London; University of Southampton; UK Research &amp; Innovation (UKRI); Natural Environment Research Council (NERC); NERC British Antarctic Survey; Johns Hopkins University; Johns Hopkins University Applied Physics Laboratory; University of Bergen</t>
  </si>
  <si>
    <t>Forsyth, C (corresponding author), UCL Mullard Space Sci Lab, Dorking, Surrey, England.</t>
  </si>
  <si>
    <t>colin.forsyth@ucl.ac.uk</t>
  </si>
  <si>
    <t>Gjerloev, Jesper/C-2116-2016; Coxon, John/AAN-9355-2021; Rae, Jonathan/D-8132-2013; Freeman, Mervyn/E-5687-2019; Forsyth, Colin/E-4159-2010</t>
  </si>
  <si>
    <t>Coxon, John/0000-0002-0166-6854; Rae, Jonathan/0000-0002-2637-4786; Freeman, Mervyn/0000-0002-8653-8279; Forsyth, Colin/0000-0002-0026-8395; Jackman, Caitriona/0000-0003-0635-7361</t>
  </si>
  <si>
    <t>Natural Environment Research Council (NERC) [NE/L007495/1, NE/M00886X/1]; Science and Technology Facilities Council (STFC) [ST/L000563/1]; NERC [NE/L007177/1, NE/L006456/1]; STFC Ernest Rutherford Fellowship; STFC [ST/K000977/1, ST/L005638/1]; NERC [NE/L007177/1, NE/L007495/1, NE/L006456/1, NE/M00886X/1, bas0100031] Funding Source: UKRI; STFC [ST/L000563/1, ST/K000977/1] Funding Source: UKRI; Natural Environment Research Council [NE/L007495/1, NE/L006456/1, NE/M00886X/1, bas0100031, NE/L007177/1] Funding Source: researchfish; Science and Technology Facilities Council [ST/L000563/1, ST/K000977/1] Funding Source: researchfish; UK Space Agency [ST/L005638/1] Funding Source: researchfish</t>
  </si>
  <si>
    <t>Natural Environment Research Council (NERC)(UK Research &amp; Innovation (UKRI)Natural Environment Research Council (NERC)); Science and Technology Facilities Council (STFC)(UK Research &amp; Innovation (UKRI)Science &amp; Technology Facilities Council (STFC)Science and Technology Development Fund (STDF)); NERC(UK Research &amp; Innovation (UKRI)Natural Environment Research Council (NERC)); STFC Ernest Rutherford Fellowship(UK Research &amp; Innovation (UKRI)Science &amp; Technology Facilities Council (STFC)); STFC(UK Research &amp; Innovation (UKRI)Science &amp; Technology Facilities Council (STFC));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UK Space Agency</t>
  </si>
  <si>
    <t>For the SuperMAG indices and ground magnetometer data, we gratefully acknowledge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AUTUMN, PI Martin Connors; DTU Space, PI Jurgen Matzka; South Pole and McMurdo Magnetometer, PI's Louis J. Lanzarotti and Alan T. Weatherwax; ICESTAR; RAPIDMAG; PENGUIn; British Antarctic Survey; McMac, PI Peter Chi; BGS, PI Susan Macmillan; Pushkov Institute of Terrestrial Magnetism, Ionosphere and Radio Wave Propagation (IZMIRAN); GFZ, PI Jurgen Matzka; MFGI, PI B. Heilig; IGFPAS, PI J. Reda; University of L'Aquila, PI M. Vellante; and SuperMAG, PI Jesper W. Gjerloev. The SuperMAG SML indices and substorm onsets can be downloaded from http://supermag.jhuapl.edu. C.F. and I.J.R. are funded in part by Natural Environment Research Council (NERC) grants NE/L007495/1 and NE/M00886X/1 and IJR by Science and Technology Facilities Council (STFC) grant ST/L000563/1. C.M.J. and J.C.C. are funded by NERC grant NE/L007177/1. C.M.J. is also supported by an STFC Ernest Rutherford Fellowship. M.P.F.'s contribution is funded by NERC grant NE/L006456/1. A.N.F. is funded by STFC grants ST/K000977/1 and ST/L005638/1.</t>
  </si>
  <si>
    <t>10.1002/2015JA021343</t>
  </si>
  <si>
    <t>Green Submitted, hybrid, Green Accepted, Green Published</t>
  </si>
  <si>
    <t>WOS:000369180200030</t>
  </si>
  <si>
    <t>Knappy, C; Barillà, D; Chong, J; Hodgson, D; Morgan, H; Suleman, M; Tan, C; Yao, P; Keely, B</t>
  </si>
  <si>
    <t>Knappy, Chris; Barilla, Daniela; Chong, James; Hodgson, Dominic; Morgan, Hugh; Suleman, Muhammad; Tan, Christine; Yao, Peng; Keely, Brendan</t>
  </si>
  <si>
    <t>Mono-, di- and trimethylated homologues of isoprenoid tetraether lipid cores in archaea and environmental samples: mass spectrometric identification and significance</t>
  </si>
  <si>
    <t>JOURNAL OF MASS SPECTROMETRY</t>
  </si>
  <si>
    <t>LC-MS/MS; GDGT; isoprenoid; methylated tetraether lipid homologue; archaea</t>
  </si>
  <si>
    <t>DIALKYL GLYCEROL TETRAETHER; ETHER LIPIDS; MEMBRANE-LIPIDS; POLAR LIPIDS; GEN. NOV.; SEDIMENTS; CALDARIELLA; TEMPERATURE; SULFOLOBUS; CHAIN</t>
  </si>
  <si>
    <t>Higher homologues of widely reported C-86 isoprenoid diglycerol tetraether lipid cores, containing 0-6 cyclopentyl rings, have been identified in (hyper)thermophilic archaea, representing up to 21% of total tetraether lipids in the cells. Liquid chromatography-tandem mass spectrometry confirms that the additional carbon atoms in the C87-88 homologues are located in the etherified chains. Structures identified include dialkyl and monoalkyl (H-shaped') tetraethers containing C40-42 or C81-82 hydrocarbons, respectively, many representing novel compounds. Gas chromatography-mass spectrometric analysis of hydrocarbons released from the lipid cores by ether cleavage suggests that the C-40 chains are biphytanes and the C-41 chains 13-methylbiphytanes. Multiple isomers, having different chain combinations, were recognised among the dialkyl lipids. Methylated tetraethers are produced by Methanothermobacter thermautotrophicus in varying proportions depending on growth conditions, suggesting that methylation may be an adaptive mechanism to regulate cellular function. The detection of methylated lipids in Pyrobaculum sp. AQ1.S2 and Sulfolobus acidocaldarius represents the first reported occurrences in Crenarchaeota. Soils and aquatic sediments from geographically distinct mesotemperate environments that were screened for homologues contained monomethylated tetraethers, with di- and trimethylated structures being detected occasionally. The structural diversity and range of occurrences of the C87-89 tetraethers highlight their potential as complementary biomarkers for archaea in natural environments. Copyright (c) 2015 John Wiley &amp; Sons, Ltd.</t>
  </si>
  <si>
    <t>[Knappy, Chris; Suleman, Muhammad; Yao, Peng; Keely, Brendan] Univ York, Dept Chem, York YO10 5DD, N Yorkshire, England; [Barilla, Daniela; Chong, James] Univ York, Dept Biol, York YO10 5DD, N Yorkshire, England; [Hodgson, Dominic] British Antarctic Survey, Cambridge CB3 0ET, England; [Morgan, Hugh; Tan, Christine] Univ Waikato, Thermophile Res Unit, Hamilton, New Zealand; [Suleman, Muhammad] Univ Agr, Dept Agr Chem, Peshawar 25130, Khyber Pakhtunk, Pakistan; [Yao, Peng] Ocean Univ China, Key Lab Marine Chem Theory &amp; Technol, Minist Educ, Qingdao 266100, Peoples R China</t>
  </si>
  <si>
    <t>University of York - UK; University of York - UK; UK Research &amp; Innovation (UKRI); Natural Environment Research Council (NERC); NERC British Antarctic Survey; University of Waikato; Agricultural University Peshawar; University of Agriculture Faisalabad; Ocean University of China</t>
  </si>
  <si>
    <t>Keely, B (corresponding author), Univ York, Dept Chem, York YO10 5DD, N Yorkshire, England.</t>
  </si>
  <si>
    <t>brendan.keely@york.ac.uk</t>
  </si>
  <si>
    <t>Chong, James/AAC-4957-2019</t>
  </si>
  <si>
    <t>Chong, James/0000-0001-9447-7421; Barilla, Daniela/0000-0002-3486-7492; Keely, Brendan John/0000-0002-8560-1862</t>
  </si>
  <si>
    <t>Northern Way Initiative; National Natural Science Foundation of China [41176063, 41221004]; Biotechnology and Biological Sciences Research Council [BB/K006630/1, BB/F003099/1] Funding Source: researchfish; Natural Environment Research Council [bas0100030] Funding Source: researchfish; BBSRC [BB/F003099/1, BB/K006630/1] Funding Source: UKRI; NERC [bas0100030] Funding Source: UKRI</t>
  </si>
  <si>
    <t>Northern Way Initiative; National Natural Science Foundation of China(National Natural Science Foundation of China (NSFC)); Biotechnology and Biological Sciences Research Council(UK Research &amp; Innovation (UKRI)Biotechnology and Biological Sciences Research Council (BBSRC));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</si>
  <si>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The York Centre of Excellence in Mass Spectrometry was created thanks to a major capital investment through Science City York, supported by Yorkshire Forward with funds from the Northern Way Initiative. Peng Yao was supported by the National Natural Science Foundation of China (grant nos. 41176063 and 41221004) to collect samples in the Yangtze River Estuary and East China Sea and to work in the University of York. The authors would like to acknowledge M. Danson and C. Nunn (University of Bath, UK) and C. Page for the provision of samples briefly discussed in the article, S. Jones, R. Lakey, C. Poplawski and O. Wale (University of York) for the help with sample preparation and K. Heaton (University of York) for support with GC-MS analyses</t>
  </si>
  <si>
    <t>1076-5174</t>
  </si>
  <si>
    <t>1096-9888</t>
  </si>
  <si>
    <t>J MASS SPECTROM</t>
  </si>
  <si>
    <t>J. Mass Spectrom.</t>
  </si>
  <si>
    <t>10.1002/jms.3709</t>
  </si>
  <si>
    <t>CY1AY</t>
  </si>
  <si>
    <t>WOS:000366140000012</t>
  </si>
  <si>
    <t>Sciuto, K; Lewis, LA; Verleyen, E; Moro, I; La Rocca, N</t>
  </si>
  <si>
    <t>Sciuto, Katia; Lewis, Louise A.; Verleyen, Elie; Moro, Isabella; La Rocca, Nicoletta</t>
  </si>
  <si>
    <t>CHODATODESMUS AUSTRALIS SP NOV (SCENEDESMACEAE, CHLOROPHYTA) FROM ANTARCTICA, WITH THE EMENDED DESCRIPTION OF THE GENUS CHODATODESMUS, AND CIRCUMSCRIPTION OF FLECHTNERIA ROTUNDA GEN. ET SP NOV.</t>
  </si>
  <si>
    <t>JOURNAL OF PHYCOLOGY</t>
  </si>
  <si>
    <t>18S rDNA; Chodatodesmus australis; Flechtneria rotunda; ITS2; rbcL; Scenedesmaceae; tufA</t>
  </si>
  <si>
    <t>COCCOID GREEN-ALGAE; PHYLOGENETIC-RELATIONSHIPS; POLYPHASIC CHARACTERIZATION; SEQUENCE; ITS2; DATABASE; ALIGNMENT; MODEL; RDNA; SPHAEROPLEALES</t>
  </si>
  <si>
    <t>The family Scenedesmaceae is a taxonomically complicated group due to its simple morphology, high phenotypic plasticity, and the presence of cryptic taxa. Over the years several taxonomic revisions, based on molecular data, affected the family. Here, we describe a new scenedesmacean species from Antarctica, Chodatodesmus australis, based on phylogenetic analyses of data from nuclear (ITS2 spacer, 18S rDNA), and plastid (rbcL, tufA) markers. Morphological (LM and SEM) and ultrastructural (TEM) observations, carried out both on the holotype of C. australis and on the generitype of Chodatodesmus, allow us to emend the original generic description of this genus. Our molecular and phylogenetic data also reveal the existence of a new monotypic genus, Flechtneria, inside the family Scenedesmaceae and lead to the taxonomic reassignment of some microalgal strains available in International Culture Collections to new taxa. Of the considered genomic regions, the tufA gene was the easiest to amplify and sequence and it showed the highest phylogenetic signal, even if the number of sequences already available for this marker in the public databases was considerably lower than for the other chosen loci. The rbcL gene also provided good phylogenetic signal, but its amplification and sequencing were generally more problematic. The nuclear markers gave lower phylogenetic signals, but the 18S rDNA allowed distinction at the genus level and the ITS2 spacer had the advantage that secondary structures could be considered in the analyses. The use of more than one molecular locus is suggested to obtain reliable results in the characterization of scenedesmacean strains.</t>
  </si>
  <si>
    <t>[Sciuto, Katia; Moro, Isabella; La Rocca, Nicoletta] Univ Padua, Dept Biol, Via U Bassi 58-B, I-35131 Padua, Italy; [Lewis, Louise A.] Univ Connecticut, Dept Ecol &amp; Evolutionary Biol, Storrs, CT 06269 USA; [Verleyen, Elie] Univ Ghent, Lab Protistol &amp; Aquat Ecol, Krijgslaan 281-S8, B-9000 Ghent, Belgium</t>
  </si>
  <si>
    <t>University of Padua; University of Connecticut; Ghent University</t>
  </si>
  <si>
    <t>Moro, I (corresponding author), Univ Padua, Dept Biol, Via U Bassi 58-B, I-35131 Padua, Italy.</t>
  </si>
  <si>
    <t>isabella.moro@unipd.it</t>
  </si>
  <si>
    <t>Sciuto, Katia/Q-2282-2018; La Rocca, Nicoletta/AAA-2241-2021; Sciuto, Katia/Y-1035-2019</t>
  </si>
  <si>
    <t>La Rocca, Nicoletta/0000-0003-4866-5952; Sciuto, Katia/0000-0001-7426-8497; Lewis, Louise/0000-0003-0695-5134</t>
  </si>
  <si>
    <t>Progetto di Ateneo, University of Padova; PRAT [CPDA113758]; Italian National Programme of Antarctic Research (P.N.R.A.) [2009/A1.03]; U.S.A. National Science Foundation [DEB-1036448]; Direct For Biological Sciences; Division Of Environmental Biology [1036448] Funding Source: National Science Foundation</t>
  </si>
  <si>
    <t>Progetto di Ateneo, University of Padova; PRAT; Italian National Programme of Antarctic Research (P.N.R.A.); U.S.A. National Science Foundation(National Science Foundation (NSF)); Direct For Biological Sciences; Division Of Environmental Biology(National Science Foundation (NSF)NSF - Directorate for Biological Sciences (BIO))</t>
  </si>
  <si>
    <t>This work was supported by Progetto di Ateneo, University of Padova, PRAT 2011, cod. CPDA113758, by Italian National Programme of Antarctic Research (P.N.R.A.) 2009/A1.03, and by U.S.A. National Science Foundation Award DEB-1036448 (to LAL). We thank Carlo Andreoli for supplying the Gondwana strain and Wim Vyverman and Dominic A. Hodgson for the other Antarctic samples obtained within the BelSPO-funded projects HOLANT and AMBIO. Last but not least, we are grateful to Prof. Giovanni Furnari for his valuable nomenclatural support.</t>
  </si>
  <si>
    <t>0022-3646</t>
  </si>
  <si>
    <t>1529-8817</t>
  </si>
  <si>
    <t>J PHYCOL</t>
  </si>
  <si>
    <t>J. Phycol.</t>
  </si>
  <si>
    <t>10.1111/jpy.12355</t>
  </si>
  <si>
    <t>DB3TA</t>
  </si>
  <si>
    <t>WOS:000368433300015</t>
  </si>
  <si>
    <t>Jones, DC; Ito, T; Birner, T; Klocker, A; Munday, D</t>
  </si>
  <si>
    <t>Jones, Daniel C.; Ito, Takamitsu; Birner, Thomas; Klocker, Andreas; Munday, David</t>
  </si>
  <si>
    <t>Planetary-Geometric Constraints on Isopycnal Slope in the Southern Ocean</t>
  </si>
  <si>
    <t>Geographic location; entity; Southern Ocean; Circulation; Dynamics; Eddies; Instability; Ocean circulation; Ocean dynamics; Synoptic climatology</t>
  </si>
  <si>
    <t>ANTARCTIC CIRCUMPOLAR CURRENT; CLIMATE-CHANGE; OVERTURNING CIRCULATION; POTENTIAL VORTICITY; EDDIES; MODEL; ADJUSTMENT; DYNAMICS; CURRENTS; STRESS</t>
  </si>
  <si>
    <t>On planetary scales, surface wind stress and differential buoyancy forcing act together to produce isopycnal surfaces that are relatively flat in the tropics/subtropics and steep near the poles, where they tend to outcrop. Tilted isopycnals in a rapidly rotating fluid are subject to baroclinic instability. The turbulent, mesoscale eddies generated by this instability have a tendency to homogenize potential vorticity (PV) along density surfaces. In the Southern Ocean (SO), the tilt of isopycnals is largely maintained by competition between the steepening effect of surface forcing and the flattening effect of turbulent, spatially inhomogeneous eddy fluxes of PV. Here quasigeostrophic theory is used to investigate the influence of a planetary-geometric constraint on the equilibrium slope of tilted density/buoyancy surfaces in the SO. If the meridional gradients of relative vorticity and PV are small relative to , then quasigeostrophic theory predicts ds/dz = /f(0) = cot(phi(0))/a, or equivalently r |(z)s/(/f(0))| = 1, where f is the Coriolis parameter, is the meridional gradient of f, s is the isopycnal slope, phi(0) is a reference latitude, a is the planetary radius, and r is the depth-averaged criticality parameter. It is found that the strict r = 1 condition holds over specific averaging volumes in a large-scale climatology. A weaker r = O(1) condition for depth-averaged quantities is generally satisfied away from large bathymetric features. The r = O(1) constraint is employed to derive a depth scale to characterize large-scale interior stratification, and an idealized sector model is used to test the sensitivity of this relationship to surface wind forcing. Finally, the possible implications for eddy flux parameterization and for the sensitivity of SO circulation/stratification to changes in forcing are discussed.</t>
  </si>
  <si>
    <t>[Jones, Daniel C.; Munday, David] British Antarctic Survey, Nat Environm Res Council, Cambridge CB3 0ET, England; [Jones, Daniel C.; Ito, Takamitsu] Georgia Inst Technol, Sch Earth &amp; Atmospher Sci, Atlanta, GA 30332 USA; [Birner, Thomas] Colorado State Univ, Dept Atmospher Sci, Ft Collins, CO 80523 USA; [Klocker, Andreas] Univ Tasmania, Inst Marine &amp; Antarctic Studies, Hobart, Tas, Australia; [Munday, David] Univ Oxford, Dept Phys, Oxford, England</t>
  </si>
  <si>
    <t>UK Research &amp; Innovation (UKRI); Natural Environment Research Council (NERC); NERC British Antarctic Survey; University System of Georgia; Georgia Institute of Technology; Colorado State University; University of Tasmania; University of Oxford</t>
  </si>
  <si>
    <t>Jones, DC (corresponding author), British Antarctic Survey, Madingley Rd, Cambridge CB3 0ET, England.</t>
  </si>
  <si>
    <t>dannes@bas.ac.uk</t>
  </si>
  <si>
    <t>Birner, Thomas/FFE-8380-2022; Munday, David/Y-7052-2019; Munday, David R/R-1986-2016; Ito, Takamitsu/F-3856-2010; Klocker, Andreas/E-4632-2011</t>
  </si>
  <si>
    <t>Birner, Thomas/0000-0002-2966-3428; Munday, David R/0000-0003-1920-708X; Ito, Takamitsu/0000-0001-9873-099X; Klocker, Andreas/0000-0002-2038-7922; Jones, Dani/0000-0002-8701-4506</t>
  </si>
  <si>
    <t>Natural Environment Research Council (NERC) [NE/J007757/1]; National Science Foundation [1142009]; Australian Research Council [DE140100076]; Australian Research Council [DE140100076] Funding Source: Australian Research Council; Directorate For Geosciences; Office of Polar Programs (OPP) [1142009] Funding Source: National Science Foundation; Natural Environment Research Council [NE/J007757/1, bas0100033] Funding Source: researchfish; NERC [bas0100033, NE/J007757/1] Funding Source: UKRI</t>
  </si>
  <si>
    <t>Natural Environment Research Council (NERC)(UK Research &amp; Innovation (UKRI)Natural Environment Research Council (NERC)); National Science Foundation(National Science Foundation (NSF)); Australian Research Council(Australian Research Council); Australian Research Council(Australian Research Council);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</si>
  <si>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The authors thank Antoine Venaille, Andrew Meijers, Laure Zanna, Ryan Abernathey, Emma Boland, Trevor McDougall, and David Marshall for discussions and comments that greatly improved the quality of this paper. We also thank Jean-Baptiste Sallee for providing mean positions of the fronts of the Antarctic Circumpolar Current. DJ was supported by the Natural Environment Research Council (NERC Grant NE/J007757/1). This study is part of the British Antarctic Survey Polar Science for Planet Earth Programme. TI was supported by the National Science Foundation (1142009). AK was supported by an Australian Research Council Discovery Early Career Researcher Award (DE140100076). We gratefully acknowledge the thoughtful comments of two anonymous reviewers.</t>
  </si>
  <si>
    <t>10.1175/JPO-D-15-0034.1</t>
  </si>
  <si>
    <t>CY4RA</t>
  </si>
  <si>
    <t>WOS:000366394700004</t>
  </si>
  <si>
    <t>White, IP; Lu, H; Mitchell, NJ; Phillips, T</t>
  </si>
  <si>
    <t>White, Ian P.; Lu, Hua; Mitchell, Nicholas J.; Phillips, Tony</t>
  </si>
  <si>
    <t>Dynamical Response to the QBO in the Northern Winter Stratosphere: Signatures in Wave Forcing and Eddy Fluxes of Potential Vorticity</t>
  </si>
  <si>
    <t>Northern Hemisphere; Potential vorticity; Quasibiennial oscillation; Rossby waves; Stratospheric circulation</t>
  </si>
  <si>
    <t>QUASI-BIENNIAL OSCILLATION; PLANETARY-WAVES; POLAR VORTEX; INTERANNUAL VARIABILITY; GENERAL-CIRCULATION; SUBTROPICAL JET; SUDDEN WARMINGS; EQUATORIAL QBO; HEMISPHERE; BREAKING</t>
  </si>
  <si>
    <t>Wave-mean flow interactions associated with the Holton-Tan effect (HTE), whereby the tropical quasi-biennial oscillation (QBO) modulates the Northern Hemisphere wintertime stratospheric polar vortex, are studied using the ERA-Interim dataset. Significant evidence of the HTE in isentropic coordinates is found, with a weaker and warmer polar vortex present when the lower-stratospheric QBO is in its easterly phase (QBOe). For the first time, the authors quantify the QBO modulation of wave propagation, wave-mean flow interaction, and wave decay/growth via a calculation of potential vorticity (PV)-based measures, the zonal-mean momentum budget, and up-/downgradient eddy PV fluxes. The effect of the tropospheric subtropical jet on QBO modulation of the wave activity is also investigated. In the subtropical-to-midlatitude lower stratosphere, QBOe is associated with an enhanced upward flux of wave activity, and corresponding wave convergence and wave growth, which leads to a stronger poleward zonal-mean meridional circulation and consequently a warmer polar region. In the middle stratosphere, QBOe is associated with increased poleward wave propagation, leading to enhanced wave convergence and in situ wave growth at high latitudes and contributing to the weaker polar vortex. In agreement with recent studies, the results suggest that the critical-line effect cannot fully account for these wave anomalies associated with the HTE. Instead, it is suggestive of a new, additional mechanism that hinges on the QBO-induced meridional circulation effect on the latitudinal positioning of the subtropical jet. Under QBOe, the QBO-induced meridional circulation causes a poleward shift of the subtropical jet, encouraging more waves to propagate into the stratosphere at midlatitudes.</t>
  </si>
  <si>
    <t>[White, Ian P.; Lu, Hua; Phillips, Tony] British Antarctic Survey, Cambridge CB3 0ET, England; [White, Ian P.; Mitchell, Nicholas J.] Univ Bath, Dept Elect &amp; Elect Engn, Bath BA2 7AY, Avon, England</t>
  </si>
  <si>
    <t>UK Research &amp; Innovation (UKRI); Natural Environment Research Council (NERC); NERC British Antarctic Survey; University of Bath</t>
  </si>
  <si>
    <t>White, IP (corresponding author), British Antarctic Survey, Madingley Rd, Cambridge CB3 0ET, England.</t>
  </si>
  <si>
    <t>iwhit@bas.ac.uk</t>
  </si>
  <si>
    <t>Lu, Hua/GXA-0276-2022</t>
  </si>
  <si>
    <t>Lu, Hua/0000-0001-9485-5082; White, Ian Philip/0000-0003-1634-1646</t>
  </si>
  <si>
    <t>Natural Environment Research Council (NERC); NERC [NE/K50094X/1]; NERC [bas0100032] Funding Source: UKRI; Natural Environment Research Council [1246695, bas0100032] Funding Source: researchfish</t>
  </si>
  <si>
    <t>This study is funded by the Natural Environment Research Council (NERC). We acknowledge the use of the ECMWF reanalysis datasets. We would also like to thank the two anonymous reviewers whose constructive comments have helped to improve the manuscript. IW is funded by NERC Ph.D. studentship NE/K50094X/1.</t>
  </si>
  <si>
    <t>10.1175/JAS-D-14-0358.1</t>
  </si>
  <si>
    <t>CY3TF</t>
  </si>
  <si>
    <t>WOS:000366332100001</t>
  </si>
  <si>
    <t>Convey, P; Abbandonato, H; Bergan, F; Beumer, LT; Biersma, EM; Bråthen, VS; D'Imperio, L; Jensen, CK; Nilsen, S; Paquin, K; Stenkewitz, U; Svoen, ME; Winkler, J; Müller, E; Coulson, SJ</t>
  </si>
  <si>
    <t>Convey, Peter; Abbandonato, Holly; Bergan, Frode; Beumer, Larissa Teresa; Biersma, Elisabeth Machteld; Brathen, Vegard Sandoy; D'Imperio, Ludovica; Jensen, Christina Kjellerup; Nilsen, Solveig; Paquin, Karolina; Stenkewitz, Ute; Svoen, Mildrid Elvik; Winkler, Judith; Muller, Eike; Coulson, Stephen James</t>
  </si>
  <si>
    <t>Survival of rapidly fluctuating natural low winter temperatures by High Arctic soil invertebrates</t>
  </si>
  <si>
    <t>Microarthropod; Polar; Freeze-thaw; Snow; Climate change</t>
  </si>
  <si>
    <t>COLLEMBOLAN ONYCHIURUS-ARCTICUS; COLD-HARDINESS; CRYOPROTECTIVE DEHYDRATION; MICROARTHROPOD COMMUNITIES; OVERWINTERING STRATEGIES; SNOW DEPTH; TOLERANCE; TERRESTRIAL; INSECTS; COLEOPTERA</t>
  </si>
  <si>
    <t>The extreme polar environment creates challenges for its resident invertebrate communities and the stress tolerance of some of these animals has been examined over many years. However, although it is well appreciated that standard air temperature records often fail to describe accurately conditions experienced at microhabitat level, few studies have explicitly set out to link field conditions experienced by natural multispecies communities with the more detailed laboratory ecophysiological studies of a small number of 'representative' species. This is particularly the case during winter, when snow cover may insulate terrestrial habitats from extreme air temperature fluctuations. Further, climate projections suggest large changes in precipitation will occur in the polar regions, with the greatest changes expected during the winter period and, hence, implications for the insulation of overwintering microhabitats. To assess survival of natural High Arctic soil invertebrate communities contained in soil and vegetation cores to natural winter temperature variations, the overwintering temperatures they experienced were manipulated by deploying cores in locations with varying snow accumulation: No Snow, Shallow Snow (30 cm) and Deep Snow (120 cm). Air temperatures during the winter period fluctuated frequently between +3 and -24 degrees C, and the No Snow soil temperatures reflected this variation closely, with the extreme minimum being slightly lower. Under 30 cm of snow, soil temperatures varied less and did not decrease below -12 degrees C. Those under deep snow were even more stable and did not decline below -2 degrees C. Despite these striking differences in winter thermal regimes, there were no clear differences in survival of the invertebrate fauna between treatments, including oribatid, prostigmatid and mesostigmatid mites, Araneae, Collembola, Nematocera larvae or Coleoptera. This indicates widespread tolerance, previously undocumented for the Araneae, Nematocera or Coleoptera, of both direct exposure to at least -24 degrees C and the rapid and large temperature fluctuations. These results suggest that the studied polar soil invertebrate community may be robust to at least one important predicted consequence of projected climate change. (C) 2014 Elsevier Ltd. All rights reserved.</t>
  </si>
  <si>
    <t>[Convey, Peter; Biersma, Elisabeth Machteld] British Antarctic Survey, NERC, Cambridge CB3 OET, England; [Convey, Peter] Univ Canterbury, Gateway Antarctica, Christchurch 8140, New Zealand; [Convey, Peter; Abbandonato, Holly; Bergan, Frode; Beumer, Larissa Teresa; Biersma, Elisabeth Machteld; Brathen, Vegard Sandoy; D'Imperio, Ludovica; Jensen, Christina Kjellerup; Nilsen, Solveig; Paquin, Karolina; Stenkewitz, Ute; Svoen, Mildrid Elvik; Winkler, Judith; Muller, Eike; Coulson, Stephen James] Univ Ctr Svalbard, Dept Arctic Biol, N-9171 Svalbard, Norway; [Abbandonato, Holly; Beumer, Larissa Teresa; Biersma, Elisabeth Machteld; Jensen, Christina Kjellerup; Paquin, Karolina; Stenkewitz, Ute; Winkler, Judith] Arctic Univ Norway, Dept Arctic &amp; Marine Biol, N-9037 Tromso, Norway; [Bergan, Frode] Telemark Univ Coll, Dept Environm &amp; Hlth Studies, N-3800 Hallvard Eikas Plass, Bo, Norway; [Beumer, Larissa Teresa] Eberswalde Univ Sustainable Dev, Fac Forest &amp; Environm, D-16225 Eberswalde, Germany; [Biersma, Elisabeth Machteld] Univ Cambridge, Dept Plant Sci, Cambridge CB2 3EA, England; [Brathen, Vegard Sandoy; Nilsen, Solveig] Norwegian Univ Sci &amp; Technol, Dept Biol, N-7491 Trondheim, Norway; [D'Imperio, Ludovica] Univ Copenhagen, Dept Geosci &amp; Nat Resource Management, Sect Forest Nat &amp; Biomass, DK-1958 Frederiksberg C, Denmark; [D'Imperio, Ludovica; Winkler, Judith] Univ Copenhagen, Ctr Permafrost CENPERM, DK-1350 Copenhagen K, Denmark; [Jensen, Christina Kjellerup] Roskilde Univ, Dept Environm Social &amp; Spartial Change, DK-4000 Roskilde, Denmark; [Stenkewitz, Ute] Iceland Inst Nat Hist, IS-212 Gardabaer, Iceland; [Stenkewitz, Ute] Univ Iceland, Fac Life &amp; Environm Sci, IS-101 Reykjavik, Iceland; [Svoen, Mildrid Elvik] Univ Oslo, Dept Biosci, N-0316 Oslo, Norway</t>
  </si>
  <si>
    <t>UK Research &amp; Innovation (UKRI); Natural Environment Research Council (NERC); NERC British Antarctic Survey; University of Canterbury; University Centre Svalbard (UNIS); UiT The Arctic University of Tromso; University College of Southeast Norway; Eberswalde University for Sustainable Development; University of Cambridge; Norwegian University of Science &amp; Technology (NTNU); University of Copenhagen; University of Copenhagen; Roskilde University; University of Iceland; University of Oslo</t>
  </si>
  <si>
    <t>Convey, P (corresponding author), British Antarctic Survey, Madingley Rd, Cambridge CB3 OET, England.</t>
  </si>
  <si>
    <t>pcon@bas.ac.uk</t>
  </si>
  <si>
    <t>Convey, Peter/AAV-5728-2020; Stenkewitz, Ute/AAV-1535-2020; Biersma, Elisabeth Machteld/JKI-1084-2023; Biersma, Elisabeth Machteld/AAL-9818-2020; Beumer, Larissa Teresa/AAH-4389-2019; D'Imperio, Ludovica/C-9840-2015</t>
  </si>
  <si>
    <t>Convey, Peter/0000-0001-8497-9903; Biersma, Elisabeth Machteld/0000-0002-9877-2177; Beumer, Larissa Teresa/0000-0002-5255-1889; Coulson, Stephen James/0000-0003-0935-959X; D'Imperio, Ludovica/0000-0002-6751-145X</t>
  </si>
  <si>
    <t>Natural Environment Research Council; Natural Environment Research Council [bas0100035] Funding Source: researchfish; NERC [bas0100035] Funding Source: UKRI</t>
  </si>
  <si>
    <t>This study took place as part of work completed under UNIS course AB329/829 Arctic Winter Ecology. Andreas Dinzinger, Kristin Heggland, Therese Smelror Lokken, Stuart Thomson and Tobias Reiner Vonnahme are thanked for assistance with the initial collection and deployment of the soil cores. Two referees are thanked for helpful comments. PC is supported by core funding from Natural Environment Research Council to the British Antarctic Survey's 'Ecosystems' programme.</t>
  </si>
  <si>
    <t>10.1016/j.jtherbio.2014.07.009</t>
  </si>
  <si>
    <t>WOS:000366775500015</t>
  </si>
  <si>
    <t>Everatt, MJ; Convey, P; Bale, JS; Worland, MR; Hayward, SAL</t>
  </si>
  <si>
    <t>Everatt, Matthew J.; Convey, Pete; Bale, Jeffrey S.; Worland, M. Roger; Hayward, Scott A. L.</t>
  </si>
  <si>
    <t>Responses of invertebrates to temperature and water stress: A polar perspective</t>
  </si>
  <si>
    <t>Cross tolerance; Rapid cold hardening; Anhydrobiosis; Cryoprotective dehydration; Sub-lethal characteristics; Climate warming</t>
  </si>
  <si>
    <t>COLLEMBOLAN ONYCHIURUS-ARCTICUS; GOLDENROD GALL FLY; HEAT-SHOCK PROTEINS; SUPPRESSALIS WALKER LEPIDOPTERA; FLIES SARCOPHAGA-CRASSIPALPIS; COLD-HARDENING INCREASES; DRONNING-MAUD-LAND; RICE STEM BORER; ANTARCTIC MIDGE; FREEZE TOLERANCE</t>
  </si>
  <si>
    <t>As small bodied poikilothermic ectotherms, invertebrates, more so than any other animal group, are susceptible to extremes of temperature and low water availability. In few places is this more apparent than in the Arctic and Antarctic, where low temperatures predominate and water is unusable during winter and unavailable for parts of summer. Polar terrestrial invertebrates express a suite of physiological, biochemical and genomic features in response to these stressors. However, the situation is not as simple as responding to each stressor in isolation, as they are often faced in combination. We consider how polar terrestrial invertebrates manage this scenario in light of their physiology and ecology. Climate change is also leading to warmer summers in parts of the polar regions, concomitantly increasing the potential for drought. The interaction between high temperature and low water availability, and the invertebrates' response to them, are therefore also explored. (C) 2014 Elsevier Ltd. All rights reserved.</t>
  </si>
  <si>
    <t>[Everatt, Matthew J.; Bale, Jeffrey S.; Hayward, Scott A. L.] Univ Birmingham, Sch Biosci, Birmingham B15 2TT, W Midlands, England; [Convey, Pete; Worland, M. Roger] British Antarctic Survey, Nat Environm Res Council, Cambridge CB3 0ET, England; [Convey, Pete] Univ Malaya, Natl Antarctic Res Ctr, Kuala Lumpur 50603, Malaysia; [Convey, Pete] Univ Canterbury, Gateway Antarctica, Christchurch 8140, New Zealand</t>
  </si>
  <si>
    <t>University of Birmingham; UK Research &amp; Innovation (UKRI); Natural Environment Research Council (NERC); NERC British Antarctic Survey; Universiti Malaya; University of Canterbury</t>
  </si>
  <si>
    <t>Hayward, SAL (corresponding author), Univ Birmingham, Sch Biosci, Birmingham B15 2TT, W Midlands, England.</t>
  </si>
  <si>
    <t>s.a.hayward@bham.ac.uk</t>
  </si>
  <si>
    <t>Convey, Peter/AAV-5728-2020</t>
  </si>
  <si>
    <t>Convey, Peter/0000-0001-8497-9903; Hayward, Scott/0000-0002-1899-6630</t>
  </si>
  <si>
    <t>Natural Environment Research Council (NERC) [RRBN15266]; NERC; Natural Environment Research Council [bas0100025] Funding Source: researchfish; NERC [bas0100025] Funding Source: UKRI</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</si>
  <si>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</si>
  <si>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MJE is funded through the Natural Environment Research Council (NERC) PhD studentship (RRBN15266), which is a CASE partnership between the University of Birmingham and British Antarctic Survey. PC is a member of the BAS 'Ecosystems' programme, which receives core funding through NERC to BAS. This paper also contributes to the SCAR 'Antarctic Thresholds - Ecosystem Resilience and Adaptation' programme. Two anonymous reviewers are thanked for their constructive suggestions.</t>
  </si>
  <si>
    <t>1879-0992</t>
  </si>
  <si>
    <t>10.1016/j.jtherbio.2014.05.004</t>
  </si>
  <si>
    <t>WOS:000366775500016</t>
  </si>
  <si>
    <t>Han, H; Kim, Y; Jin, H; Lee, H</t>
  </si>
  <si>
    <t>Han, Hyangsun; Kim, Yeonchun; Jin, Hyorim; Lee, Hoonyol</t>
  </si>
  <si>
    <t>Analysis of AnnualVariability of Landfast Sea Ice near Jangbogo Antarctic Station Using InSAR Coherence Images</t>
  </si>
  <si>
    <t>KOREAN JOURNAL OF REMOTE SENSING</t>
  </si>
  <si>
    <t>Korean</t>
  </si>
  <si>
    <t>COSMO-SkyMed; SAR; InSAR; coherence; landfast sea ice; Jangbogo Antarctic Research Station; Terra Nova Bay</t>
  </si>
  <si>
    <t>Landfast sea ice (LFI) in Terra Nova Bay, East Antarctica where the Jangbogo Antarctic Research Station is located, has significant influences on marine ecosystem and the sailing of an icebreaker. Therefore, it is essential to analyze the spatio-temporal variation of the LFI in Terra Nova Bay. In this study, we chose interferometric pairs with the temporal baseline from 1 to 9 days out of a total of 62 COSMO-SkyMed synthetic aperture radar (SAR) images over Terra Nova Bay obtained from December 2010 to January 2012, and then constructed the coherence image of each pair. The LFI showed coherence values higher than 0.3 even in the interferometric SAR (InSAR) pairs of up to 9-days of temporal baseline. This was because the LFI was fixed at coastline and thus showed low temporal phase decorrelation. Based on the characteristics of the coherence on LFI, We defined the areas of LFI that show spatially homogeneous coherence values higher than 0.5. Pack ice (PI) and open water showed low coherence values due to large temporal phase decorreation caused by current and wind. Distinguishing PI from open water in the coherence images was difficult due to their similarly low coherence values. PI was identified in SAR amplitude images by investigating cracks on the ice. The extents of the LFI and PI were estimated from the coherence and SAR amplitude images and their temporal variations were analyzed. The extent of the LFI increased from March to July (maximum extent of 170.7 km(2)) and decreased from October. The extent of the PI increased from February to May and decreased from May to July when the LFI increases dramatically. The extent of the LFI and air temperature showed an inverse correlation with a time lag of about 2 months, i.e., the extent of the LFI decreases after 2 months of the increase in the air temperature. Meanwhile the correlation between wind speed and the extent of the LFI was very low. This represents that the extent of LFI in Terra Nova Bay are influenced more by the air temperature than wind speed.</t>
  </si>
  <si>
    <t>[Han, Hyangsun] Korea Polar Res Inst, Div Polar Ocean Environm, Incheon, South Korea; [Kim, Yeonchun; Jin, Hyorim; Lee, Hoonyol] Kangwon Natl Univ, Div Geol &amp; Geophys, Chunchon, South Korea</t>
  </si>
  <si>
    <t>Korea Polar Research Institute (KOPRI); Kangwon National University</t>
  </si>
  <si>
    <t>Lee, H (corresponding author), Kangwon Natl Univ, Div Geol &amp; Geophys, Chunchon, South Korea.</t>
  </si>
  <si>
    <t>hoonyol@kangwon.ac.kr</t>
  </si>
  <si>
    <t>Han, Hyangsun/AAE-7670-2022</t>
  </si>
  <si>
    <t>Han, Hyangsun/0000-0002-0414-519X; Lee, Hoonyol/0000-0002-5980-8640</t>
  </si>
  <si>
    <t>KOREAN SOC REMOTE SENSING</t>
  </si>
  <si>
    <t>KOREAN SOC REMOTE SENSING, SEOUL, 00000, SOUTH KOREA</t>
  </si>
  <si>
    <t>1225-6161</t>
  </si>
  <si>
    <t>2287-9307</t>
  </si>
  <si>
    <t>KOREAN J REMOTE SENS</t>
  </si>
  <si>
    <t>Korean J. Remote Sensing</t>
  </si>
  <si>
    <t>10.7780/kjrs.2015.31.6.1</t>
  </si>
  <si>
    <t>Remote Sensing</t>
  </si>
  <si>
    <t>VA7BZ</t>
  </si>
  <si>
    <t>WOS:000410277000001</t>
  </si>
  <si>
    <t>Rose, A; Ingels, J; Raes, M; Vanreusel, A; Arbizu, PM</t>
  </si>
  <si>
    <t>Rose, Armin; Ingels, Jeroen; Raes, Maarten; Vanreusel, Ann; Arbizu, Pedro Martinez</t>
  </si>
  <si>
    <t>Long-term iceshelf-covered meiobenthic communities of the Antarctic continental shelf resemble those of the deep sea</t>
  </si>
  <si>
    <t>Climate change; Iceshelf break-up; Metazoan meiofauna; Antarctic Peninsula; Larsen A; Larsen B; ANDEEP 2; Deep sea</t>
  </si>
  <si>
    <t>WESTERN WEDDELL SEA; MARGINAL ICE-ZONE; MEIOFAUNA COMMUNITIES; HARPACTICOIDA CRUSTACEA; NEMATODE COMMUNITIES; SPECIES-DIVERSITY; ORGANIC-MATTER; ABYSSAL-PLAIN; PENINSULA; ABUNDANCE</t>
  </si>
  <si>
    <t>Since strong regional warming has led to the disintegration of huge parts of the Larsen A and B ice shelves east of the Antarctic Peninsula in 1995 and 2002, meiofaunal communities covered by ice shelves for thousands of years could be investigated for the first time. Based on a dataset of more than 230,000 individuals, meiobenthic higher taxa diversity and composition of Larsen continental shelf stations were compared to those of deep-sea stations in the Western Weddell Sea to see whether the food-limiting conditions in the deep sea and the food-poor shelf regime at times of iceshelf coverage has resulted in similar meiobenthic communities, on the premises that food availability is the main driver of meiobenthic assemblages. We show here that this is indeed the case; in terms of meiobenthic communities, there is greater similarity between the deep sea and the inner Larsen embayments than there is similarity between the deep sea and the former Larsen B iceshelf edge and the open continental shelf. We also show that resemblance to Antarctic deep-sea meiofaunal communities was indeed significantly higher for communities of the innermost Larsen B area than for those from intermediate parts of Larsen A and B. Similarity between communities from intermediate parts and the deep sea was again higher than between those of the ice-edge and the open shelf. Meiofaunal densities were low at the inner parts of Larsen A and B, and comparable to deep-sea densities, again likely owing to the low food supply at both habitats. We suggest that meiobenthic communities have not yet recovered from the food-limiting conditions present at the time of iceshelf coverage. Meiofaunal diversity on the other hand seemed driven by sediment structure, being higher in coarser sediments.</t>
  </si>
  <si>
    <t>[Rose, Armin] BioConsult SH GmbH &amp; Co KG, D-25813 Husum, Germany; [Ingels, Jeroen] Plymouth Marine Lab, Plymouth PL1 3DH, Devon, England; [Raes, Maarten; Vanreusel, Ann] Univ Ghent, Dept Biol, Marine Biol Sect, B-9000 Ghent, Belgium; [Arbizu, Pedro Martinez] Senckenberg Meer Wilhelmshaven, Dept DZMB, D-26382 Wilhelmshaven, Germany</t>
  </si>
  <si>
    <t>Plymouth Marine Laboratory; Ghent University; Senckenberg Gesellschaft fur Naturforschung (SGN)</t>
  </si>
  <si>
    <t>Ingels, J (corresponding author), Plymouth Marine Lab, Prospect Pl, Plymouth PL1 3DH, Devon, England.</t>
  </si>
  <si>
    <t>jein@pml.ac.uk</t>
  </si>
  <si>
    <t>Ingels, Jeroen/A-1691-2008</t>
  </si>
  <si>
    <t>Ingels, Jeroen/0000-0001-8342-2222; Martinez-Arbizu, Pedro/0000-0002-0891-1154</t>
  </si>
  <si>
    <t>DFG (Deutsche Forschungsgemeinschaft) [RO 3004/2]; Marie Curie Intra-European Fellowship within the 7th European Community Framework Programme [300879]</t>
  </si>
  <si>
    <t>DFG (Deutsche Forschungsgemeinschaft)(German Research Foundation (DFG)); Marie Curie Intra-European Fellowship within the 7th European Community Framework Programme(European Union (EU))</t>
  </si>
  <si>
    <t>The authors wish to thank Annika Janssen, Erik Gutzmann, Marco Bruhn, Jutta Heitfeld, and Annika Hellmann for sorting meiofaunal organisms, as well as Dirk Van Gansbeke and Bart Beuselinck for laboratory analyses on sediment properties and phytopigments. The officers and crew of RV Polarstern, cruise legs ANT-XXIII/8 and ANT-XXVII/3, are greatly acknowledged for their valuable support on board. Special thanks go to Dr Gritta Veit-Kohler for her constructive remarks. This study was financially supported by the DFG (Deutsche Forschungsgemeinschaft, Priority Programme Antarctic Research, SSP 1158: project RO 3004/2), which is gratefully acknowledged by the first author. Contributions of Jeroen Ingels, Maarten Raes and Ann Vanreusel were conducted within the framework of the BIANZO II project, financed by the Belgian Science Policy (Scientific Research Program on Antarctica). J.I. is currently supported by a Marie Curie Intra-European Fellowship within the 7th European Community Framework Programme (Grant Agreement FP7-PEOPLE-2011-IEF No 300879).</t>
  </si>
  <si>
    <t>10.1007/s12526-014-0284-6</t>
  </si>
  <si>
    <t>WOS:000365873600029</t>
  </si>
  <si>
    <t>Jiménez, RS; Hepburn, CD; Hyndes, GA; McLeod, RJ; Taylor, RB; Hurd, CL</t>
  </si>
  <si>
    <t>Jimenez, Rocio Suarez; Hepburn, Christopher D.; Hyndes, Glenn A.; McLeod, Rebecca J.; Taylor, Richard B.; Hurd, Catriona L.</t>
  </si>
  <si>
    <t>Do native subtidal grazers eat the invasive kelp Undaria pinnatifida?</t>
  </si>
  <si>
    <t>URCHINS STRONGYLOCENTROTUS-DROEBACHIENSIS; GRACILARIA-VERMICULOPHYLLA; CAULERPA-TAXIFOLIA; PLANT INVASIONS; FOOD CHOICE; NEW-ZEALAND; HERBIVORES; LAMINARIALES; IMPACTS; ESTABLISHMENT</t>
  </si>
  <si>
    <t>Key to understanding the impacts of invasive macroalgae on local food webs is determining the extent to which native herbivores consume the invasive macroalga. We used multiple-choice feeding assays to ascertain the relative feeding preferences of four subtidal grazers (the amphipod Aora typica, the isopod Batedotea elongata and the gastropods Cookia sulcata and Haliotis iris) for the invasive macroalga Undaria pinnatifida and six native macroalgae (Macrocystis pyrifera, Durvillaea antarctica, Carpophyllum flexuosum, Cystophora scalaris, Marginariella boryana and Ulva spp.) that are all abundant along the Otago coast of southern New Zealand. Multiple-choice feeding assays were run under laboratory conditions during the austral autumn (April and June) of 2013. The relative abundances of the macroalgae in the field were also determined. All of the grazers ate U. pinnatifida at rates comparable to most of the native macroalgae, except for B. elongata, which barely consumed it. This indicates that U. pinnatifida, which was shown to be more abundant than native macroalgae in subtidal habitats, has the potential to contribute organic matter to the local food web and may be an undesirable food for some group of grazers. We suggest that U. pinnatifida could potentially alter existing trophic relationships.</t>
  </si>
  <si>
    <t>[Jimenez, Rocio Suarez; Hurd, Catriona L.] Univ Otago, Dept Bot, Dunedin 9054, New Zealand; [Hepburn, Christopher D.] Univ Otago, Dept Marine Sci, Dunedin 9054, New Zealand; [Hyndes, Glenn A.] Edith Cowan Univ, Sch Nat Sci, Ctr Marine Ecosyst Res, Perth, WA 6027, Australia; [McLeod, Rebecca J.] Univ Otago, Dept Chem, Dunedin 9054, New Zealand; [Taylor, Richard B.] Univ Auckland, Leigh Marine Lab, Leigh 0985, New Zealand; [Hurd, Catriona L.] Univ Tasmania, Inst Marine &amp; Antarctic Studies, Hobart, Tas 7001, Australia</t>
  </si>
  <si>
    <t>University of Otago; University of Otago; Edith Cowan University; University of Otago; University of Auckland; University of Tasmania</t>
  </si>
  <si>
    <t>Jiménez, RS (corresponding author), Univ Otago, Dept Bot, Dunedin 9054, New Zealand.</t>
  </si>
  <si>
    <t>suaro006@student.otago.ac.nz</t>
  </si>
  <si>
    <t>Hyndes, G.a./AAB-6619-2019; Taylor, Richard B/D-2332-2009; McLeod, Rebecca J/H-4147-2011; Hurd, Catriona/J-2411-2013</t>
  </si>
  <si>
    <t>Hyndes, G.a./0000-0002-3525-1665; Hurd, Catriona/0000-0001-9965-4917</t>
  </si>
  <si>
    <t>Otago University Doctoral Scholarship; Department of Botany, University of Otago; Foundation for Research, Science and Technology (FRST); Biodiversity and Biosecurity OBI [C01X0502]; FRST Science and Technology Postdoctoral Fellowship [UOOX0814]; New Zealand Ministry of Business, Innovation &amp; Employment (MBIE) [UOOX0814] Funding Source: New Zealand Ministry of Business, Innovation &amp; Employment (MBIE)</t>
  </si>
  <si>
    <t>Otago University Doctoral Scholarship; Department of Botany, University of Otago; Foundation for Research, Science and Technology (FRST)(New Zealand Foundation for Research, Science and Technology); Biodiversity and Biosecurity OBI; FRST Science and Technology Postdoctoral Fellowship; New Zealand Ministry of Business, Innovation &amp; Employment (MBIE)(New Zealand Ministry of Business, Innovation and Employment (MBIE))</t>
  </si>
  <si>
    <t>We thank S. Bell, R. Pooley, P. Jones, P. S. Fernandez, M. Desmond and B. Flack for field and laboratory assistance. This study was funded by an Otago University Doctoral Scholarship to RSJ, Performance Based Research (PBRF) funding from the Department of Botany, University of Otago to CLH, a Foundation for Research, Science and Technology (FRST) subcontract to CLH from the National Institute of Water and Atmospheric Research Ltd., Biodiversity and Biosecurity OBI (C01X0502) and a FRST Science and Technology Postdoctoral Fellowship to RJM (UOOX0814).</t>
  </si>
  <si>
    <t>10.1007/s00227-015-2757-y</t>
  </si>
  <si>
    <t>CX6DE</t>
  </si>
  <si>
    <t>WOS:000365790600018</t>
  </si>
  <si>
    <t>Clark, MS; Thorne, MAS</t>
  </si>
  <si>
    <t>Clark, Melody S.; Thorne, Michael A. S.</t>
  </si>
  <si>
    <t>Transcriptome of the Antarctic brooding gastropod mollusc Margarella antarctica</t>
  </si>
  <si>
    <t>RNA-Seq; Topshell; SNP; Population genetics</t>
  </si>
  <si>
    <t>LATERNULA-ELLIPTICA</t>
  </si>
  <si>
    <t>454 RNA-Seq transcriptome data were generated from foot tissue of the Antarctic brooding gastropod mollusc Margarella antarctica. A total of 6195 contigs were assembled de novo, providing a useful resource for researchers with an interest in Antarctic marine species, phylogenetics and mollusc biology, espedally shell production. (c) 2015 Elsevier B.V. All rights reserved.</t>
  </si>
  <si>
    <t>[Clark, Melody S.; Thorne, Michael A. S.] British Antarctic Survey, Nat Environm Res Council, Cambridge CB3 0ET, England</t>
  </si>
  <si>
    <t>Clark, MS (corresponding author), British Antarctic Survey, Nat Environm Res Council, Madingley Rd, Cambridge CB3 0ET, England.</t>
  </si>
  <si>
    <t>msd@bas.ac.uk</t>
  </si>
  <si>
    <t>Clark, Melody/D-7371-2014</t>
  </si>
  <si>
    <t>Clark, Melody/0000-0002-3442-3824; Thorne, Michael/0000-0001-7759-612X</t>
  </si>
  <si>
    <t>National Environment Research Council (NERC); Natural Environment Research Council [bas0100036] Funding Source: researchfish; NERC [bas0100036] Funding Source: UKRI</t>
  </si>
  <si>
    <t>National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</si>
  <si>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This study was funded by the National Environment Research Council (NERC) core funding to the British Antarctic Survey Polar Sciences for Planet Earth programme. We would like to thank the Rothera Dive Team for help in collecting animals. The NERC National Facility for Scientific Diving (Oban) provided overall diving support.</t>
  </si>
  <si>
    <t>10.1016/j.margen.2015.06.004</t>
  </si>
  <si>
    <t>WOS:000367762400013</t>
  </si>
  <si>
    <t>Beeton, NJ; McMahon, CR; Williamson, GJ; Potts, J; Bloomer, J; Bester, MN; Forbes, LK; Johnson, CN</t>
  </si>
  <si>
    <t>Beeton, Nicholas J.; McMahon, Clive R.; Williamson, Grant J.; Potts, Joanne; Bloomer, Jonathan; Bester, Marthan N.; Forbes, Larry K.; Johnson, Chris N.</t>
  </si>
  <si>
    <t>Using the Spatial Population Abundance Dynamics Engine for conservation management</t>
  </si>
  <si>
    <t>METHODS IN ECOLOGY AND EVOLUTION</t>
  </si>
  <si>
    <t>demography; eradication; Felis catus; invasive species; scenario building; spatial ecology; wildlife disease</t>
  </si>
  <si>
    <t>ANTARCTIC MARION-ISLAND; FERAL CATS; DIFFUSION; SPREAD; RABIES; ERADICATION; MODELS</t>
  </si>
  <si>
    <t>1. An explicit spatial understanding of population dynamics is often critical for effective management of wild populations. Sophisticated approaches are available to simulate these dynamics, but are largely either spatially homogeneous or agent based, and thus best suited to small spatial or temporal scales. These approaches also often ignore financial decisions crucial to choosing management approaches on the basis of cost-effectiveness. 2. We created a user-friendly and flexible modelling framework for simulating these population issues at large spatial scales - the Spatial Population Abundance Dynamics Engine (SPADE). SPADE is based on the Spatio-Temporal Animal Reduction (STAR) model (McMahon et al. 2010) and uses a reaction-diffusion approach to model population trajectories and a cost-benefit analysis technique to calculate optimal management strategies over long periods and across broad spatial scales. It expands on STAR by incorporating species interactions and multiple concurrent management strategies, and by allowing full user control of functional forms and parameters. 3. We used SPADE to simulate the eradication of feral domestic cats Felis catus on sub-Antarctic Marion Island (Bester et al., South African Journal of Wildlife Research, 32, 2002, 65) and compared modelled outputs to observed data. The parameters of the best-fitting model reflected the conditions of the management programme, and the model successfully simulated the observed movement of the cat population to the southern and eastern portion of the island under hunting pressure. We further demonstrated that none of the management strategies would likely have been successful within a reasonable time frame if performed in isolation. 4. Spatial Population Abundance Dynamics Engine is applicable to a wide range of population management problems and allows easy generation, modification and analysis of management scenarios. It is a useful tool for the planning, evaluation and optimisation of the management of wild populations and can be used without specialised training.</t>
  </si>
  <si>
    <t>[Beeton, Nicholas J.; Williamson, Grant J.; Johnson, Chris N.] Univ Tasmania, Sch Biol Sci, Hobart, Tas 7001, Australia; [McMahon, Clive R.] Sydney Inst Marine Sci, Mosman, NSW 2088, Australia; [McMahon, Clive R.] Univ Tasmania, Inst Marine &amp; Antarctic Studies, Hobart, Tas 7001, Australia; [Potts, Joanne] Analyt Edge Pty Ltd, Blackmans Bay, Tas 7052, Australia; [Bloomer, Jonathan] Centurion Acad, Dept Nat Management, ZA-0048 Centurion, South Africa; [Bester, Marthan N.] Univ Pretoria, Mammal Res Inst, Dept Zool &amp; Entomol, ZA-0028 Hatfield, South Africa; [Forbes, Larry K.] Univ Tasmania, Sch Math &amp; Phys, Hobart, Tas 7001, Australia</t>
  </si>
  <si>
    <t>University of Tasmania; Sydney Institute of Marine Science; University of Tasmania; University of Pretoria; University of Tasmania</t>
  </si>
  <si>
    <t>Beeton, NJ (corresponding author), Univ Tasmania, Sch Biol Sci, Hobart, Tas 7001, Australia.</t>
  </si>
  <si>
    <t>nicholas.beeton@utas.edu.au</t>
  </si>
  <si>
    <t>McMahon, Clive R/D-5713-2013; Potts, Joanne M/C-5423-2013; Williamson, Grant/J-7514-2014; Johnson, Christopher/JWP-0315-2024; Bester, Marthán N/E-5387-2010; Beeton, Nicholas/I-1752-2013; Johnson, Chris/J-7894-2014</t>
  </si>
  <si>
    <t>McMahon, Clive R/0000-0001-5241-8917; Williamson, Grant/0000-0002-3469-7550; Beeton, Nicholas/0000-0002-8513-3165; Forbes, Lawrence/0000-0002-9135-3594; Potts, Joanne/0000-0003-2752-5539; Johnson, Chris/0000-0002-9719-3771</t>
  </si>
  <si>
    <t>Landscapes and Policy Research Hub - Australian Government's National Environmental Research Programme; Kakadu National Park</t>
  </si>
  <si>
    <t>The development of SPADE was aided extensively by input from the Australian Alps National Parks Cooperative Management Programme's Feral Horse Working Group, including participants from Parks Victoria, the NSW National Parks and Wildlife Service, the ACT Parks and Conservation Service and Forestry Corporation NSW. We are particularly grateful to Daniel Brown and Charlie Pascoe from Parks Victoria for data and extensive discussions. This work was supported by the Landscapes and Policy Research Hub, which is funded through the Australian Government's National Environmental Research Programme and Kakadu National Park through the Director of National Parks. Finally, the manuscript was improved considerably by thoughtful recommendations from the anonymous reviewers.</t>
  </si>
  <si>
    <t>2041-210X</t>
  </si>
  <si>
    <t>2041-2096</t>
  </si>
  <si>
    <t>METHODS ECOL EVOL</t>
  </si>
  <si>
    <t>Methods Ecol. Evol.</t>
  </si>
  <si>
    <t>10.1111/2041-210X.12434</t>
  </si>
  <si>
    <t>DB4XU</t>
  </si>
  <si>
    <t>WOS:000368517700004</t>
  </si>
  <si>
    <t>Trusel, LD; Frey, KE; Das, SB; Karnauskas, KB; Munneke, PK; van Meijgaard, E; van den Broeke, MR</t>
  </si>
  <si>
    <t>Trusel, Luke D.; Frey, Karen E.; Das, Sarah B.; Karnauskas, Kristopher B.; Munneke, Peter Kuipers; van Meijgaard, Erik; van den Broeke, Michiel R.</t>
  </si>
  <si>
    <t>Divergent trajectories of Antarctic surface melt under two twenty-first-century climate scenarios</t>
  </si>
  <si>
    <t>ICE-SHELF; GLACIER RESPONSE; ANNULAR MODE; MASS-BALANCE; PENINSULA; SHEET; TEMPERATURE; TRENDS; DRIVEN; CMIP5</t>
  </si>
  <si>
    <t>Ice shelves modulate Antarctic contributions to sea-level rise(1) and thereby represent a critical, climate-sensitive interface between the Antarctic ice sheet and the global ocean. Following rapid atmospheric warming over the past decades(2,3), Antarctic Peninsula ice shelves have progressively retreated(4), at times catastrophically(5). This decay supports hypotheses of thermal limits of viability for ice shelves via surface melt forcing(3,5,6). Here we use a polar-adapted regional climate model(7) and satellite observations(8) to quantify the nonlinear relationship between surface melting and summer air temperature. Combining observations and multimodel simulations, we examine melt evolution and intensification before observed ice shelf collapse on the Antarctic Peninsula. We then assess the twenty-first-century evolution of surface melt across Antarctica under intermediate and high emissions climate scenarios. Our projections reveal a scenario-independent doubling of Antarctic-wide melt by 2050. Between 2050 and 2100, however, significant divergence in melt occurs between the two climate scenarios. Under the high emissions pathway by 2100, melt on several ice shelves approaches or surpasses intensities that have historically been associated with ice shelf collapse, at least on the northeast Antarctic Peninsula.</t>
  </si>
  <si>
    <t>[Trusel, Luke D.; Das, Sarah B.; Karnauskas, Kristopher B.] Woods Hole Oceanog Inst, Dept Geol &amp; Geophys, Woods Hole, MA 02543 USA; [Trusel, Luke D.; Frey, Karen E.] Clark Univ, Grad Sch Geog, Worcester, MA 01610 USA; [Munneke, Peter Kuipers; van den Broeke, Michiel R.] Univ Utrecht, Inst Marine &amp; Atmospher Res, NL-3584 CC Utrecht, Netherlands; [Munneke, Peter Kuipers] Swansea Univ, Dept Geog, Swansea SA2 8PP, W Glam, Wales; [van Meijgaard, Erik] Royal Netherlands Meteorol Inst, NL-3730 AE De Bilt, Netherlands</t>
  </si>
  <si>
    <t>Woods Hole Oceanographic Institution; Clark University; Utrecht University; Swansea University; Royal Netherlands Meteorological Institute</t>
  </si>
  <si>
    <t>Trusel, LD (corresponding author), Woods Hole Oceanog Inst, Dept Geol &amp; Geophys, Woods Hole, MA 02543 USA.</t>
  </si>
  <si>
    <t>ltrusel@whoi.edu</t>
  </si>
  <si>
    <t>Van den Broeke, Michiel R./F-7867-2011; Trusel, Luke D/E-2578-2013</t>
  </si>
  <si>
    <t>Van den Broeke, Michiel R./0000-0003-4662-7565; Kuipers Munneke, Peter/0000-0001-5555-3831; Trusel, Luke/0000-0002-7792-6173</t>
  </si>
  <si>
    <t>NASA Headquarters under the NASA Earth and Space Science Fellowship Program [NNX12AO01H]; Doherty Postdoctoral Scholarship at the Woods Hole Oceanographic Institution; NASA Cryospheric Sciences Program [NNX10AP09G]; Netherlands Earth System Science Centre (NESSC); Polar Program of the Netherlands Organization of Scientific Research; Dutch Ministry of Infrastructure and the Environment</t>
  </si>
  <si>
    <t>NASA Headquarters under the NASA Earth and Space Science Fellowship Program(National Aeronautics &amp; Space Administration (NASA)); Doherty Postdoctoral Scholarship at the Woods Hole Oceanographic Institution; NASA Cryospheric Sciences Program(National Aeronautics &amp; Space Administration (NASA)); Netherlands Earth System Science Centre (NESSC); Polar Program of the Netherlands Organization of Scientific Research; Dutch Ministry of Infrastructure and the Environment</t>
  </si>
  <si>
    <t>L.D.T. was supported by NASA Headquarters under the NASA Earth and Space Science Fellowship Program (grant NNX12AO01H) and the Doherty Postdoctoral Scholarship at the Woods Hole Oceanographic Institution. Funding for this research was additionally provided by the NASA Cryospheric Sciences Program (grant NNX10AP09G to S.B.D. and K.E.F.). M.R.v.d.B. and P.K.M. acknowledge support from the Netherlands Earth System Science Centre (NESSC) and the Polar Program of the Netherlands Organization of Scientific Research. The KNMI-RACMO2 simulations were supported by the Dutch Ministry of Infrastructure and the Environment. We acknowledge the World Climate Research Program's Working Group on Coupled Modelling, which is responsible for CMIP, and we thank the climate modelling groups (listed in Supplementary Table 3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t>
  </si>
  <si>
    <t>U56</t>
  </si>
  <si>
    <t>10.1038/NGEO2563</t>
  </si>
  <si>
    <t>CZ6GW</t>
  </si>
  <si>
    <t>WOS:000367200200014</t>
  </si>
  <si>
    <t>Renssen, H; Mairesse, A; Goosse, H; Mathiot, P; Heiri, O; Roche, DM; Nisancioglu, KH; Valdes, PJ</t>
  </si>
  <si>
    <t>Renssen, Hans; Mairesse, Aurelien; Goosse, Hugues; Mathiot, Pierre; Heiri, Oliver; Roche, Didier M.; Nisancioglu, Kerim H.; Valdes, Paul J.</t>
  </si>
  <si>
    <t>Multiple causes of the Younger Dryas cold period</t>
  </si>
  <si>
    <t>ABRUPT CLIMATE-CHANGE; LAST DEGLACIATION; DATA ASSIMILATION; CIRCULATION; MODEL; OCEAN; EUROPE; SYSTEM</t>
  </si>
  <si>
    <t>The Younger Dryas cooling event disrupted the overall warming trend in the North Atlantic region during the last deglaciation(1-6). Climate change during the Younger Dryas was abrupt(7-9), and thus provides insights into the sensitivity of the climate system to perturbations. The sudden Younger Dryas cooling has traditionally been attributed to a shutdown of the Atlantic Meridional Overturning Circulation by meltwater discharges(10-13). However, alternative explanations such as strong negative radiative forcing(14) and a shift in atmospheric circulation(15) have also been offered. Here we investigate the importance of these different forcings in coupled climate model experiments constrained by data assimilation. We find that the Younger Dryas climate signal as registered in proxy evidence is best simulated using a combination of processes: a weakened Atlantic Meridional Overturning Circulation, moderate negative radiative forcing and an altered atmospheric circulation. We conclude that none of the individual mechanisms alone provide a plausible explanation for the Younger Dryas cold period. We suggest that the triggers for abrupt climate changes such as the Younger Dryas are more complex than suggested so far, and that studies on the response of the climate system to perturbations should account for this complexity.</t>
  </si>
  <si>
    <t>[Renssen, Hans; Roche, Didier M.] Vrije Univ Amsterdam, Dept Earth Sci, NL-1081 HV Amsterdam, Netherlands; [Mairesse, Aurelien; Goosse, Hugues] Catholic Univ Louvain, Georges Lemaitre Ctr Earth &amp; Climate Res, Earth &amp; Life Inst, B-1348 Louvain La Neuve, Belgium; [Mathiot, Pierre] British Antarctic Survey, Nat Environm Res Council, Cambridge CB3 0ET, England; [Heiri, Oliver] Univ Bern, Inst Plant Sci, CH-3013 Bern, Switzerland; [Heiri, Oliver] Univ Bern, Oeschger Ctr Climate Change Res, CH-3013 Bern, Switzerland; [Roche, Didier M.] UVSQ, CNRS INSU, CEA, LSCE, F-91191 Gif Sur Yvette, France; [Nisancioglu, Kerim H.] Univ Bergen, Dept Earth Sci, N-5020 Bergen, Norway; [Nisancioglu, Kerim H.] Bjerknes Ctr Climate Res, N-5020 Bergen, Norway; [Valdes, Paul J.] Univ Bristol, Sch Geog Sci, Bristol BS8 1SS, Avon, England</t>
  </si>
  <si>
    <t>Vrije Universiteit Amsterdam; Universite Catholique Louvain; UK Research &amp; Innovation (UKRI); Natural Environment Research Council (NERC); NERC British Antarctic Survey; University of Bern; University of Bern; Universite Paris Saclay; Universite Paris Cite; CEA; Centre National de la Recherche Scientifique (CNRS); CNRS - National Institute for Earth Sciences &amp; Astronomy (INSU); University of Bergen; Bjerknes Centre for Climate Research; University of Bristol</t>
  </si>
  <si>
    <t>Renssen, H (corresponding author), Vrije Univ Amsterdam, Dept Earth Sci, NL-1081 HV Amsterdam, Netherlands.</t>
  </si>
  <si>
    <t>h.renssen@vu.nl</t>
  </si>
  <si>
    <t>Heiri, Oliver/A-2403-2008; Valdes, Paul J/C-4129-2013; Nisancioglu, Kerim/AAW-9315-2021; Heiri, Oliver/JCE-4598-2023; Valdes, Paul/T-2004-2019; Roche, Didier M./C-9875-2010</t>
  </si>
  <si>
    <t>Heiri, Oliver/0000-0002-3957-5835; Nisancioglu, Kerim/0000-0002-5737-5765; Valdes, Paul/0000-0002-1902-3283; Roche, Didier M./0000-0001-6272-9428; Mathiot, Pierre/0000-0002-2001-0762</t>
  </si>
  <si>
    <t>European Union [243908]; Universite catholique de Louvain; Netherlands Organization for Scientific Research (NWO); French CNRS; NERC [NE/I010912/1, bas0100033] Funding Source: UKRI; Natural Environment Research Council [NE/I010912/1, bas0100033] Funding Source: researchfish</t>
  </si>
  <si>
    <t>European Union(European Union (EU)); Universite catholique de Louvain; Netherlands Organization for Scientific Research (NWO)(Netherlands Organization for Scientific Research (NWO)); French CNRS(Centre National de la Recherche Scientifique (CNRS)); NERC(UK Research &amp; Innovation (UKRI)Natural Environment Research Council (NERC)); Natural Environment Research Council(UK Research &amp; Innovation (UKRI)Natural Environment Research Council (NERC))</t>
  </si>
  <si>
    <t>The research leading to these results has received funding from the European Union's Seventh Framework programme (FP7/2007-2013) under grant agreement no. 243908, 'Past4Future. Climate change-Learning from the past climate'. H.R. was supported by a visiting professor grant of the Universite catholique de Louvain. H.G. is Senior Research Associate with the Fonds de la Recherche Scientifique (FRS-FNRS-Belgium). D.M.R. is supported by the Netherlands Organization for Scientific Research (NWO) and by the French CNRS.</t>
  </si>
  <si>
    <t>U80</t>
  </si>
  <si>
    <t>10.1038/NGEO2557</t>
  </si>
  <si>
    <t>WOS:000367200200018</t>
  </si>
  <si>
    <t>Gottschalk, J; Skinner, LC; Misra, S; Waelbroeck, C; Menviel, L; Timmermann, A</t>
  </si>
  <si>
    <t>Gottschalk, Julia; Skinner, Luke C.; Misra, Sambuddha; Waelbroeck, Claire; Menviel, Laurie; Timmermann, Axel</t>
  </si>
  <si>
    <t>Abrupt changes in the southern extent of North Atlantic Deep Water during Dansgaard-Oeschger events</t>
  </si>
  <si>
    <t>ATMOSPHERIC CO2; CLIMATE; OCEAN; VARIABILITY; SEESAW; CIRCULATION; PACIFIC</t>
  </si>
  <si>
    <t>The glacial climate system transitioned rapidly between cold (stadial) and warm (interstadial) conditions in the Northern Hemisphere(1). This variability, referred to as Dansgaard-Oeschger variability(2), is widely believed to arise from perturbations of the Atlantic Meridional Overturning Circulation(3-5). Evidence for such changes during the longer Heinrich stadials has been identified, but direct evidence for overturning circulation changes during Dansgaard-Oeschger events has proven elusive(6). Here we reconstruct bottom water [CO32-] variability from B/Ca ratios of benthic foraminifera and indicators of sedimentary dissolution, and use these reconstructions to infer the flow of northern-sourced deep water to the deep central sub-Antarctic Atlantic Ocean. We find that nearly every Dansgaard-Oeschger interstadial is accompanied by a rapid incursion of North Atlantic Deep Water into the deep South Atlantic. Based on these results and transient climate model simulations(7), we conclude that North Atlantic stadial-interstadial climate variability was associated with significant Atlantic overturning circulation changes that were rapidly transmitted across the Atlantic. However, by demonstrating the persistent role of Atlantic overturning circulation changes in past abrupt climate variability, our reconstructions of carbonate chemistry further indicate that the carbon cycle response to abrupt climate change was not a simple function of North Atlantic overturning.</t>
  </si>
  <si>
    <t>[Gottschalk, Julia; Skinner, Luke C.; Misra, Sambuddha] Univ Cambridge, Dept Earth Sci, Godwin Lab Palaeoclimate Res, Cambridge CB2 3EQ, England; [Waelbroeck, Claire] LSCE IPSL, Lab CNRS CEA UVSQ, F-91198 Gif Sur Yvette, France; [Menviel, Laurie] Univ New S Wales, Climate Change Res Ctr, Sydney, NSW 2052, Australia; [Menviel, Laurie] ARC Ctr Excellence Climate Syst Sci, Sydney, NSW 2052, Australia; [Timmermann, Axel] Univ Hawaii, SOEST, Dept Oceanog, Int Pacific Res Ctr, Honolulu, HI 96822 USA</t>
  </si>
  <si>
    <t>University of Cambridge; Universite Paris Saclay; CEA; Centre National de la Recherche Scientifique (CNRS); University of New South Wales Sydney; ARC Centre of Excellence for Climate System Science; University of Hawaii System</t>
  </si>
  <si>
    <t>Gottschalk, J (corresponding author), Univ Cambridge, Dept Earth Sci, Godwin Lab Palaeoclimate Res, Downing St, Cambridge CB2 3EQ, England.</t>
  </si>
  <si>
    <t>jg619@cam.ac.uk</t>
  </si>
  <si>
    <t>Timmermann, Axel/Y-2799-2019; Menviel, Laurie/O-7833-2019; Menviel, Laurie/D-6902-2013</t>
  </si>
  <si>
    <t>Timmermann, Axel/0000-0003-0657-2969; waelbroeck, claire/0000-0002-7256-5727; Gottschalk, Julia/0000-0002-0403-3059; Menviel, Laurie/0000-0002-5068-1591</t>
  </si>
  <si>
    <t>NERC [NE/J010545/1]; Royal Society; ERC [2010-NEWLOG ADG-267931 HE]; European Research Council [339108]; Australian Research Council [DE150100107]; US NSF [1400914, 1341311]; Gates Cambridge Trust; Directorate For Geosciences [1400914, 1341311] Funding Source: National Science Foundation; Division Of Ocean Sciences [1400914] Funding Source: National Science Foundation; Office of Polar Programs (OPP) [1341311] Funding Source: National Science Foundation; NERC [NE/J010545/1] Funding Source: UKRI; Natural Environment Research Council [NE/J010545/1] Funding Source: researchfish; European Research Council (ERC) [339108] Funding Source: European Research Council (ERC)</t>
  </si>
  <si>
    <t>NERC(UK Research &amp; Innovation (UKRI)Natural Environment Research Council (NERC)); Royal Society(Royal Society); ERC(European Research Council (ERC)); European Research Council(European Research Council (ERC)); Australian Research Council(Australian Research Council); US NSF(National Science Foundation (NSF)); Gates Cambridge Trust; Directorate For Geosciences(National Science Foundation (NSF)NSF - Directorate for Geosciences (GEO)); Division Of Ocean Sciences(National Science Foundation (NSF)NSF - Directorate for Geosciences (GEO));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 European Research Council (ERC)(European Research Council (ERC)Spanish Government)</t>
  </si>
  <si>
    <t>We are indebted to D. Hodell for his insightful comments. J.G. was funded by the Gates Cambridge Trust. L.C.S. would like to acknowledge NERC grant NE/J010545/1 and the Royal Society. S.M. was supported by ERC grant 2010-NEWLOG ADG-267931 HE. C.W. acknowledges support from the European Research Council grant ACCLIMATE/no 339108. L.M. was supported by the Australian Research Council grant DE150100107. A.T. acknowledges support from the US NSF (grants 1400914, 1341311). Model experiments were performed on a computational cluster owned by the Faculty of Science of the University of New SouthWales, Australia. This is LSCE contribution 5353 and IPRC publication number 1131.</t>
  </si>
  <si>
    <t>U86</t>
  </si>
  <si>
    <t>10.1038/NGEO2558</t>
  </si>
  <si>
    <t>WOS:000367200200019</t>
  </si>
  <si>
    <t>Baylis, AMM; Orben, RA; Arnould, JPY; Peters, K; Knox, T; Costa, DP; Staniland, IJ</t>
  </si>
  <si>
    <t>Baylis, A. M. M.; Orben, R. A.; Arnould, J. P. Y.; Peters, K.; Knox, T.; Costa, D. P.; Staniland, I. J.</t>
  </si>
  <si>
    <t>Diving deeper into individual foraging specializations of a large marine predator, the southern sea lion</t>
  </si>
  <si>
    <t>OECOLOGIA</t>
  </si>
  <si>
    <t>Dietary specialization; Habitat selection; Hidden Markov models; South American sea lions; State-space models</t>
  </si>
  <si>
    <t>ANTARCTIC FUR SEALS; STABLE-ISOTOPES; OTARIA-FLAVESCENS; ENVIRONMENTAL VARIATION; DIET SPECIALIZATION; SITE FIDELITY; BEHAVIOR; STRATEGIES; HABITAT; OTTERS</t>
  </si>
  <si>
    <t>Despite global declines in the abundance of marine predators, knowledge of foraging ecology, necessary to predict the ecological consequences of large changes in marine predator abundance, remains enigmatic for many species. Given that populations suffering severe declines are of conservation concern, we examined the foraging ecology of southern sea lions (SSL) (Otaria flavescens)-one of the least studied otariids (fur seal and sea lions)-which have declined by over 90 % at the Falkland Islands since the 1930s. Using a combination of biologging devices and stable isotope analysis of vibrissae, we redress major gaps in the knowledge of SSL ecology and quantify patterns of individual specialization. Specifically, we revealed two discrete foraging strategies, these being inshore (coastal) and offshore (outer Patagonian Shelf). The majority of adult female SSL (72 % or n = 21 of 29 SSL) foraged offshore. Adult female SSL that foraged offshore travelled further (92 +/- A 20 vs. 10 +/- A 4 km) and dived deeper (75 +/- A 23 vs. 21 +/- A 8 m) when compared to those that foraged inshore. Stable isotope analysis revealed long-term fidelity (years) to these discrete foraging habitats. In addition, we found further specialization within the offshore group, with adult female SSL separated into two clusters on the basis of benthic or mixed (benthic and pelagic) dive behavior (benthic dive proportion was 76 +/- A 9 vs. 51 +/- A 8 %, respectively). We suggest that foraging specialization in depleted populations such as SSL breeding at the Falkland Islands, are influenced by foraging site fidelity, and could be independent of intraspecific competition. Finally, the behavioral differences we describe are crucial to understanding population-level dynamics, impediments to population recovery, and threats to population persistence.</t>
  </si>
  <si>
    <t>[Baylis, A. M. M.; Arnould, J. P. Y.; Knox, T.] Deakin Univ, Sch Life &amp; Environm Sci, Ctr Integrat Ecol, Warrnambool, Vic 3280, Australia; [Baylis, A. M. M.] Stanley FIQQ1ZZ, South Atlantic Environm Res Inst, Falkland Islands, England; [Baylis, A. M. M.; Peters, K.] Stanley FIQQ1ZZ, Falklands Conservat, Falkland Islands, England; [Orben, R. A.; Costa, D. P.] Univ Calif Santa Cruz, Dept Ocean Sci, Santa Cruz, CA 95060 USA; [Orben, R. A.] Oregon State Univ, Hatfield Marine Sci Ctr, Dept Fisheries &amp; Wildlife, Newport, OR 97365 USA; [Staniland, I. J.] British Antarctic Survey NERC, Cambridge CB3 0ET, England</t>
  </si>
  <si>
    <t>Deakin University; University of California System; University of California Santa Cruz; Oregon State University; UK Research &amp; Innovation (UKRI); Natural Environment Research Council (NERC); NERC British Antarctic Survey</t>
  </si>
  <si>
    <t>Baylis, AMM (corresponding author), Deakin Univ, Sch Life &amp; Environm Sci, Ctr Integrat Ecol, Warrnambool, Vic 3280, Australia.</t>
  </si>
  <si>
    <t>al_baylis@yahoo.com.au</t>
  </si>
  <si>
    <t>Baylis, Alastair/H-9471-2019; Orben, Rachael A./H-9460-2019; Staniland, Iain/I-4725-2012; Costa, Daniel Paul/E-2616-2013</t>
  </si>
  <si>
    <t>Baylis, Alastair/0000-0002-5167-0472; Orben, Rachael A./0000-0002-0802-407X; Staniland, Iain/0000-0003-2736-9134; Costa, Daniel Paul/0000-0002-0233-5782</t>
  </si>
  <si>
    <t>Darwin Initiative; Project AWARE; Shackleton Scholarship Fund (Centenary Award); Rufford Small Grants; Sea World and Busch Gardens Conservation Fund; Joint Nature Conservation Council; Falkland Islands Government; Office of Naval Research [N00014-13-1-0134]; Natural Environment Research Council [bas0100035] Funding Source: researchfish; NERC [bas0100035] Funding Source: UKRI</t>
  </si>
  <si>
    <t>Darwin Initiative; Project AWARE; Shackleton Scholarship Fund (Centenary Award); Rufford Small Grants; Sea World and Busch Gardens Conservation Fund; Joint Nature Conservation Council; Falkland Islands Government; Office of Naval Research(Office of Naval Research); Natural Environment Research Council(UK Research &amp; Innovation (UKRI)Natural Environment Research Council (NERC)); NERC(UK Research &amp; Innovation (UKRI)Natural Environment Research Council (NERC))</t>
  </si>
  <si>
    <t>For facilitating this research, we thank Rincon Grande farm, P Brickle, R Cordiero, C Dockrill, J Fenton, and N Rendell. AMMB and IJS received funding from the Darwin Initiative and Project AWARE for the 2011 field season. AMMB received funding from the Shackleton Scholarship Fund (Centenary Award), Rufford Small Grants, Sea World and Busch Gardens Conservation Fund, Joint Nature Conservation Council and the Falkland Islands Government for subsequent field seasons. DPC was supported by funding through the Office of Naval Research (N00014-13-1-0134). Research was conducted under permits R14/2011, R14/2013 and R14/2014 issued by the Falkland Islands Government to AMMB and the United States National Marine Fisheries Permit 17952 issued to DPC. Four anonymous reviewers improved earlier drafts of the paper.</t>
  </si>
  <si>
    <t>0029-8549</t>
  </si>
  <si>
    <t>1432-1939</t>
  </si>
  <si>
    <t>Oecologia</t>
  </si>
  <si>
    <t>10.1007/s00442-015-3421-4</t>
  </si>
  <si>
    <t>CV4HE</t>
  </si>
  <si>
    <t>WOS:000364226900012</t>
  </si>
  <si>
    <t>Chen, C; Copley, JT; Linse, K; Rogers, AD</t>
  </si>
  <si>
    <t>Chen, Chong; Copley, Jonathan T.; Linse, Katrin; Rogers, Alex D.</t>
  </si>
  <si>
    <t>Low connectivity between 'scaly-foot gastropod' (Mollusca: Peltospiridae) populations at hydrothermal vents on the Southwest Indian Ridge and the Central Indian Ridge</t>
  </si>
  <si>
    <t>ORGANISMS DIVERSITY &amp; EVOLUTION</t>
  </si>
  <si>
    <t>Deep-sea; Dispersal; Hydrothermal vent; Indian Ocean; Population connectivity; Scaly-foot gastropod</t>
  </si>
  <si>
    <t>GENETIC DIVERSITY; RIFTIA-PACHYPTILA; BIOGEOGRAPHY; BIODIVERSITY; COMMUNITIES; EXPANSION</t>
  </si>
  <si>
    <t>Hydrothermal vents on mid-oceanic ridges are patchily distributed and host many taxa endemic to deep-sea chemosynthetic environments, whose dispersal may be constrained by geographical barriers. The aim of this study was to investigate the connectivity of three populations of the 'scaly-foot gastropod' (Chrysomallon squamiferum Chen et al., 2015), a species endemic to hydrothermal vents in the Indian Ocean, amongst two vent fields on the Central Indian Ridge (CIR) and Longqi field, the first sampled vent field on the Southwest Indian Ridge (SWIR). Connectivity and population structure across the two mid-oceanic ridges were investigated using a 489-bp fragment of the cytochrome oxidase c subunit I (COI) gene. Phylogeographical approaches used include measures of genetic differentiation (F (ST)), reconstruction of parsimony haplotype network, mismatch analyses and neutrality tests. Relative migrants per generation were estimated between the fields. Significant differentiation (F (ST) = 0.28-0.29, P &lt; 0.001) was revealed between the vent field in SWIR and the two in CIR. Signatures were detected indicating recent bottleneck events followed by demographic expansion in all populations. Estimates of relative number of migrants were relatively low between the SWIR and CIR, compared with values between the CIR vent fields. The present study is the first to investigate connectivity between hydrothermal vents across two mid-ocean ridges in the Indian Ocean. The phylogeography revealed for C. squamiferum indicates low connectivity between SWIR and CIR vent populations, with implications for the future management of environmental impacts for seafloor mining at hydrothermal vents in the region, as proposed for Longqi.</t>
  </si>
  <si>
    <t>[Chen, Chong; Rogers, Alex D.] Univ Oxford, Dept Zool, Oxford OX1 3PS, England; [Copley, Jonathan T.] Univ Southampton, Natl Oceanog Ctr, Southampton SO14 3ZH, Hants, England; [Linse, Katrin] British Antarctic Survey, Cambridge CB3 0ET, England</t>
  </si>
  <si>
    <t>University of Oxford; University of Southampton; NERC National Oceanography Centre; UK Research &amp; Innovation (UKRI); Natural Environment Research Council (NERC); NERC British Antarctic Survey</t>
  </si>
  <si>
    <t>Chen, C (corresponding author), Univ Oxford, Dept Zool, Tinbergen Bldg,South Pk Rd, Oxford OX1 3PS, England.</t>
  </si>
  <si>
    <t>chong.chen@zoo.ox.ac.uk</t>
  </si>
  <si>
    <t>Copley, Jon/I-7076-2012; Chen, Chong/F-7489-2019</t>
  </si>
  <si>
    <t>Copley, Jon/0000-0003-3333-4325; Linse, Katrin/0000-0003-3477-3047; Chen, Chong/0000-0002-5035-4021; Rogers, Alex David/0000-0002-4864-2980</t>
  </si>
  <si>
    <t>Natural Environment Research Council through a small research grant [NE/H012087/1, NE/F005504/1]; Natural Environment Research Council [NE/H012087/1, bas0100036, NE/F005504/1] Funding Source: researchfish; NERC [NE/H012087/1, bas0100036, NE/F005504/1] Funding Source: UKRI</t>
  </si>
  <si>
    <t>Natural Environment Research Council through a small research grant; Natural Environment Research Council(UK Research &amp; Innovation (UKRI)Natural Environment Research Council (NERC)); NERC(UK Research &amp; Innovation (UKRI)Natural Environment Research Council (NERC))</t>
  </si>
  <si>
    <t>This study was funded by the Natural Environment Research Council through a small research grant (NE/H012087/1) to J.T.C. and a research grant (NE/F005504/1) to A.D.R. The funder had no role in research design, data analysis, publication decisions or preparation of the manuscript.</t>
  </si>
  <si>
    <t>1439-6092</t>
  </si>
  <si>
    <t>1618-1077</t>
  </si>
  <si>
    <t>ORG DIVERS EVOL</t>
  </si>
  <si>
    <t>Org. Divers. Evol.</t>
  </si>
  <si>
    <t>10.1007/s13127-015-0224-8</t>
  </si>
  <si>
    <t>CX5PE</t>
  </si>
  <si>
    <t>WOS:000365753500003</t>
  </si>
  <si>
    <t>Grzesiak, J; Zdanowski, MK; Górniak, D; Swiatecki, A; Aleksandrzak-Piekarczyk, T; Szatraj, K; Sasin-Kurowska, J; Nieckarz, M</t>
  </si>
  <si>
    <t>Grzesiak, Jakub; Zdanowski, Marek K.; Gorniak, Dorota; Swiatecki, Aleksander; Aleksandrzak-Piekarczyk, Tamara; Szatraj, Katarzyna; Sasin-Kurowska, Joanna; Nieckarz, Marta</t>
  </si>
  <si>
    <t>Microbial community changes along the Ecology Glacier ablation zone (King George Island, Antarctica)</t>
  </si>
  <si>
    <t>Glacial ice; Cryoconite holes; Microbiocenosis; Microbial abundance; Snow line</t>
  </si>
  <si>
    <t>16S RIBOSOMAL-RNA; CRYOCONITE HOLES; BACTERIAL COMMUNITY; GULKANA GLACIER; ORGANIC-CARBON; DIVERSITY; SVALBARD; ICE; BACTERIOPLANKTON; ENUMERATION</t>
  </si>
  <si>
    <t>In recent years, glacial surfaces have received much attention as microbial habitats of diverse photoautotrophic and heterotrophic cells. Supraglacial ecosystems are annually covered and uncovered by snow. The aim of this study is to investigate the microbial community response to changing environmental conditions in a transect following the receding snow line on the surface of Ecology Glacier (King George Island, Antarctica). Parameters of surface ice and cryoconite holes included chemical composition of ice and sediment, Bacteria diversity by denaturating gradient gel electrophoresis, microbial functional diversity (Biolog Ecoplates), and microbial counts (epifluorescence microscopy, colony-forming units). Data demonstrated profound differences between surface ice and cryoconite holes. Changing environmental factors along the transect influenced composition and abundance of the microbiocenosis in both habitat types. Several parameters correlated positively with distance from the glacier edge, including the cell morphotype Shannon index, chlorophyll a, nitrogen, and seston concentrations. Suspended solid content positively correlated with microbial abundance and diversity. Nitrogen and phosphorus were limiting factors of microbial growth as amounts of organic nitrogen and phosphorus positively correlated with the cell numbers, fission rates, and photoautotroph contribution. Our findings indicate that microbial community shows a response in terms of abundance and diversity to exposure of the glacial surface as snow-cover melts. To our knowledge, this is the first study to recognize a microbial development pattern on a glacier surface in connection with the receding snow line. This may help better understand variability within supraglacial habitats, correct sampling procedures, and inform biocenotic development models.</t>
  </si>
  <si>
    <t>[Grzesiak, Jakub; Zdanowski, Marek K.] Polish Acad Sci, Inst Biochem &amp; Biophys, Dept Antarctic Biol, PL-02106 Pawinskiego, Poland; [Gorniak, Dorota; Swiatecki, Aleksander] Univ Warmia &amp; Mazury, Dept Microbiol, PL-10719 Olsztyn, Poland; [Aleksandrzak-Piekarczyk, Tamara; Szatraj, Katarzyna] Polish Acad Sci, Inst Biochem &amp; Biophys, Dept Microbial Biochem, PL-02106 Warsaw, Poland; [Sasin-Kurowska, Joanna] Warsaw Univ, Inst Genet &amp; Biotechnol, PL-02106 Warsaw, Poland; [Nieckarz, Marta] Univ Warsaw, Inst Microbiol, Fac Biol, Dept Appl Microbiol, PL-02096 Warsaw, Poland</t>
  </si>
  <si>
    <t>Polish Academy of Sciences; Institute of Biochemistry &amp; Biophysics - Polish Academy of Sciences; University of Warmia &amp; Mazury; Polish Academy of Sciences; Institute of Biochemistry &amp; Biophysics - Polish Academy of Sciences; University of Warsaw; University of Warsaw</t>
  </si>
  <si>
    <t>Grzesiak, J (corresponding author), Polish Acad Sci, Inst Biochem &amp; Biophys, Dept Antarctic Biol, Pawinskiego 5a, PL-02106 Pawinskiego, Poland.</t>
  </si>
  <si>
    <t>jgrzesiak@arctowski.pl</t>
  </si>
  <si>
    <t>Aleksandrzak-Piekarczyk, Tamara/E-3332-2012; Grzesiak, Jakub/ABD-5209-2020; Gorniak, Dorota/X-8468-2018</t>
  </si>
  <si>
    <t>Aleksandrzak-Piekarczyk, Tamara/0000-0002-4725-760X; Grzesiak, Jakub/0000-0001-5972-2356; Nieckarz, Marta/0000-0002-3813-4923; Swiatecki, Aleksander/0000-0002-5219-7795; Gorniak, Dorota/0000-0001-6567-1057</t>
  </si>
  <si>
    <t>National Science Center, Poland [N N304 106940]</t>
  </si>
  <si>
    <t>National Science Center, Poland(National Science Centre, Poland)</t>
  </si>
  <si>
    <t>This work was supported by the National Science Center, Poland (Grant N N304 106940). We thank MSc Adam Latusek for a huge logistical contribution in preparations for the expedition, safe operations on the glacier, and assistance in the laboratory at Polish Station H. Arctowski.</t>
  </si>
  <si>
    <t>10.1007/s00300-015-1767-z</t>
  </si>
  <si>
    <t>WOS:000365791300010</t>
  </si>
  <si>
    <t>Watanabe, K; Doi, K; Ewe, HT; Krishnan, KP; Lee, JI; Liu, RY</t>
  </si>
  <si>
    <t>Watanabe, Kentaro; Doi, Koichiro; Ewe, Hong Tat; Krishnan, Kottekkatu Padinchati; Lee, Jae Il; Liu, Ruiyuan</t>
  </si>
  <si>
    <t>Recent advance in Asian polar science - Commemorating ten-year activities of the Asian Forum for Polar Sciences (AFoPS)</t>
  </si>
  <si>
    <t>AFoPS; Antarctic; Arctic; Asia; Polar science</t>
  </si>
  <si>
    <t>SEDIMENTS; WATER</t>
  </si>
  <si>
    <t>The Asian Forum for Polar Sciences (AFoPS) was established in 2004 to encourage and facilitate cooperation for the advance of polar sciences among countries in the Asian region. It commemorated tenth anniversary organizing the AFoPS Symposium on 7 October, 2014 in Port Dickson, Malaysia, hosted by the National Antarctic Research Center (NARC), University of Malaya. This second volume of AFoPS Special Issue includes those presentations submitted to the Symposium and scientific papers from AFoPS countries on wide variety of polar research. This publication is one of the excellent achievements of AFoPS. (C) 2015 Published by Elsevier B.V. and NIPR.</t>
  </si>
  <si>
    <t>[Watanabe, Kentaro; Doi, Koichiro] Natl Inst Polar Res, 10-3 Midori Cho, Tachikawa, Tokyo 1908518, Japan; [Ewe, Hong Tat] Univ Tunku Abdul Rahman, Kajang 43000, Selangor, Malaysia; [Krishnan, Kottekkatu Padinchati] Natl Ctr Antarctic &amp; Ocean Res, Vasco Da Gama 403804, Goa, India; [Lee, Jae Il] Korea Polar Res Inst, Inchon 21990, South Korea; [Liu, Ruiyuan] Polar Res Inst China, Shanghai 200136, Peoples R China</t>
  </si>
  <si>
    <t>Research Organization of Information &amp; Systems (ROIS); National Institute of Polar Research (NIPR) - Japan; Universiti Tunku Abdul Rahman (UTAR); Ministry of Earth Sciences (MoES) - India; National Centre for Polar and Ocean Research (NCPOR); Korea Polar Research Institute (KOPRI); Polar Research Institute of China</t>
  </si>
  <si>
    <t>Watanabe, K (corresponding author), Natl Inst Polar Res, 10-3 Midori Cho, Tachikawa, Tokyo 1908518, Japan.</t>
  </si>
  <si>
    <t>kentaro@nipr.ac.jp</t>
  </si>
  <si>
    <t>Ewe, Hong Tat/C-1258-2012; P, Krishnan K/ABF-8783-2020</t>
  </si>
  <si>
    <t>, K. P. Krishnan/0000-0003-1101-657X; Watanabe, Kentaro/0000-0002-5177-0086</t>
  </si>
  <si>
    <t>10.1016/j.polar.2015.10.005</t>
  </si>
  <si>
    <t>WOS:000365384900001</t>
  </si>
  <si>
    <t>Tomikawa, Y; Sato, K; Hirasawa, N; Tsutsumi, M; Nakamura, T</t>
  </si>
  <si>
    <t>Tomikawa, Yoshihiro; Sato, Kaoru; Hirasawa, Naohiko; Tsutsumi, Masaki; Nakamura, Takuji</t>
  </si>
  <si>
    <t>Balloon-borne observations of lower stratospheric water vapor at Syowa Station, Antarctica in 2013</t>
  </si>
  <si>
    <t>Stratospheric water vapor; Antarctic; CFH; Dehydration; Trajectory</t>
  </si>
  <si>
    <t>POAM-III MEASUREMENTS; POLAR VORTEX; ERA-INTERIM; EOS MLS; DEHYDRATION; TRENDS; VARIABILITY; TROPOPAUSE; TRANSPORT</t>
  </si>
  <si>
    <t>Balloon-borne observations of lower stratospheric water vapor were conducted with the Cryogenic Frostpoint Hygrometer (CFH) in July, September, and November 2013 at Syowa Station (69.0 degrees S, 39.6 degrees E) in the Antarctic. High-precision and high vertical resolution data of water vapor concentration up to an altitude of about 28 km were obtained successfully except for a contamination in the observation of July 2013. A comparison between the CFH and coincident satellite (i.e., Aura/MLS) observations showed a good agreement within their uncertainty. A position of Syowa Station relative to the stratospheric polar vortex edge varied depending on both the observation date and altitude. Temperature and pressure histories of the observed air parcels were examined by 10-day backward trajectories. These analyses clearly demonstrated that most air parcels observed in the lower stratosphere above Syowa Station experienced final dehydration inside the polar vortex. On the other hand, a clear signature of rehydration or incomplete dehydration was also observed around a 25 hPa pressure level in the observation of July 2013. (C) 2015 Elsevier B.V. and NIPR. All rights reserved.</t>
  </si>
  <si>
    <t>[Tomikawa, Yoshihiro; Hirasawa, Naohiko; Tsutsumi, Masaki; Nakamura, Takuji] Natl Inst Polar Res, Tachikawa, Tokyo 1908518, Japan; [Tomikawa, Yoshihiro; Hirasawa, Naohiko; Tsutsumi, Masaki; Nakamura, Takuji] Grad Univ Adv Studies SOKENDAI, Tokyo, Japan; [Sato, Kaoru] Univ Tokyo, Tokyo, Japan</t>
  </si>
  <si>
    <t>Research Organization of Information &amp; Systems (ROIS); National Institute of Polar Research (NIPR) - Japan; Graduate University for Advanced Studies - Japan; University of Tokyo</t>
  </si>
  <si>
    <t>Tomikawa, Y (corresponding author), Natl Inst Polar Res, 10-3 Midori Cho, Tachikawa, Tokyo 1908518, Japan.</t>
  </si>
  <si>
    <t>tomikawa@nipr.ac.jp</t>
  </si>
  <si>
    <t>Tomikawa, Yoshihiro/D-5304-2012; Sato, Kaoru/E-1693-2012</t>
  </si>
  <si>
    <t>Tomikawa, Yoshihiro/0000-0002-5652-3017; Sato, Kaoru/0000-0002-6225-6066; Nakamura, Takuji/0000-0002-3876-2946</t>
  </si>
  <si>
    <t>JSPS KAKENHI [26800245]; Grants-in-Aid for Scientific Research [25247075, 26800245] Funding Source: KAKEN</t>
  </si>
  <si>
    <t>The CFH observations at Syowa Station were conducted by the 54th Japanese Antarctic Research Expedition (JARE54). The ERA-Interim, MERRA, and JRA-55 reanalysis data were provided by the European Centre for Medium-range Weather Forecasts (ECMWF), the NASA GSFC Global Modeling and Assimilation Office (GMAO), and the Japan Meteorological Agency (JMA), respectively. The authors are grateful to the MLS and CALIPSO Science Teams for their efforts, and for making data products available. The MLS data were obtained from the NASA Goddard Earth Sciences Data and Information Services Center. The CALIPSO data were obtained from the NASA Langley Research Center Atmospheric Science Data Center. The authors appreciate constructive and useful comments from Assoc. Prof. M. Fujiwara at the Hokkaido University, Drs. H. Nakajima and T. Sugita at the National Institute for Environmental Studies (NIES), Dr. S. Iwasaki at the National Defense Academy, Dr. Y. Inai at the Kyoto University, and Dr. K. Shimizu at the Meisei Electric Corporation. The constructive comments of two anonymous reviewers greatly helped to improve the manuscript. This work was supported by JSPS KAKENHI Grant Number 26800245. Figures were drawn using Dennou Club Library (DCL). The production of this paper was supported by an NIPR publication subsidy.</t>
  </si>
  <si>
    <t>10.1016/j.polar.2015.08.003</t>
  </si>
  <si>
    <t>WOS:000365384900003</t>
  </si>
  <si>
    <t>Mahesh, BS; Warrier, AK; Mohan, R; Tiwari, M; Babu, A; Chandran, A; Asthana, R; Ravindra, R</t>
  </si>
  <si>
    <t>Mahesh, Badanal Siddaiah; Warrier, Anish Kumar; Mohan, Rahul; Tiwari, Manish; Babu, Anila; Chandran, Aswathi; Asthana, Rajesh; Ravindra, Rasik</t>
  </si>
  <si>
    <t>Response of Long Lake sediments to Antarctic climate: A perspective gained from sedimentary organic geochemistry and particle size analysis</t>
  </si>
  <si>
    <t>Past-climate; Schirmacher Oasis; delta C-13 &amp; delta N-15; Particle size distribution; Long Lake; Organic carbon</t>
  </si>
  <si>
    <t>HOLOCENE PALEOLIMNOLOGICAL CHANGES; MCMURDO DRY VALLEYS; SCHIRMACHER OASIS; EAST ANTARCTICA; INNER-MONGOLIA; GRAIN-SIZE; DELTA-C-13; MARINE; MATTER; RECONSTRUCTIONS</t>
  </si>
  <si>
    <t>Sediments from the pristine lakes of ice-free regions of Antarctica are a great source for proxies to reconstruct the effect of past-climate on the lake evolution and its response to Antarctic climate. A 50 cm long sediment core retrieved from Long Lake, a periglacial lake of Schirmacher Oasis in Dronning Maud Land was measured for elemental (C%, N% and C/N), isotopic (delta C-13, delta N-15) and particle size (sand-silt-clay percent) variation. The radiocarbon dated core spanning the last 48 cal ka BP has been deciphered for the lake's response to Antarctic climate. The C/N ratio (atomic ratio) predominantly indicates that the productivity has been autochthonous for majority of the down-core while the top 0-3 cm indicates that there has been addition of terrestrial organic matter into the lake system owing to longer ice-free conditions. The organic carbon shows significantly lower values (0.2%) throughout the glacial period and major part of the Holocene while the core-top values are consistent with the presence of a microbial mat which is reflected as higher organic carbon (12%). The delta C-13 and delta N-15 range from -33 to -9% and 2 -18%, respectively. The isotopic signals vary marginally for the entire glacial period (48-8 cal ka BP) suggesting an intense cold period. The gradual increase in C/N ratio, sand content and delta C-13 and decrease in delta N-15 beginning at about 6 cal ka BP suggest that the Long Lake experienced longer ice-free conditions owing to sustained warmer Holocene conditions suggesting that the ice-cover over the Long Lake persisted well through early-Holocene. The sand and silt percent shows inverse correlation likely reflecting the warmer and colder conditions. The Holocene is characterised by higher sand content owing to melting of ice due to warmer conditions. The Long Lake's response to Antarctic climate is reflected in its response to the ice-cover conditions which regulates the productivity and sedimentation in the lake system. (C) 2015 Elsevier B.V. and NIPR. All rights reserved.</t>
  </si>
  <si>
    <t>[Mahesh, Badanal Siddaiah; Warrier, Anish Kumar; Mohan, Rahul; Tiwari, Manish] Govt India, Minist Earth Sci, ESSO, Natl Ctr Antarctic &amp; Ocean Res, Vasco 403804, Goa, India; [Babu, Anila; Chandran, Aswathi] Govt Coll, Dept Post Grad Studies &amp; Res Geol, Kasargod 671123, Kerala, India; [Asthana, Rajesh] NIT, Geol Survey India, New Delhi 121001, India; [Ravindra, Rasik] Govt India, Minist Earth Sci, ESSO, New Delhi 110003, India</t>
  </si>
  <si>
    <t>Ministry of Earth Sciences (MoES) - India; National Centre for Polar and Ocean Research (NCPOR); Earth System Science Organization (ESSO); Geological Survey India; National Institute of Technology (NIT System); National Institute of Technology Delhi; Earth System Science Organization (ESSO); Ministry of Earth Sciences (MoES) - India</t>
  </si>
  <si>
    <t>Mahesh, BS (corresponding author), Govt India, Minist Earth Sci, ESSO, Natl Ctr Antarctic &amp; Ocean Res, Vasco 403804, Goa, India.</t>
  </si>
  <si>
    <t>mahe687@gmail.com</t>
  </si>
  <si>
    <t>Warrier, Anish Kumar/AAW-8890-2020</t>
  </si>
  <si>
    <t>Warrier, Anish Kumar/0000-0003-0044-6224; Tiwari, Manish/0000-0003-3143-1658; Badnal, Mahesh/0000-0001-6593-4611</t>
  </si>
  <si>
    <t>10.1016/j.polar.2015.09.004</t>
  </si>
  <si>
    <t>WOS:000365384900005</t>
  </si>
  <si>
    <t>Hatha, AAM; Neethu, CS; Nikhil, SM; Rahiman, KMM; Krishnan, KP; Saramma, AV</t>
  </si>
  <si>
    <t>Hatha, A. A. Mohamed; Neethu, C. S.; Nikhil, S. M.; Rahiman, K. M. Mujeeb; Krishnan, K. P.; Saramma, A. V.</t>
  </si>
  <si>
    <t>Relatively high antibiotic resistance among heterotrophic bacteria from arctic fjord sediments than water - Evidence towards better selection pressure in the fjord sediments</t>
  </si>
  <si>
    <t>Kongsfjord; Heterotrophic bacteria; Coliforms; ESBL; Drug resistant mutants</t>
  </si>
  <si>
    <t>CLIMATE-CHANGE; PATTERNS; SHIFTS</t>
  </si>
  <si>
    <t>The objective of this study was to determine the prevalence of antibiotic resistance among aerobic heterotrophic bacteria and coliform bacteria from water and sediment of Kongsfjord. The study was based on the assumption that arctic fjord environments are relatively pristine and offer very little selection pressure for drug resistant mutants. In order to test the hypothesis, 200 isolates belonging to aerobic heterotrophic bacteria and 114 isolates belonging to coliforms were tested against 15 antibiotics belonging to 5 different classes such as beta lactams, aminoglycosides, quinolones, sulpha drugs and tetracyclines. Resistance to beta lactam and extended spectrum beta lactam (ESBL) antibiotics was considerably high and they found to vary significantly (p &lt; 0.05) between heterotrophic and coliform bacteria. Though the coliforms showed significantly high level of antibiotic resistance against ESBL's extent and diversity of antibiotic resistance (as revealed by multiple antibiotic resistance index and resistance patterns), was high in the aerobic heterotrophic bacteria. Most striking observation was that isolates from fjord sediments (both heterotrophic bacteria and coliforms) in general showed relatively high prevalence of antibiotic resistance against most of the antibiotics tested, indicating to better selection pressure for drug resistance mutants in the fjord sediments. (C) 2015 Elsevier B.V. and NIPR. All rights reserved.</t>
  </si>
  <si>
    <t>[Hatha, A. A. Mohamed; Neethu, C. S.; Nikhil, S. M.; Rahiman, K. M. Mujeeb; Saramma, A. V.] Cochin Univ Sci &amp; Technol, Sch Marine Sci, Dept Marine Biol Microbiol &amp; Biochem, Cochin 682016, Kerala, India; [Krishnan, K. P.] Natl Ctr Antarctic &amp; Ocean Res, Vasco Da Gama 403804, Goa, India</t>
  </si>
  <si>
    <t>Cochin University Science &amp; Technology; Ministry of Earth Sciences (MoES) - India; National Centre for Polar and Ocean Research (NCPOR)</t>
  </si>
  <si>
    <t>Hatha, AAM (corresponding author), Cochin Univ Sci &amp; Technol, Sch Marine Sci, Dept Marine Biol Microbiol &amp; Biochem, Cochin 682016, Kerala, India.</t>
  </si>
  <si>
    <t>mohamedhatha@gmail.com</t>
  </si>
  <si>
    <t>sainjan, neethu/0000-0002-1478-5035; Abdulla, Mohamed Hatha/0000-0003-0136-2911; , K. P. Krishnan/0000-0003-1101-657X</t>
  </si>
  <si>
    <t>10.1016/j.polar.2015.10.002</t>
  </si>
  <si>
    <t>WOS:000365384900008</t>
  </si>
  <si>
    <t>Kokubun, N; Lee, WY; Kim, JH; Takahashi, A</t>
  </si>
  <si>
    <t>Kokubun, Nobuo; Lee, Won Young; Kim, Jeong-Hoon; Takahashi, Akinori</t>
  </si>
  <si>
    <t>Chinstrap penguin foraging area associated with a seamount in Bransfield Strait, Antarctica</t>
  </si>
  <si>
    <t>Foraging habitat; Bathymetry; Bransfield current; Antarctic krill; Upwelling</t>
  </si>
  <si>
    <t>SOUTH SHETLAND ISLANDS; POPULATION-CHANGES; FUR SEALS; KRILL; BEHAVIOR; VARIABILITY; HABITAT; HOTSPOT; PREY; ALBATROSSES</t>
  </si>
  <si>
    <t>Identifying marine features that support high foraging performance of predators is useful to determine areas of ecological importance. This study aimed to identify marine features that are important for foraging of chinstrap penguins (Pygoscelis antarcticus), an abundant upper-trophic level predator in the Antarctic Peninsula region. We investigated the foraging locations of penguins breeding on King George Island using GPS- depth loggers. Tracking data from 18 birds (4232 dives), 11 birds (2095 dives), and 19 birds (3947 dives) were obtained in 2007, 2010, and 2015, respectively. In all three years, penguins frequently visited an area near a seamount (Orca Seamount) in Bransfield Strait. The percentage of dives (27.8% in 2007, 36.1% in 2010, and 19.1% in 2015) and depth wiggles (27.1% in 2007, 37.2% in 2010, and 22.3% in 2015) performed in this area was higher than that expected from the size of the area and distance from the colony (8.4% for 2007, 14.7% for 2010, and 6.3% for 2015). Stomach content analysis showed that the penguins fed mainly on Antarctic krill. These results suggest that the seamount provided a favorable foraging area for breeding chinstrap penguins, with high availability of Antarctic krill, possibly related to local upwelling. (C) 2015 Elsevier B.V. and NIPR. All rights reserved.</t>
  </si>
  <si>
    <t>[Kokubun, Nobuo; Takahashi, Akinori] Natl Inst Polar Res Japan, Tachikawa, Tokyo 1908518, Japan; [Kokubun, Nobuo; Takahashi, Akinori] SOKENDAI Grad Univ Adv Studies, Sch Multidisciplinary Sci, Dept Polar Sci, Tachikawa, Tokyo 1908518, Japan; [Lee, Won Young; Kim, Jeong-Hoon] Korea Polar Res Inst, Inchon 406840, South Korea</t>
  </si>
  <si>
    <t>Research Organization of Information &amp; Systems (ROIS); National Institute of Polar Research (NIPR) - Japan; Graduate University for Advanced Studies - Japan; Korea Institute of Ocean Science &amp; Technology (KIOST); Korea Polar Research Institute (KOPRI)</t>
  </si>
  <si>
    <t>Kokubun, N (corresponding author), Natl Inst Polar Res Japan, 10-3 Midori Cho, Tachikawa, Tokyo 1908518, Japan.</t>
  </si>
  <si>
    <t>kokubun@nipr.ac.jp</t>
  </si>
  <si>
    <t>Takahashi, Akinori/0000-0002-9868-0408</t>
  </si>
  <si>
    <t>Long-Term Ecological Research on King George Island [PE 14020]; Korean Ministry of Maritime Affairs and Fisheries [PM06010]; Japan Society for Promotion of Science (JSPS) Research Fellowship; JSPS [20310016]; Japanese Antarctic Program for Joint Research with Foreign Countries; Grants-in-Aid for Scientific Research [20310016] Funding Source: KAKEN</t>
  </si>
  <si>
    <t>Long-Term Ecological Research on King George Island; Korean Ministry of Maritime Affairs and Fisheries; Japan Society for Promotion of Science (JSPS) Research Fellowship(Ministry of Education, Culture, Sports, Science and Technology, Japan (MEXT)Japan Society for the Promotion of Science); JSPS(Ministry of Education, Culture, Sports, Science and Technology, Japan (MEXT)Japan Society for the Promotion of Science); Japanese Antarctic Program for Joint Research with Foreign Countries; Grants-in-Aid for Scientific Research(Ministry of Education, Culture, Sports, Science and Technology, Japan (MEXT)Japan Society for the Promotion of ScienceGrants-in-Aid for Scientific Research (KAKENHI))</t>
  </si>
  <si>
    <t>We are grateful to all staff of the King Sejong Station, Korea Polar Research Institute (KOPRI), for logistic support during our fieldwork. We would also like to thank Dr. Hyoung-Chul Shin, Dr. Yoshihisa Mori, and Dr. Eun-Jung Choy for helping with fieldwork at various stages. This study was supported by research grant PE 14020: Long-Term Ecological Research on King George Island to Predict Ecosystem Responses to Climate Change, provided by KOPRI. Partial support for the logistics was provided by research grant PM06010 from the Korean Ministry of Maritime Affairs and Fisheries. Additional support was provided by the Japan Society for Promotion of Science (JSPS) Research Fellowship for Young Scientists to NK, JSPS research grant 20310016 to AT, and the Japanese Antarctic Program for Joint Research with Foreign Countries. The Ministry of the Environment, Japan, issued all required permits to conduct the fieldwork. The production of this paper was supported by an NIPR publication subsidy. We are grateful to the two anonymous reviewers who provided helpful comments on the manuscript.</t>
  </si>
  <si>
    <t>10.1016/j.polar.2015.10.001</t>
  </si>
  <si>
    <t>WOS:000365384900010</t>
  </si>
  <si>
    <t>Gray, A</t>
  </si>
  <si>
    <t>Gray, Andrew</t>
  </si>
  <si>
    <t>Considering Non-Open Access Publication Charges in the Total Cost of Publication</t>
  </si>
  <si>
    <t>PUBLICATIONS</t>
  </si>
  <si>
    <t>scholarly publishing; page charges; colour charges; publishing charges; submission charges</t>
  </si>
  <si>
    <t>Recent research has tried to calculate the total cost of publication in the British academic sector, bringing together the costs of journal subscriptions, the article processing charges (APCs) paid to publish open-access content, and the indirect costs of handling open-access mandates. This study adds an estimate for the other publication charges (predominantly page and colour charges) currently paid by research institutions, a significant element which has been neglected by recent studies. When these charges are included in the calculation, the total cost to institutions as of 2013/14 is around 18.5% over and above the cost of journal subscriptions11% from APCs, 5.5% from indirect costs, and 2% from other publication charges. For the British academic sector as a whole, this represents a total cost of publication around 213 pound million against a conservatively estimated journal spend of 180 pound million, with non-APC publication charges representing around 3.6 pound million. A case study is presented to show that these costs may be unexpectedly high for individual institutions, depending on disciplinary focus. The feasibility of collecting this data on a widespread basis is discussed, along with the possibility of using it to inform future subscription negotiations with publishers.</t>
  </si>
  <si>
    <t>[Gray, Andrew] British Antarctic Survey, Cambridge CB3 0ET, England</t>
  </si>
  <si>
    <t>Gray, A (corresponding author), British Antarctic Survey, Madingley Rd, Cambridge CB3 0ET, England.</t>
  </si>
  <si>
    <t>anday@bas.ac.uk</t>
  </si>
  <si>
    <t>Gray, Andrew/N-8860-2019</t>
  </si>
  <si>
    <t>MDPI AG</t>
  </si>
  <si>
    <t>POSTFACH, CH-4005 BASEL, SWITZERLAND</t>
  </si>
  <si>
    <t>2304-6775</t>
  </si>
  <si>
    <t>Publications</t>
  </si>
  <si>
    <t>10.3390/publications3040248</t>
  </si>
  <si>
    <t>Information Science &amp; Library Science</t>
  </si>
  <si>
    <t>DA4YN</t>
  </si>
  <si>
    <t>WOS:000367808800004</t>
  </si>
  <si>
    <t>Govin, A; Capron, E; Tzedakis, PC; Verheyden, S; Ghaleb, B; Hillaire-Marcel, C; St-Onge, G; Stoner, JS; Bassinot, F; Bazin, L; Blunier, T; Combourieu-Nebout, N; El Ouahabi, A; Genty, D; Gersonde, R; Jimenez-Amat, P; Landais, A; Martrat, B; Masson-Delmotte, V; Parrenin, F; Seidenkrantz, MS; Veres, D; Waelbroeck, C; Zahn, R</t>
  </si>
  <si>
    <t>Govin, A.; Capron, E.; Tzedakis, P. C.; Verheyden, S.; Ghaleb, B.; Hillaire-Marcel, C.; St-Onge, G.; Stoner, J. S.; Bassinot, F.; Bazin, L.; Blunier, T.; Combourieu-Nebout, N.; El Ouahabi, A.; Genty, D.; Gersonde, R.; Jimenez-Amat, P.; Landais, A.; Martrat, B.; Masson-Delmotte, V.; Parrenin, F.; Seidenkrantz, M. -S.; Veres, D.; Waelbroeck, C.; Zahn, R.</t>
  </si>
  <si>
    <t>Sequence of events from the onset to the demise of the Last Interglacial: Evaluating strengths and limitations of chronologies used in climatic archives</t>
  </si>
  <si>
    <t>Last Interglacial; Penultimate deglaciation; Last glacial inception; Chronology; Corals; Speleothems; Ice cores; Marine sediments; Peat and lake sediments; Climate dynamics</t>
  </si>
  <si>
    <t>GREENLAND ICE-CORE; EASTERN MEDITERRANEAN REGION; PENULTIMATE GLACIAL MAXIMUM; DANSGAARD-OESCHGER EVENTS; NORTH-ATLANTIC OCEAN; SEA-LEVEL CHANGES; CAVE APUAN ALPS; OXYGEN-ISOTOPE; MILLENNIAL-SCALE; ANTARCTIC ICE</t>
  </si>
  <si>
    <t>The Last Interglacial (LIG) represents an invaluable case study to investigate the response of components of the Earth system to global warming. However, the scarcity of absolute age constraints in most archives leads to extensive use of various stratigraphic alignments to different reference chronologies. This feature sets limitations to the accuracy of the stratigraphic assignment of the climatic sequence of events across the globe during the LIG. Here, we review the strengths and limitations of the methods that are commonly used to date or develop chronologies in various climatic archives for the time span (similar to 140 -100 ka) encompassing the penultimate deglaciation, the LIG and the glacial inception. Climatic hypotheses underlying record alignment strategies and the interpretation of tracers are explicitly described. Quantitative estimates of the associated absolute and relative age uncertainties are provided. Recommendations are subsequently formulated on how best to define absolute and relative chronologies. Future climato-stratigraphic alignments should provide (1) a clear statement of climate hypotheses involved, (2) a detailed understanding of environmental parameters controlling selected tracers and (3) a careful evaluation of the synchronicity of aligned paleoclimatic records. We underscore the need to (1) systematically report quantitative estimates of relative and absolute age uncertainties, (2) assess the coherence of chronologies when comparing different records, and (3) integrate these uncertainties in paleoclimatic interpretations and comparisons with climate simulations. Finally, we provide a sequence of major climatic events with associated age uncertainties for the period 140-105 ka, which should serve as a new benchmark to disentangle mechanisms of the Earth system's response to orbital forcing and evaluate transient climate simulations. (C) 2015 The Authors. Published by Elsevier Ltd. This is an open access article under the CC BY license (http://creativecommons.org/licenses/by/4.0/).</t>
  </si>
  <si>
    <t>[Govin, A.] Univ Bremen, MARUM Ctr Marine Environm Sci, D-28359 Bremen, Germany; [Capron, E.] British Antarctic Survey, Cambridge CB3 0ET, England; [Tzedakis, P. C.] UCL, Dept Geog, Environm Change Res Ctr, London WC1E 6BT, England; [Verheyden, S.] Royal Belgian Inst Nat Sci, B-1000 Brussels, Belgium; [Ghaleb, B.; Hillaire-Marcel, C.] Univ Quebec, Geotop, Montreal, PQ H3C 3P8, Canada; [St-Onge, G.] Univ Quebec, Canada Res Chair Marine Geol, Inst Sci Mer Rimouski ISMER, Rimouski, PQ G5L 3A1, Canada; [St-Onge, G.] GEOTOP Res Ctr, Montreal, PQ, Canada; [Stoner, J. S.] Oregon State Univ, Coll Earth Ocean &amp; Atmospher Sci, Corvallis, OR 97331 USA; [Bassinot, F.; Bazin, L.; Genty, D.; Landais, A.; Masson-Delmotte, V.; Waelbroeck, C.] Inst Pierre Simon Laplace, Lab Sci Climat &amp; Environm, CEA CNRS UVSQ, UMR 8212, F-91190 Gif Sur Yvette, France; [Blunier, T.] Univ Copenhagen, Niels Bohr Inst, Ctr Ice &amp; Climate, DK-1168 Copenhagen, Denmark; [Combourieu-Nebout, N.] Museum Natl Hist Nat, Inst Paleontol Humaine, Dept Prehist, UMR 7194,CNRS Hist Nat Homme Prehist, F-75013 Paris, France; [El Ouahabi, A.; Martrat, B.] Spanish Council Sci Res CSIC, Dept Environm Chem, Inst Environm Assessment &amp; Water Res IDAEA, Barcelona 08034, Spain; [Gersonde, R.] Helmholtz Ctr Polar &amp; Marine Res, Alfred Wegener Inst, D-27570 Bremerhaven, Germany; [Jimenez-Amat, P.] Univ Autonoma Barcelona, Inst Environm Sci &amp; Technol, Bellaterra 08193, Spain; [Jimenez-Amat, P.] Univ Autonoma Barcelona, Dept Geog, Bellaterra 08193, Spain; [Parrenin, F.; Veres, D.] CNRS, UJF, Lab Glaciol &amp; Geophys Environm, F-38402 St Martin Dheres, France; [Seidenkrantz, M. -S.] Aarhus Univ, Dept Geosci, Ctr Climate Studies, DK-8000 Aarhus C, Denmark; [Zahn, R.] Univ Autonoma Barcelona, Inst Catalana Recerca &amp; Estudis Avancats ICREA, Bellaterra 08193, Spain; [Zahn, R.] Univ Autonoma Barcelona, Dept Fis, Inst Ciencia &amp; Tecnol Ambientals ICTA, Bellaterra 08193, Spain</t>
  </si>
  <si>
    <t>University of Bremen; UK Research &amp; Innovation (UKRI); Natural Environment Research Council (NERC); NERC British Antarctic Survey; University of London; University College London; Royal Belgian Institute of Natural Sciences; University of Quebec; University of Quebec Montreal; University of Quebec; Oregon State University; Centre National de la Recherche Scientifique (CNRS); CNRS - National Institute for Earth Sciences &amp; Astronomy (INSU); Universite Paris Cite; CEA; Universite Paris Saclay; University of Copenhagen; Niels Bohr Institute; Museum National d'Histoire Naturelle (MNHN); Centre National de la Recherche Scientifique (CNRS); CNRS - Institute of Ecology &amp; Environment (INEE); Consejo Superior de Investigaciones Cientificas (CSIC); CSIC - Centro de Investigacion y Desarrollo Pascual Vila (CID-CSIC); CSIC - Instituto de Diagnostico Ambiental y Estudios del Agua (IDAEA); Helmholtz Association; Alfred Wegener Institute, Helmholtz Centre for Polar &amp; Marine Research; Autonomous University of Barcelona; Autonomous University of Barcelona; Communaute Universite Grenoble Alpes; Universite Grenoble Alpes (UGA); Centre National de la Recherche Scientifique (CNRS); Aarhus University; Autonomous University of Barcelona; ICREA; Autonomous University of Barcelona</t>
  </si>
  <si>
    <t>Govin, A (corresponding author), Inst Pierre Simon Laplace, Lab Sci Climat &amp; Environm, Batiment 12,Domaine CNRS,Ave Terrasse, F-91190 Gif Sur Yvette, France.</t>
  </si>
  <si>
    <t>aline.govin@lsce.ipsl.fr; ecap@bas.ac.uk</t>
  </si>
  <si>
    <t>Capron, Emilie/ITU-2672-2023; Tzedakis, Polychronis C/J-1894-2012; Parrenin, Frédéric/H-3054-2014; Veres, Daniel S/GNH-2578-2022; Veres, Daniel/AAX-3319-2020; Masson-Delmotte, Valerie L/G-1995-2011; Veres, Daniel/GNH-2718-2022; Seidenkrantz, Marit-Solveig/A-3451-2012; St-Onge, Guillaume/E-4828-2014; Hillaire-Marcel, Claude/H-1441-2012; Martrat, Belen/I-5952-2015; Seidenkrantz, Marit-Solveig/T-7198-2019; Blunier, Thomas/M-4609-2014; Govin, Aline/E-6354-2013; Hillaire-Marcel, Claude/C-9153-2013</t>
  </si>
  <si>
    <t>Parrenin, Frédéric/0000-0002-9489-3991; Veres, Daniel/0000-0003-3932-577X; Masson-Delmotte, Valerie L/0000-0001-8296-381X; Martrat, Belen/0000-0001-9904-9178; St-Onge, Guillaume/0000-0001-6958-4217; Seidenkrantz, Marit-Solveig/0000-0002-1973-5969; LANDAIS, Amaelle/0000-0002-5620-5465; Bazin, Lucie/0000-0003-4808-4090; Verheyden, Sophie/0000-0002-1755-0389; Blunier, Thomas/0000-0002-6065-7747; Combourieu-Nebout, Nathalie/0000-0002-3604-5986; Tzedakis, Polychronis/0000-0001-6072-1166; Govin, Aline/0000-0001-8512-5571; waelbroeck, claire/0000-0002-7256-5727; Hillaire-Marcel, Claude/0000-0002-3733-4632</t>
  </si>
  <si>
    <t>European Union [243908]; Deutsche Forschungsgemeinschaft (DFG) under the special Priority Program INTERDYNAMIC (EngLIG project) [GO 2122/1-1]; DFG Research Center/Cluster of Excellence The Ocean in the Earth System; British Antarctic Survey Polar Science for Planet Earth Programme; CSIC-JAE-Pre028 contract; CSIC-Ramon y Cajal [RYC-2013-14073]; Danish Council for Independent Research, Natural Science [12-126709/FNU]; Belgian Federal Science Policy Office (BELSPO) [MO/36/028]; Natural Environment Research Council [NE/G00756X/1, NE/I009639/1, bas0100034] Funding Source: researchfish; ICREA Funding Source: Custom; NERC [NE/I009639/1, bas0100034, NE/G00756X/1] Funding Source: UKRI</t>
  </si>
  <si>
    <t>European Union(European Union (EU)); Deutsche Forschungsgemeinschaft (DFG) under the special Priority Program INTERDYNAMIC (EngLIG project)(German Research Foundation (DFG)); DFG Research Center/Cluster of Excellence The Ocean in the Earth System(German Research Foundation (DFG)); British Antarctic Survey Polar Science for Planet Earth Programme; CSIC-JAE-Pre028 contract; CSIC-Ramon y Cajal; Danish Council for Independent Research, Natural Science(Det Frie Forskningsrad (DFF)); Belgian Federal Science Policy Office (BELSPO)(Belgian Federal Science Policy Office); Natural Environment Research Council(UK Research &amp; Innovation (UKRI)Natural Environment Research Council (NERC)); ICREA(ICREA); NERC(UK Research &amp; Innovation (UKRI)Natural Environment Research Council (NERC))</t>
  </si>
  <si>
    <t>We are particularly thankful to the various authors cited in the text who gave us access to-their data. The research leading to these results received funding from the European Union's Seventh Framework Programme (FP7/2007-2013) under grant agreement 243908, Past4Future. Climate change-Learning from the past climate. A.G. was supported by the Deutsche Forschungsgemeinschaft (DFG) under the special Priority Program INTERDYNAMIC (EngLIG project, grant GO 2122/1-1) and the DFG Research Center/Cluster of Excellence The Ocean in the Earth System. This study is also supported by the British Antarctic Survey Polar Science for Planet Earth Programme. We acknowledge support from CSIC-JAE-Pre028 contract (A.E.O.), CSIC-Ramon y Cajal post-doctoral program RYC-2013-14073 (B.M.), the Danish Council for Independent Research, Natural Science (12-126709/FNU; M.S.S.), and the Belgian Federal Science Policy Office (BELSPO, MO/36/028, S.V.). We thank the Editor (H. Bauch) and two anonymous reviewers for their constructive comments, which greatly improved the manuscript.</t>
  </si>
  <si>
    <t>10.1016/j.quascirev.2015.09.018</t>
  </si>
  <si>
    <t>Green Published, hybrid, Green Accepted, Green Submitted</t>
  </si>
  <si>
    <t>WOS:000366232300001</t>
  </si>
  <si>
    <t>Goslin, J; Lanoë, BVV; Spada, G; Bradley, S; Tarasov, L; Neill, S; Suanez, S</t>
  </si>
  <si>
    <t>Goslin, Jerome; Lanoe, Brigitte Van Vliet; Spada, Giorgio; Bradley, Sarah; Tarasov, Lev; Neill, Simon; Suanez, Serge</t>
  </si>
  <si>
    <t>A new Holocene relative sea-level curve for western Brittany (France): Insights on isostatic dynamics along the Atlantic coasts of north-western Europe</t>
  </si>
  <si>
    <t>Relative sea-level; Holocene; Isostasy; GIA models; Tidal-range modelling; Earth structure; Brittany</t>
  </si>
  <si>
    <t>VERTICAL LAND MOTION; MEAN HIGH WATER; ICE-SHEET; CHANGES LESSONS; CHANNEL COASTS; BRITISH-ISLES; RISE; ADJUSTMENT; MARSH; EARTH</t>
  </si>
  <si>
    <t>This study presents new Relative Sea Level (RSL) data that were obtained in the Finistere region (Western tip of Brittany, France) and the implications those data have for the understanding of the isostatic dynamics across north-western Europe, and more specifically along the Atlantic and Channel coasts. New stratigraphic sequences were obtained and analyzed to derive 24 new Sea-level Index Points, in which 6 are basal. These new data considerably increase the knowledge we have of the RSL evolution along the coasts of Western Brittany since the last 8 kyr B.P. From this new dataset, RSL was estimated to rise continuously over the last 8 kyr with a major inflection at ca. 6 kyr cal. BP. Our results show large vertical discrepancies between the RSL records of Brittany and South-Western UK, with the latter plotting several meters below the new data. From this comparison we suggest that the two regions underwent a very different pattern and/or amplitude of subsidence during the last 8 kyr which has implications for the spatial and temporal pattern of the peripheral bulge of the European ice sheets. We compared our data against predictions from Glacio-Isostatic Adjustment models (GIA models). There are large misfits between RSL observations and the predictions of the global (ICE-5G (VM2a) - Peltier, 2004, GLAC1-b - Tarasov and Peltier, 2002; Tarasov et al., 2012, Briggs et al., 2014) and regional UK models (BIIS - Bradley et al., 2009; Bradley et al., 2011; Kuchar- Kuchar et al., 2012), which can't be resolved through significant changes to the deglaciation history and size of the British Irish Ice sheet. Paleo-tidal modelling corrections indicate regional changes in the tidal ranges played a negligible role in the data-model misfits. Hence, we propose that the misfits are due to some combination of: (i) unaccounted mass-loss of far-field ice-sheets (Antarctic ice-Sheet or Laurentide Ice-Sheet), (ii) unresolved differences in the deglaciation history and size of the Fennoscandian Ice sheet or, more likely, (iii) significant lateral variations in the Earth's structure across the English Channel. (C) 2015 Elsevier Ltd. All rights reserved.</t>
  </si>
  <si>
    <t>[Goslin, Jerome; Suanez, Serge] European Inst Marine Studies, Geomer Lab, CNRS, UMR 6554,LETG, F-29280 Plouzane, France; [Lanoe, Brigitte Van Vliet] European Inst Marine Studies, Domaines Ocean Lab, CNRS, UMR 6538, F-29280 Plouzane, France; [Spada, Giorgio] Univ Urbino Carlo Bo, Dipartimento Sci Base &amp; Fondamenti, I-61029 Urbino, PU, Italy; [Bradley, Sarah] Univ Utrecht, Inst Marine &amp; Atmospher Res Utrecht IMAU, NL-3584 CC Utrecht, Netherlands; [Tarasov, Lev] Mem Univ Newfoundland, Dept Phys &amp; Phys Oceanog, St John, NF A1C 5S7, Canada; [Neill, Simon] Bangor Univ, Sch Ocean Sci, Isle Of Anglesey LL59 5AB, Wales</t>
  </si>
  <si>
    <t>Centre National de la Recherche Scientifique (CNRS); CNRS - Institute of Ecology &amp; Environment (INEE); Universite de Bretagne Occidentale; Institut Universitaire Europeen de la Mer (IUEM); Universite de Bretagne Occidentale; Institut Universitaire Europeen de la Mer (IUEM); Centre National de la Recherche Scientifique (CNRS); CNRS - National Institute for Earth Sciences &amp; Astronomy (INSU); University of Urbino; Utrecht University; Memorial University Newfoundland; Bangor University</t>
  </si>
  <si>
    <t>Goslin, J (corresponding author), European Inst Marine Studies, Geomer Lab, CNRS, UMR 6554,LETG, 1 Pl Nicolas Copernic, F-29280 Plouzane, France.</t>
  </si>
  <si>
    <t>jerome.goslin@univ-brest.fr</t>
  </si>
  <si>
    <t>Neill, Simon P/F-4500-2011; IPO, PAGES/JXY-7546-2024</t>
  </si>
  <si>
    <t>Neill, Simon/0000-0002-1674-3445; Suanez, Serge/0000-0003-0872-8699; Goslin, Jerome/0000-0002-9247-518X</t>
  </si>
  <si>
    <t>ANR COCORISCO; Domaines Oceaniques UMR; Geomer UMR LETG; DiSBeF grant [CUP H31J13000160001]</t>
  </si>
  <si>
    <t>ANR COCORISCO(Agence Nationale de la Recherche (ANR)); Domaines Oceaniques UMR; Geomer UMR LETG; DiSBeF grant</t>
  </si>
  <si>
    <t>This work is a contribution to the ANR COCORISCO (French National Research Agency Program for the Assessment and Management of Coastal Risks, ANR 2010-CEPL-001-01, Pole-Mer Bretagne), task 2 Historical and geological signatures. Financial support for equipment, fieldwork and analyses was provided by ANR COCORISCO, as well as by the host organizations: Domaines Oceaniques UMR 6538 and Geomer UMR 6654 LETG. G. Spada is funded by a DiSBeF grant (CUP H31J13000160001). The authors are grateful to N. Guidicelli and C. Kermagoret for their outstanding help in the field. This paper is a contribution to the PALSEA2 program of PAGES IGBP and the INQUA Commission on Coastal and Marine Processes. The authors are very grateful to C. Murray Wallace, Roland Gehrels and to one anonymous reviewer whose comments and suggestions significantly helped to push the manuscript further.</t>
  </si>
  <si>
    <t>10.1016/j.quascirev.2015.10.029</t>
  </si>
  <si>
    <t>WOS:000366232300022</t>
  </si>
  <si>
    <t>Maccario, L; Sanguino, L; Vogel, TM; Larose, C</t>
  </si>
  <si>
    <t>Maccario, Lorrie; Sanguino, Laura; Vogel, Timothy M.; Larose, Catherine</t>
  </si>
  <si>
    <t>Snow and ice ecosystems: not so extreme</t>
  </si>
  <si>
    <t>RESEARCH IN MICROBIOLOGY</t>
  </si>
  <si>
    <t>Snow; Ice; Extreme; Microbial ecology</t>
  </si>
  <si>
    <t>WORMS MESENCHYTRAEUS-SOLIFUGUS; MICROBIAL COMMUNITY STRUCTURE; ANTARCTIC SEA-ICE; HIGH ARCTIC SNOW; AT-15 DEGREES-C; ULTRAVIOLET-RADIATION; BACTERIAL DIVERSITY; UV-RADIATION; FRESH-WATER; PHYSIOLOGICAL DIVERSITY</t>
  </si>
  <si>
    <t>Snow and ice environments cover up to 21% of the Earth's surface. They have been regarded as extreme environments because of their low temperatures, high UV irradiation, low nutrients and low water availability, and thus, their microbial activity has not been considered relevant from a global microbial ecology viewpoint. In this review, we focus on why snow and ice habitats might not be extreme from a microbiological perspective. Microorganisms interact closely with the abiotic conditions imposed by snow and ice habitats by having diverse adaptations, that include genetic resistance mechanisms, to different types of stresses in addition to inhabiting various niches where these potential stresses might be reduced. The microbial communities inhabiting snow and ice are not only abundant and taxonomically diverse, but complex in terms of their interactions. Altogether, snow and ice seem to be true ecosystems with a role in global biogeochemical cycles that has likely been underestimated. Future work should expand past resistance studies to understanding the function of these ecosystems. (C) 2015 Institut Pasteur. Published by Elsevier Masson SAS. All rights reserved.</t>
  </si>
  <si>
    <t>[Maccario, Lorrie; Sanguino, Laura; Vogel, Timothy M.; Larose, Catherine] Univ Lyon, Ecole Cent Lyon, CNRS UMR 5005, Environm Microbial Genom,Lab Ampere, F-69134 Ecully, France</t>
  </si>
  <si>
    <t>Ecole Centrale de Lyon; Universite Claude Bernard Lyon 1; Centre National de la Recherche Scientifique (CNRS); CNRS - Institute for Engineering &amp; Systems Sciences (INSIS); Institut National des Sciences Appliquees de Lyon - INSA Lyon</t>
  </si>
  <si>
    <t>Larose, C (corresponding author), Univ Lyon, Ecole Cent Lyon, CNRS UMR 5005, Environm Microbial Genom,Lab Ampere, 36 Ave Guy Collongue, F-69134 Ecully, France.</t>
  </si>
  <si>
    <t>catherine.larose@ec-lyon.fr</t>
  </si>
  <si>
    <t>Vogel, Teri/B-3467-2009</t>
  </si>
  <si>
    <t>Vogel, Teri/0000-0002-6673-0925; Maccario, Lorrie/0000-0002-6069-6463; Vogel, Timothy/0000-0002-9542-3246</t>
  </si>
  <si>
    <t>Region Rhone-Alpes (France); European Union [289949]; Marie Curie Actions</t>
  </si>
  <si>
    <t>Region Rhone-Alpes (France)(Region Auvergne-Rhone-Alpes); European Union(European Union (EU)); Marie Curie Actions(European Union (EU)Marie Curie Actions)</t>
  </si>
  <si>
    <t>LM was supported in part by the Region Rhone-Alpes (France). LS was funded from the European Union's Seventh Framework Program for research, technological development and demonstration under grant agreement no. [289949]. This research is part of the European project Trainbiodiverse and was funded by Marie Curie Actions.</t>
  </si>
  <si>
    <t>0923-2508</t>
  </si>
  <si>
    <t>1769-7123</t>
  </si>
  <si>
    <t>RES MICROBIOL</t>
  </si>
  <si>
    <t>Res. Microbiol.</t>
  </si>
  <si>
    <t>10.1016/j.resmic.2015.09.002</t>
  </si>
  <si>
    <t>DB4AI</t>
  </si>
  <si>
    <t>WOS:000368454700007</t>
  </si>
  <si>
    <t>Patton, H; Andreassen, K; Bjarnadóttir, LR; Dowdeswell, JA; Winsborrow, MCM; Noormets, R; Polyak, L; Auriac, A; Hubbard, A</t>
  </si>
  <si>
    <t>Patton, Henry; Andreassen, Karin; Bjarnadottir, Lilja R.; Dowdeswell, Julian A.; Winsborrow, Monica C. M.; Noormets, Riko; Polyak, Leonid; Auriac, Amandine; Hubbard, Alun</t>
  </si>
  <si>
    <t>Geophysical constraints on the dynamics and retreat of the Barents Sea ice sheet as a paleobenchmark for models of marine ice sheet deglaciation</t>
  </si>
  <si>
    <t>REVIEWS OF GEOPHYSICS</t>
  </si>
  <si>
    <t>LAST-GLACIAL-MAXIMUM; FRANZ-JOSEF-LAND; TROUGH-MOUTH FANS; LATE-WEICHSELIAN-DEGLACIATION; QUATERNARY SEDIMENTARY PROCESSES; SVALBARD CONTINENTAL-MARGIN; 3-DIMENSIONAL SEISMIC DATA; POLAR NORTH-ATLANTIC; PRINS KARLS FORLAND; ARCTIC-OCEAN</t>
  </si>
  <si>
    <t>Our understanding of processes relating to the retreat of marine-based ice sheets, such as the West Antarctic Ice Sheet and tidewater-terminating glaciers in Greenland today, is still limited. In particular, the role of ice stream instabilities and oceanographic dynamics in driving their collapse are poorly constrained beyond observational timescales. Over numerous glaciations during the Quaternary, a marine-based ice sheet has waxed and waned over the Barents Sea continental shelf, characterized by a number of ice streams that extended to the shelf edge and subsequently collapsed during periods of climate and ocean warming. Increasing availability of offshore and onshore geophysical data over the last decade has significantly enhanced our knowledge of the pattern and timing of retreat of this Barents Sea ice sheet (BSIS), particularly so from its Late Weichselian maximum extent. We present a review of existing geophysical constraints that detail the dynamic evolution of the BSIS through the last glacial cycle, providing numerical modelers and geophysical workers with a benchmark data set with which to tune ice sheet reconstructions and explore ice sheet sensitivities and drivers of dynamic behavior. Although constraining data are generally spatially sporadic across the Barents and Kara Seas, behaviors such as ice sheet thinning, major ice divide migration, asynchronous and rapid flow switching, and ice stream collapses are all evident. Further investigation into the drivers and mechanisms of such dynamics within this unique paleo-analogue is seen as a key priority for advancing our understanding of marine-based ice sheet deglaciations, both in the deep past and in the short-term future.</t>
  </si>
  <si>
    <t>[Patton, Henry; Andreassen, Karin; Winsborrow, Monica C. M.; Polyak, Leonid; Hubbard, Alun] UiT, Dept Geol, CAGE Ctr Arctic Gas Hydrate Environm &amp; Climate, Tromso, Norway; [Bjarnadottir, Lilja R.] Geol Survey Norway, N-7002 Trondheim, Norway; [Dowdeswell, Julian A.] Univ Cambridge, Scott Polar Res Inst, Cambridge CB2 1ER, England; [Noormets, Riko] Univ Ctr Svalbard UNIS, Longyearbyen, Norway; [Polyak, Leonid] Ohio State Univ, Byrd Polar Res Ctr, Columbus, OH 43210 USA; [Auriac, Amandine] Univ Durham, Dept Geog, Durham, England</t>
  </si>
  <si>
    <t>UiT The Arctic University of Tromso; Geological Survey of Norway; University of Cambridge; University Centre Svalbard (UNIS); University System of Ohio; Ohio State University; Durham University</t>
  </si>
  <si>
    <t>Patton, H (corresponding author), UiT, Dept Geol, CAGE Ctr Arctic Gas Hydrate Environm &amp; Climate, Tromso, Norway.</t>
  </si>
  <si>
    <t>henry.patton@uit.no</t>
  </si>
  <si>
    <t>Andreev, Andrei A/J-2701-2015; Patton, Henry/H-7525-2019; Tarasov, Pavel/ABG-3993-2020; Hubbard, Alun/R-5085-2017</t>
  </si>
  <si>
    <t>Andreev, Andrei A/0000-0002-8745-9636; Patton, Henry/0000-0001-9670-611X; Tarasov, Pavel/0000-0002-7219-5009; Andreassen, Karin/0000-0002-9407-526X; Winsborrow, Monica/0000-0001-5950-1254; Dowdeswell, Julian/0000-0003-1369-9482; Noormets, Riko/0000-0002-2832-386X; Hubbard, Alun/0000-0002-0503-3915</t>
  </si>
  <si>
    <t>Research Council of Norway (RCN) through the PetroMaks project Glaciations in the Barents Sea area (GlaciBar) [200672]; Research Council of Norway (RCN) and its Centres of Excellence funding scheme to the Centre for Arctic Gas Hydrate, Environment and Climate (CAGE) [223259]; European Commission Initial Training Network (ITN) project Glaciated North Atlantic Margins (GLANAM) [317217]; RCN funded project Research Centre for Arctic Petroleum Exploration (ARCEx) [228107]</t>
  </si>
  <si>
    <t>Research Council of Norway (RCN) through the PetroMaks project Glaciations in the Barents Sea area (GlaciBar)(Research Council of Norway); Research Council of Norway (RCN) and its Centres of Excellence funding scheme to the Centre for Arctic Gas Hydrate, Environment and Climate (CAGE)(Research Council of Norway); European Commission Initial Training Network (ITN) project Glaciated North Atlantic Margins (GLANAM); RCN funded project Research Centre for Arctic Petroleum Exploration (ARCEx)</t>
  </si>
  <si>
    <t>Funding for this work was supported by the Research Council of Norway (RCN) through the PetroMaks project Glaciations in the Barents Sea area (GlaciBar) (grant 200672) and its Centres of Excellence funding scheme to the Centre for Arctic Gas Hydrate, Environment and Climate (CAGE), (grant 223259). This is also a contribution to the European Commission Initial Training Network (ITN) project Glaciated North Atlantic Margins (GLANAM) (grant 317217) as well as the RCN funded project Research Centre for Arctic Petroleum Exploration (ARCEx) (grant 228107). We thank Editor-in-Chief Mark Moldwin, Renata Lucchi, and another anonymous reviewer for their constructive comments that helped improve the quality of this paper. Sources for the recalibrated absolute dates used in this review can be found in Tables 1-3. Mapped geomorphological data used are listed in the references. Paleotopography data associated with the ICE-6G_C model were obtained from the project website (http://www.atmosp.physics.utoronto.ca/similar to peltier/data.php).</t>
  </si>
  <si>
    <t>8755-1209</t>
  </si>
  <si>
    <t>1944-9208</t>
  </si>
  <si>
    <t>REV GEOPHYS</t>
  </si>
  <si>
    <t>Rev. Geophys.</t>
  </si>
  <si>
    <t>10.1191/095968398677085532; 10.1002/2015RG000495</t>
  </si>
  <si>
    <t>DC3YV</t>
  </si>
  <si>
    <t>WOS:000369157300001</t>
  </si>
  <si>
    <t>Chen, N; Xu, C; Wu, Q; Xiong, Y; Chen, G; Song, D</t>
  </si>
  <si>
    <t>Chen, N.; Xu, C.; Wu, Q.; Xiong, Y.; Chen, G.; Song, D.</t>
  </si>
  <si>
    <t>Changes in circadian rhythm, sleep and psychological state of Chinese Antarctic winter-over expeditioners</t>
  </si>
  <si>
    <t>SLEEP MEDICINE</t>
  </si>
  <si>
    <t>[Chen, N.; Xu, C.; Xiong, Y.] Chinese Acad Med Sci, Inst Basic Med Sci, Peking Union Med Coll, Sch Basic Med, Beijing, Peoples R China; [Wu, Q.] Beijing Jishuitan Hosp, Dept Gen Surg, Beijing, Peoples R China; [Chen, G.; Song, D.] Beijing Inst Technol, Beijing, Peoples R China</t>
  </si>
  <si>
    <t>Institute of Basic Medical Sciences - CAMS; Chinese Academy of Medical Sciences - Peking Union Medical College; Peking Union Medical College; Beijing Institute of Technology</t>
  </si>
  <si>
    <t>National Natural Science Foundation of China [81071615]; Chinese Polar Environment Comprehensive Investigation &amp; Assessment Programs [CHINARE2013-02-01]; Chinese Arctic and Antarctic Administration; Polar Research Institute of China</t>
  </si>
  <si>
    <t>National Natural Science Foundation of China(National Natural Science Foundation of China (NSFC)); Chinese Polar Environment Comprehensive Investigation &amp; Assessment Programs; Chinese Arctic and Antarctic Administration; Polar Research Institute of China</t>
  </si>
  <si>
    <t>The study was funded by National Natural Science Foundation of China (81071615) and Chinese Polar Environment Comprehensive Investigation &amp; Assessment Programs (CHINARE2013-02-01). We acknowledge the cooperation of the 27th Antarctic wintering personnel at Zhongshan Station, and the support of Chinese Arctic and Antarctic Administration and Polar Research Institute of China.</t>
  </si>
  <si>
    <t>1389-9457</t>
  </si>
  <si>
    <t>1878-5506</t>
  </si>
  <si>
    <t>SLEEP MED</t>
  </si>
  <si>
    <t>Sleep Med.</t>
  </si>
  <si>
    <t>S42</t>
  </si>
  <si>
    <t>10.1016/j.sleep.2015.02.101</t>
  </si>
  <si>
    <t>VK5HU</t>
  </si>
  <si>
    <t>WOS:000721696000100</t>
  </si>
  <si>
    <t>Xu, C; Chen, N; Hu, J; Xiong, Y</t>
  </si>
  <si>
    <t>Xu, C.; Chen, N.; Hu, J.; Xiong, Y.</t>
  </si>
  <si>
    <t>Sleep patterns of the 29th Chinese winter-over expeditioners during prolonged stay at Antarctica</t>
  </si>
  <si>
    <t>[Xu, C.] Chinese Acad Med Sci, Inst Basic Med Sci, Beijing, Peoples R China; [Chen, N.; Xiong, Y.] Chinese Acad Med Sci, Sch Basic Med, Peking Union Med Coll, Inst Basic Med Sci, Beijing, Peoples R China; [Hu, J.] Peoples Hosp Pingxiang, Pingxiang, Jiangxi, Peoples R China</t>
  </si>
  <si>
    <t>Chinese Academy of Medical Sciences - Peking Union Medical College; Institute of Basic Medical Sciences - CAMS; Chinese Academy of Medical Sciences - Peking Union Medical College; Peking Union Medical College; Institute of Basic Medical Sciences - CAMS</t>
  </si>
  <si>
    <t>Chinese Polar Environment Comprehensive Investigation &amp; Assessment Programs [CHINARE2014-02-01]; Chinese Arctic and Antarctic Administration; Polar Research Institute of China</t>
  </si>
  <si>
    <t>Chinese Polar Environment Comprehensive Investigation &amp; Assessment Programs; Chinese Arctic and Antarctic Administration; Polar Research Institute of China</t>
  </si>
  <si>
    <t>The study was funded by Chinese Polar Environment Comprehensive Investigation &amp; Assessment Programs (CHINARE2014-02-01). Authors acknowledge the cooperation of the 29th Chinese winter-over expeditioners at Zhongshan Station, and the support of Chinese Arctic and Antarctic Administration and Polar Research Institute of China.</t>
  </si>
  <si>
    <t>S171</t>
  </si>
  <si>
    <t>S172</t>
  </si>
  <si>
    <t>10.1016/j.sleep.2015.02.1560</t>
  </si>
  <si>
    <t>WOS:000721696000445</t>
  </si>
  <si>
    <t>Bockelée-Morvan, D; Calmonte, U; Charnley, S; Duprat, J; Engrand, C; Gicquel, A; Hässig, M; Jehin, E; Kawakita, H; Marty, B; Milam, S; Morse, A; Rousselot, P; Sheridan, S; Wirström, E</t>
  </si>
  <si>
    <t>Bockelee-Morvan, Dominique; Calmonte, Ursina; Charnley, Steven; Duprat, Jean; Engrand, Cecile; Gicquel, Adeline; Haessig, Myrtha; Jehin, Emmanuel; Kawakita, Hideyo; Marty, Bernard; Milam, Stefanie; Morse, Andrew; Rousselot, Philippe; Sheridan, Simon; Wirstrom, Eva</t>
  </si>
  <si>
    <t>Cometary Isotopic Measurements</t>
  </si>
  <si>
    <t>SPACE SCIENCE REVIEWS</t>
  </si>
  <si>
    <t>Comets; Isotopes</t>
  </si>
  <si>
    <t>INTERPLANETARY DUST PARTICLES; ULTRACARBONACEOUS ANTARCTIC MICROMETEORITES; O1 HALE-BOPP; MOLECULAR-CLOUD MATERIAL; SOLAR-SYSTEM; ABUNDANCE RATIO; LOW-MASS; DEUTERIUM FRACTIONATION; ORGANIC-MATTER; DENSE CORES</t>
  </si>
  <si>
    <t>Isotopic ratios in comets provide keys for the understanding of the origin of cometary material, and the physical and chemical conditions in the early Solar Nebula. We review here measurements acquired on the D/H, N-14/N-15, O-16/O-18, C-12/C-13, and S-32/S-34 ratios in cometary grains and gases, and discuss their cosmogonic implications. The review includes analyses of potential cometary material available in collections on Earth, recent measurements achieved with the Herschel Space Observatory, large optical telescopes, and Rosetta, as well as recent results obtained from models of chemical-dynamical deuterium fractionation in the early solar nebula. Prospects for future measurements are presented.</t>
  </si>
  <si>
    <t>[Bockelee-Morvan, Dominique] Univ Paris Diderot, UPMC, CNRS, Observ Paris, 5 Pl Jules Janssen, F-92195 Meudon, France; [Calmonte, Ursina] Univ Bern, Inst Phys, Space Res &amp; Planetary Sci, CH-3012 Bern, Switzerland; [Charnley, Steven; Milam, Stefanie] NASA, Goddard Space Flight Ctr Greenbelt, Astrochem Lab, Greenbelt, MD 20771 USA; [Duprat, Jean; Engrand, Cecile] Univ Paris 11, CNRS, IN2P3, CSNSM,UMR 8609, F-91405 Orsay, France; [Gicquel, Adeline] Max Planck Inst Solar Syst Res, D-37077 Gottingen, Germany; [Haessig, Myrtha] SW Res Inst, San Antonio, TX USA; [Jehin, Emmanuel] Univ Liege, Dept Astrophys Geophys &amp; Oceanog, B-4000 Liege, Belgium; [Kawakita, Hideyo] Kyoto Sangyo Univ, Koyama Astron Observ, Kita Ku, Kyoto 6038555, Japan; [Marty, Bernard] Univ Lorraine, CNRS, CRPG, F-54500 Vandoeuvre Les Nancy, France; [Morse, Andrew; Sheridan, Simon] Open Univ, Space Sci, Milton Keynes MK7 6AA, Bucks, England; [Rousselot, Philippe] Univ Franche Comte, Inst UTINAM, Observ Sci Univers THETA, UMR CNRS 6213, F-25010 Besancon, France; [Wirstrom, Eva] Chalmers Univ Technol, Onsala Space Observ, S-43992 Onsala, Sweden</t>
  </si>
  <si>
    <t>Centre National de la Recherche Scientifique (CNRS); Universite PSL; Observatoire de Paris; Universite Paris Cite; Sorbonne Universite; University of Bern; National Aeronautics &amp; Space Administration (NASA); Universite Paris Saclay; Centre National de la Recherche Scientifique (CNRS); CNRS - National Institute of Nuclear and Particle Physics (IN2P3); Max Planck Society; Southwest Research Institute; University of Liege; Kyoto Sangyo University; Universite de Lorraine; Centre National de la Recherche Scientifique (CNRS); Open University - UK; Universite de Franche-Comte; Centre National de la Recherche Scientifique (CNRS); CNRS - National Institute for Earth Sciences &amp; Astronomy (INSU); Chalmers University of Technology</t>
  </si>
  <si>
    <t>Bockelée-Morvan, D (corresponding author), Univ Paris Diderot, UPMC, CNRS, Observ Paris, 5 Pl Jules Janssen, F-92195 Meudon, France.</t>
  </si>
  <si>
    <t>dominique.bockelee@obspm.fr</t>
  </si>
  <si>
    <t>Milam, Stefanie N/D-1092-2012</t>
  </si>
  <si>
    <t>Calmonte, Ursina/0000-0002-0982-7501; Sheridan, Simon/0000-0002-6059-6841; Wirstrom, Eva/0000-0002-0656-876X</t>
  </si>
  <si>
    <t>NASA; Swedish Space Board; STFC [ST/L000776/1] Funding Source: UKRI; Science and Technology Facilities Council [ST/L000776/1] Funding Source: researchfish</t>
  </si>
  <si>
    <t>NASA(National Aeronautics &amp; Space Administration (NASA)); Swedish Space Board; STFC(UK Research &amp; Innovation (UKRI)Science &amp; Technology Facilities Council (STFC)); Science and Technology Facilities Council(UK Research &amp; Innovation (UKRI)Science &amp; Technology Facilities Council (STFC))</t>
  </si>
  <si>
    <t>This work was supported by NASA's Planetary Astronomy and Planetary Atmospheres Programs (SNM and SBC), and by the Swedish Space Board (ESW).</t>
  </si>
  <si>
    <t>0038-6308</t>
  </si>
  <si>
    <t>1572-9672</t>
  </si>
  <si>
    <t>SPACE SCI REV</t>
  </si>
  <si>
    <t>Space Sci. Rev.</t>
  </si>
  <si>
    <t>1-4</t>
  </si>
  <si>
    <t>10.1007/s11214-015-0156-9</t>
  </si>
  <si>
    <t>CY4KN</t>
  </si>
  <si>
    <t>WOS:000366377100003</t>
  </si>
  <si>
    <t>Sharma, GK; Dayal, D</t>
  </si>
  <si>
    <t>Sharma, G. K.; Dayal, D.</t>
  </si>
  <si>
    <t>Distribution of Pliocene Radiolaria at Site 745 (Sections 14H-15H), LEG 119, from the Kerguelen Plateau and Biostratigraphy</t>
  </si>
  <si>
    <t>STRATIGRAPHY AND GEOLOGICAL CORRELATION</t>
  </si>
  <si>
    <t>Pliocene Radiolaria; distribution; biostratigraphy; Antarctic continental margin</t>
  </si>
  <si>
    <t>HISTORY; ATLANTIC</t>
  </si>
  <si>
    <t>This paper presents first comprehensive record of Pliocene Radiolaria from Leg 119, Site 745 of the Antarctic region. Twenty five samples were taken from two sections, viz. 14H and 15H, from Kerguelen Plateau in the Southern Ocean region. Thirty well preserved species were determined. Diversification and distribution of radiolarians in the sections were examined. On the basis of appearance and disappearance of taxa, one zone, i.e. Upsilon, is recognized, which is equivalent to the earlier established NR5 zone.</t>
  </si>
  <si>
    <t>[Sharma, G. K.; Dayal, D.] Kumaun Univ, Dept Geol, Naini Tal, India</t>
  </si>
  <si>
    <t>Kumaun University</t>
  </si>
  <si>
    <t>Sharma, GK (corresponding author), Kumaun Univ, Dept Geol, Naini Tal, India.</t>
  </si>
  <si>
    <t>gksharma61@yahoo.com</t>
  </si>
  <si>
    <t>UGC, New Delhi</t>
  </si>
  <si>
    <t>UGC, New Delhi(University Grants Commission, India)</t>
  </si>
  <si>
    <t>This study was made possible while one of the authors (GKS) got the samples from the Lamont-Doherty Geological Observatory, USA (Request Number 18214 A). Special thanks to DST, New Delhi by giving the major project to GKS and UGC, New Delhi by awarding the RGN, JRF Fellowship to Deepak Dayal. We are thankful to Head, Department of Geology, CAS, Nainital, India.</t>
  </si>
  <si>
    <t>0869-5938</t>
  </si>
  <si>
    <t>1555-6263</t>
  </si>
  <si>
    <t>STRATIGR GEO CORREL+</t>
  </si>
  <si>
    <t>Stratigr. Geol. Correl.</t>
  </si>
  <si>
    <t>10.1134/S0869593815070035</t>
  </si>
  <si>
    <t>DG6BO</t>
  </si>
  <si>
    <t>WOS:000372167400002</t>
  </si>
  <si>
    <t>Tomlinson, S; Menz, MHM</t>
  </si>
  <si>
    <t>Tomlinson, Sean; Menz, Myles H. M.</t>
  </si>
  <si>
    <t>Does metabolic rate and evaporative water loss reflect differences in migratory strategy in sexually dimorphic hoverflies?</t>
  </si>
  <si>
    <t>Episyrphus balteatus; Eristalis tenax; Syrphidae; Temperature; Evaporative water loss; Metabolic rate; Partial migration; Pollinator</t>
  </si>
  <si>
    <t>EPISYRPHUS-BALTEATUS DIPTERA; GLOSSINA-PALLIDIPES DIPTERA; SUB-ANTARCTIC CATERPILLAR; GEOGRAPHIC-VARIATION; OXYGEN-CONSUMPTION; ENERGY-METABOLISM; THERMAL BIOLOGY; BODY-MASS; SCALE; LEPIDOPTERA</t>
  </si>
  <si>
    <t>A typical explanation for ecologically stable strategies that apply to only a proportion of a population, is bet hedging, where increased reproductive success offsets reduced reproductive rate. One such is partial migration, where only a proportion of a population moves seasonally to avoid inclement climatic conditions. Bet hedging may overlook unseen costs to maintain broad physiological resilience, implied by encountering a breadth of environmental conditions. We investigated the physiological correlates of partial migration by measuring standard metabolic rates, and rates of evaporative water loss, and then estimating upper and lower thermal tolerance in males and females of two hoverfiy species, Episyrphus balteatus and Eristalis tenax. In central Europe, females of these species may either migrate or overwinter, whereas males may migrate south to the Mediterranean, but have not been found overwintering. Both species were sexually dimorphic; female Ep. balteatus were lighter than males, but female Er. tenax were heavier than males. While allometrically- corrected metabolic rate in both species increased with temperature, the most parsimonious models included no sex-specific differences in metabolic rate for either species. Evaporative water loss of both species also increased with temperature, but was higher for females of both species than males. Assuming that resting metabolism is congruent with the activity requirements of migration, highly consistent thermal tolerance and metabolic rate suggests that any given fly could migrate, although water loss patterns suggest that females may be less well-adapted to Mediterranean climates. We infer that partial migration probably results from the imperatives of their reproductive strategies. (C) 2015 Elsevier Inc. All rights reserved.</t>
  </si>
  <si>
    <t>[Tomlinson, Sean] Univ Western Australia, Sch Anim Biol, Crawley, WA 6009, Australia; [Tomlinson, Sean] Bot Gardens &amp; Pk Author, Kings Pk Bot Gardens, Perth, WA 6005, Australia; [Menz, Myles H. M.] Univ Bern, Inst Ecol &amp; Evolut, CH-3012 Bern, Switzerland</t>
  </si>
  <si>
    <t>University of Western Australia; University of Bern</t>
  </si>
  <si>
    <t>Tomlinson, S (corresponding author), Kings Pk &amp; Bot Gardens, Sci Directorate, Fraser Ave, Perth, WA 6005, Australia.</t>
  </si>
  <si>
    <t>sean.tomlinson@bgpa.wa.gov.au</t>
  </si>
  <si>
    <t>Menz, Myles H. M./AAP-6756-2020; Menz, Myles/HHZ-9580-2022; Tomlinson, Sean/AFG-8303-2022</t>
  </si>
  <si>
    <t>Menz, Myles H. M./0000-0002-3347-5411; Menz, Myles/0000-0002-3347-5411; Tomlinson, Sean/0000-0003-0864-5391</t>
  </si>
  <si>
    <t>Australian Research Council Linkage Grant [LP110200304]; Australian Research Council [LP110200304] Funding Source: Australian Research Council</t>
  </si>
  <si>
    <t>Australian Research Council Linkage Grant(Australian Research Council); Australian Research Council(Australian Research Council)</t>
  </si>
  <si>
    <t>We thank Adam Munn the loan of metabolic equipment. The custom-written programs used to collect and analyse data were modified by S.T. from originals coded by Philip Withers. During the completion of this study, S.T. was supported by Australian Research Council Linkage Grant LP110200304 (Awarded to Kingsley Dixon, Raphael Didham and Don Bradshaw). The support of Kingsley Dixon, Raphael Didham, Don Bradshaw and Wolfgang Nentwig in pursuing this research is gratefully acknowledged.</t>
  </si>
  <si>
    <t>10.1016/j.cbpa.2015.09.004</t>
  </si>
  <si>
    <t>CU8WR</t>
  </si>
  <si>
    <t>WOS:000363825300009</t>
  </si>
  <si>
    <t>Fan, KG; Fu, B; Gu, YZ; Yu, XX; Liu, TT; Shi, AQ; Xu, K; Gan, XL</t>
  </si>
  <si>
    <t>Fan, Kaiguo; Fu, Bin; Gu, Yanzhen; Yu, Xingxiu; Liu, Tingting; Shi, Aiqin; Xu, Ke; Gan, Xilin</t>
  </si>
  <si>
    <t>Internal wave parameters retrieval from space-borne SAR image</t>
  </si>
  <si>
    <t>FRONTIERS OF EARTH SCIENCE</t>
  </si>
  <si>
    <t>synthetic aperture radar; internal wave; retrieval</t>
  </si>
  <si>
    <t>UNDERWATER BOTTOM TOPOGRAPHY; SYNTHETIC-APERTURE RADAR; COMPOSITE SURFACE MODEL; SOLITARY WAVES; OCEAN; EVOLUTION; SOLITONS; WIND</t>
  </si>
  <si>
    <t>Based on oceanic internal wave SAR imaging mechanism and the microwave scattering imaging model for oceanic surface features, we developed a new method to extract internal wave parameters from SAR imagery. Firstly, the initial wind fields are derived from NCEP reanalysis data, the sea water density and oceanic internal wave pycnocline depth are estimated from the Levites data, the surface currents induced by the internal wave are calculated according to the KDV equation. The NRCS profile is then simulated by solving the action balance equation and using the sea surface radar backscatter model. Both the winds and internal wave pycnocline depth are adjusted by using the dichotomy method step by step to make the simulated data approach the SAR image. Then, the wind speed, pycnocline depth, the phase speed, the group velocity and the amplitude of internal wave can be retrieved from SAR imagery when a best fit between simulated signals and the SAR image appears. The method is tested on one scene SAR image near Dongsha Island, in the South China Sea, results show that the simulated oceanic internal wave NRCS profile is in good agreement with that on the SAR image with the correlation coefficient as high as 90%, and the amplitude of oceanic internal wave retrieved from the SAR imagery is comparable with the SODA data. Besides, the phase speeds retrieved from other 16 scene SAR images in the South China Sea are in good agreement with the empirical formula which describes the relations between internal wave phase speed and water depths, both the root mean square and relative error are less than 0.11 ma (TM) s(-1) and 7%, respectively, indicating that SAR images are useful for internal wave parameters retrieval and the method developed in this paper is convergent and applicable.</t>
  </si>
  <si>
    <t>[Fan, Kaiguo; Fu, Bin; Shi, Aiqin; Gan, Xilin] State Ocean Adm, Second Inst Oceanog, State Key Lab Satellite Ocean Environm Dynam, Hangzhou 310012, Zhejiang, Peoples R China; [Fan, Kaiguo; Yu, Xingxiu] Hubei Univ, Fac Resources &amp; Environm Sci, Wuhan 430062, Peoples R China; [Gu, Yanzhen] Chinese Univ Hong Kong, Inst Space &amp; Earth Informat Sci, Hong Kong, Hong Kong, Peoples R China; [Liu, Tingting] Wuhan Univ, Chinese Antarctic Ctr Surveying &amp; Mapping, Wuhan 430072, Peoples R China; [Yu, Xingxiu] Linyi Univ, Shandong Prov Key Lab Soil Conservat &amp; Environm P, Linyi 276000, Peoples R China; [Gu, Yanzhen] Ocean Univ China, Coll Informat Sci &amp; Engn, Qingdao 266100, Peoples R China; [Fan, Kaiguo; Xu, Ke] PLA, Army 91039, Beijing, Peoples R China</t>
  </si>
  <si>
    <t>Ministry of Natural Resources of the People's Republic of China; Second Institute of Oceanography, Ministry of Natural Resources; Hubei University; Chinese University of Hong Kong; Wuhan University; Linyi University; Ocean University of China</t>
  </si>
  <si>
    <t>Fu, B (corresponding author), State Ocean Adm, Second Inst Oceanog, State Key Lab Satellite Ocean Environm Dynam, Hangzhou 310012, Zhejiang, Peoples R China.</t>
  </si>
  <si>
    <t>binfu@sio.org.cn; xxy2000@126.com</t>
  </si>
  <si>
    <t>Liu, Tingting/HCH-2239-2022</t>
  </si>
  <si>
    <t>National Natural Science Foundation of China [41106155, 41471227]; Open Fund of State Key Laboratory of Satellite Ocean Environment Dynamics [SOED1407]; General Research Fund of Hong Kong Research Grants Council (RGC) [CUHK 402912, 403113]</t>
  </si>
  <si>
    <t>National Natural Science Foundation of China(National Natural Science Foundation of China (NSFC)); Open Fund of State Key Laboratory of Satellite Ocean Environment Dynamics; General Research Fund of Hong Kong Research Grants Council (RGC)</t>
  </si>
  <si>
    <t>We would like to thank Remote Sensing Ground Station of China, Chinese Academy of Sciences (CAS) and European Space Agency for providing the ERS-1/2 SAR, ENVISAT ASAR and Radarsat-1 SAR images, the CISL Research Data Archive (RDA) for providing the NCEP reanalysis wind data, both http://www.nodc.noaa.gov/ and http://iridl.ldeo.columbia.edu for providing the Levitus98 data and SODA data, and Dr. R. Romeiser for sharing the radar microwave backscatter imaging model of M4S. This research is jointly supported by the National Natural Science Foundation of China (Grant Nos. 41106155 and 41471227) and under the Open Fund of State Key Laboratory of Satellite Ocean Environment Dynamics (No. SOED1407). This work is also supported by General Research Fund of Hong Kong Research Grants Council (RGC) under grants CUHK 402912 and 403113. We also would like to thank the anonymous reviewers' comments to improve the original manuscript.</t>
  </si>
  <si>
    <t>2095-0195</t>
  </si>
  <si>
    <t>2095-0209</t>
  </si>
  <si>
    <t>FRONT EARTH SCI-PRC</t>
  </si>
  <si>
    <t>Front. Earth Sci.</t>
  </si>
  <si>
    <t>10.1007/s11707-015-0506-7</t>
  </si>
  <si>
    <t>CV4FX</t>
  </si>
  <si>
    <t>WOS:000364223500009</t>
  </si>
  <si>
    <t>Mishra, RK; Naik, RK; Kumar, NA</t>
  </si>
  <si>
    <t>Mishra, R. K.; Naik, R. K.; Kumar, N. Anil</t>
  </si>
  <si>
    <t>Adaptations of phytoplankton in the Indian Ocean sector of the Southern Ocean during austral summer of 1998-2014</t>
  </si>
  <si>
    <t>chlorophyll a; diatoms; chlorophytes; SST; PAR; Southern Ocean</t>
  </si>
  <si>
    <t>ANTARCTIC POLAR FRONT; TEMPERATURE REQUIREMENTS; COMMUNITY COMPOSITION; EQUATORIAL PACIFIC; GROWTH; ATLANTIC; COLOR; ICE; BIOGEOGRAPHY; VARIABILITY</t>
  </si>
  <si>
    <t>This study investigates the effects of light and temperature on the surface water diatoms and chlorophytes, phytoplankton in the Indian Ocean sector of the Southern Ocean (SO) during the austral summer of 1998aEuro'2014. Significant longitudinal variations in hydrographic and biological parameters were observed at the Sub tropical front (STF), Sub Antarctic front (SAF) and Polar front (PF) along 56A degrees EaEuro'58A degrees E. The concentrations of total surface chlorophyll a (Chl a), diatoms, and chlorophytes measured by the National Aeronautics Space Agency (NASA) estimated by the Sea-Viewing Wide Field-of-View Sensors (SeaWiFS), the Moderate Resolution Imaging Spectro Radiometer (MODIS), and the NASA Ocean Biological Model (NOBM) were used in the study. Variations in the concentration of total Chl a was remarkable amongst the fronts during the study period. The contribution of diatoms to the total concentration of surface Chl a increased towards south from the STF to the PF while it decreased in the case of chlorophytes. The maximum photosynthetically active radiation (PAR) was observed at the STF and it progressively decreased to the PF through the SAF. At the PF region the contribution of diatoms to the total Chl a biomass was a parts per thousand yen80%. On the other hand, the chlorophytes showed a contrary distribution pattern with a parts per thousand yen70% of the total Chl a biomass recorded at the STF which gradually decreased towards the PF, mainly attributed to the temperate adaptation. This clearly reveals that the trend of diatoms increased at the STF and decreased at the SAF and the PF. Further, the trend of chlorophytes was increased at the STF, SAF and PF with a shift in the community in the frontal system of the Indian Ocean sector of the SO.</t>
  </si>
  <si>
    <t>[Mishra, R. K.; Naik, R. K.; Kumar, N. Anil] ESSO Natl Ctr Antarctic &amp; Ocean Res, Minist Earth Sci MoES, Vasco da Gama, Goa, India</t>
  </si>
  <si>
    <t>Mishra, RK (corresponding author), ESSO Natl Ctr Antarctic &amp; Ocean Res, Minist Earth Sci MoES, Vasco da Gama, Goa, India.</t>
  </si>
  <si>
    <t>rajanimishra@yahoo.com</t>
  </si>
  <si>
    <t>NAIK, KARAMTOT KRISHNA/JBS-6669-2023</t>
  </si>
  <si>
    <t>NAIK, KARAMTOT KRISHNA/0000-0003-0165-2695</t>
  </si>
  <si>
    <t>10.1007/s11707-015-0541-4</t>
  </si>
  <si>
    <t>WOS:000364223500013</t>
  </si>
  <si>
    <t>Doubleday, ZA; Izzo, C; Haddy, JA; Lyle, JM; Ye, QF; Gillanders, BM</t>
  </si>
  <si>
    <t>Doubleday, Zoe A.; Izzo, Christopher; Haddy, James A.; Lyle, Jeremy M.; Ye, Qifeng; Gillanders, Bronwyn M.</t>
  </si>
  <si>
    <t>Long-term patterns in estuarine fish growth across two climatically divergent regions</t>
  </si>
  <si>
    <t>Climate change; Growth history; Otolith chronology; Southeast Australia</t>
  </si>
  <si>
    <t>CLIMATE-CHANGE; FRESH-WATER; BLACK BREAM; AUSTRALIAN ESTUARIES; OTOLITH GROWTH; MARINE FISH; GENE FLOW; IMPACTS; FISHERIES; SPARIDAE</t>
  </si>
  <si>
    <t>Long-term ecological datasets are vital for investigating how species respond to changes in their environment, yet there is a critical lack of such datasets from aquatic systems. We developed otolith growth 'chronologies' to reconstruct the growth history of a temperate estuarine fish species, black bream (Acanthopagrus butcheri). Chronologies represented two regions in south-east Australia: South Australia, characterised by a relatively warm, dry climate, and Tasmania, characterised by a relatively cool, wet climate. Using a mixed modelling approach, we related inter-annual growth variation to air temperature, rainfall, freshwater inflow (South Australia only), and El Nio-Southern Oscillation events. Otolith chronologies provided a continuous record of growth over a 13- and 21-year period for fish from South Australia and Tasmania, respectively. Even though fish from Tasmania were sourced across multiple estuaries, they showed higher levels of growth synchronicity across years, and greater year-to-year growth variation, than fish from South Australia, which were sourced from a single, large estuary. Growth in Tasmanian fish declined markedly over the time period studied and was negatively correlated to temperature. In contrast, growth in South Australian fish was positively correlated to both temperature and rainfall. The stark contrast between the two regions suggests that Tasmanian black bream populations are more responsive to regional scale environmental variation and may be more vulnerable to global warming. This study highlights the importance of examining species response to climate change at the intra-specific level and further validates the emerging use of growth chronologies for generating long-term ecological data in aquatic systems.</t>
  </si>
  <si>
    <t>[Doubleday, Zoe A.; Izzo, Christopher; Gillanders, Bronwyn M.] Univ Adelaide, Sch Biol Sci, Southern Seas Ecol Labs, Adelaide, SA 5005, Australia; [Doubleday, Zoe A.; Izzo, Christopher; Gillanders, Bronwyn M.] Univ Adelaide, Sch Biol Sci, Inst Environm, Adelaide, SA 5005, Australia; [Haddy, James A.] Univ Tasmania, Inst Marine &amp; Antarctic Studies, Fisheries &amp; Aquaculture Ctr, Launceston, Tas 1370, Australia; [Lyle, Jeremy M.] Univ Tasmania, Inst Marine &amp; Antarctic Studies, Fisheries &amp; Aquaculture Ctr, Hobart, Tas 7001, Australia; [Ye, Qifeng] South Australian Res &amp; Dev Inst Aquatic Sci, West Beach, SA 5024, Australia</t>
  </si>
  <si>
    <t>University of Adelaide; University of Adelaide; University of Tasmania; University of Tasmania</t>
  </si>
  <si>
    <t>Doubleday, ZA (corresponding author), Univ Adelaide, Sch Biol Sci, Southern Seas Ecol Labs, Adelaide, SA 5005, Australia.</t>
  </si>
  <si>
    <t>zoe.doubleday@adelaide.edu.au</t>
  </si>
  <si>
    <t>Doubleday, Zoe/AAU-6278-2020; Doubleday, Zoe/N-9955-2013; Gillanders, Bronwyn/B-4218-2013; Lyle, Jeremy/J-7170-2014</t>
  </si>
  <si>
    <t>Doubleday, Zoe/0000-0003-0045-6377; Gillanders, Bronwyn/0000-0002-7680-2240; Haddy, James/0000-0002-8307-128X; Lyle, Jeremy/0000-0001-9670-5854</t>
  </si>
  <si>
    <t>ARC [DP110100716, FT100100767]</t>
  </si>
  <si>
    <t>ARC(Australian Research Council)</t>
  </si>
  <si>
    <t>We would like to thank Ryuji Sakabe, David Fleer and David Short for providing otolith samples and associated data, Vidya Kare for assisting with otolith preparation, and John Morrongiello and Gretchen Grammer for their advice on otolith chronology development and mixed modelling. This research was funded by an ARC Discovery grant (DP110100716) and Future Fellowship (FT100100767) awarded to BMG.</t>
  </si>
  <si>
    <t>10.1007/s00442-015-3411-6</t>
  </si>
  <si>
    <t>WOS:000364226900014</t>
  </si>
  <si>
    <t>Parker, RWR; Tyedmers, PH</t>
  </si>
  <si>
    <t>Parker, Robert W. R.; Tyedmers, Peter H.</t>
  </si>
  <si>
    <t>Fuel consumption of global fishing fleets: current understanding and knowledge gaps</t>
  </si>
  <si>
    <t>Carbon footprint; energy use; fuel use; global fisheries</t>
  </si>
  <si>
    <t>LIFE-CYCLE ASSESSMENT; ENVIRONMENTAL-IMPACT; MARINE FISHERIES; ENERGY USE; EFFICIENCY; SYSTEMS; PRICE; PRODUCTS; EXPORT; OIL</t>
  </si>
  <si>
    <t>Compared to a century ago, the world's fishing fleets are larger and more powerful, are travelling further and are producing higher quality products. These developments come largely at a cost of high-fossil fuel energy inputs. Rising energy prices, climate change and consumer demand for green' products have placed energy use and emissions among the sustainability criteria of food production systems. We have compiled all available published and unpublished fuel use data for fisheries targeting all species, employing all gears and fishing in all regions of the world into a Fisheries and Energy Use Database (FEUD). Here, we present results of our analysis of the relative energy performance of fisheries since 1990 and provide an overview of the current state of knowledge on fuel inputs to diverse fishing fleets. The median fuel use intensity of global fishery records since 1990 is 639litres per tonne. Fuel inputs to fisheries vary by several orders of magnitude, with small pelagic fisheries ranking among the world's most efficient forms of animal protein production and crustaceans ranking among the least efficient. Trends in Europe and Australia since the beginning of the 21st century suggest fuel use efficiency is improving, although this has been countered by a more rapid increase in oil prices. Management decisions, technological improvements and behavioural changes can further reduce fuel consumption in the short term, although the most effective improvement to fisheries energy performance will come as a result of rebuilding stocks where they are depressed and reducing over-capacity.</t>
  </si>
  <si>
    <t>[Parker, Robert W. R.] Univ Tasmania, Inst Marine &amp; Antarctic Studies, Hobart, Tas 7001, Australia; [Tyedmers, Peter H.] Dalhousie Univ, Sch Resource &amp; Environm Studies, Halifax, NS B3H 4R2, Canada; [Tyedmers, Peter H.] Dalhousie Univ, Coll Sustainabil, Halifax, NS B3H 4R2, Canada</t>
  </si>
  <si>
    <t>University of Tasmania; Dalhousie University; Dalhousie University</t>
  </si>
  <si>
    <t>Parker, RWR (corresponding author), IMAS Taroona, Private Bag 49, Hobart, Tas 7001, Australia.</t>
  </si>
  <si>
    <t>robert.parker@utas.edu.au</t>
  </si>
  <si>
    <t>Tyedmers, Peter/N-1334-2019; Parker, Robert/J-4476-2012</t>
  </si>
  <si>
    <t>Tyedmers, Peter/0000-0002-5150-0756; Parker, Robert/0000-0003-1910-8081</t>
  </si>
  <si>
    <t>Australian Seafood Cooperative Research Centre (CRC)</t>
  </si>
  <si>
    <t>Australian Seafood Cooperative Research Centre (CRC)(Australian GovernmentDepartment of Industry, Innovation and ScienceCooperative Research Centres (CRC) Programme)</t>
  </si>
  <si>
    <t>This project was funded in part by the Australian Seafood Cooperative Research Centre (CRC).</t>
  </si>
  <si>
    <t>10.1111/faf.12087</t>
  </si>
  <si>
    <t>WOS:000363264400009</t>
  </si>
  <si>
    <t>Farmery, AK; Gardner, C; Green, BS; Jennings, S; Watson, RA</t>
  </si>
  <si>
    <t>Farmery, Anna K.; Gardner, Caleb; Green, Bridget S.; Jennings, Sarah; Watson, Reg A.</t>
  </si>
  <si>
    <t>Domestic or imported? An assessment of carbon footprints and sustainability of seafood consumed in Australia</t>
  </si>
  <si>
    <t>ENVIRONMENTAL SCIENCE &amp; POLICY</t>
  </si>
  <si>
    <t>Imports; Seafood trade; Supply chain; Life cycle assessment; Food miles; Sustainable seafood</t>
  </si>
  <si>
    <t>LIFE-CYCLE ASSESSMENT; LOCAL FOOD; ENVIRONMENTAL PERFORMANCE; AQUACULTURE SYSTEMS; EMISSIONS IMPACTS; GREENHOUSE-GAS; FISHERIES; PRODUCTS; SHRIMP; MANAGEMENT</t>
  </si>
  <si>
    <t>The distance between where food is produced and consumed is increasing, and is often taken as evidence of an unsustainable global food system. Seafood is a highly traded commodity yet seafood sustainability assessments do not typically consider the impacts of the movement of products beyond the fishery or farm. Here we use life cycle assessment to examine the carbon footprint of the production and distribution of select seafood products that are consumed in Australia and determine differences in the sustainability of imports and their domestically produced counterparts. We found that the distance food is transported is not the main determinant of food sustainability. Despite the increased distance between production and consumption, carbon footprints of meals from imported seafood are similar to meals consisting of domestically produced seafood, and sometimes lower, depending on the seafood consumed. In combining LCA with existing seafood sustainability criteria the trade-offs between sustainability targets become more apparent. Carbon 'footprinting' is one metric that can be incorporated in assessments of sustainability, thereby demonstrating a broader perspective of the environmental cost of food production and consumption. (C) 2015 Elsevier Ltd. All rights reserved.</t>
  </si>
  <si>
    <t>[Farmery, Anna K.; Gardner, Caleb; Green, Bridget S.; Watson, Reg A.] Univ Tasmania, Inst Marine &amp; Antarctic Studies, Hobart, Tas 7001, Australia; [Jennings, Sarah] Univ Tasmania, Tasmanian Sch Business &amp; Econ, Hobart, Tas 7001, Australia</t>
  </si>
  <si>
    <t>Farmery, AK (corresponding author), Univ Tasmania, Inst Marine &amp; Antarctic Studies, Hobart, Tas 7001, Australia.</t>
  </si>
  <si>
    <t>Anna.Farmery@utas.edu.au; Caleb.Gardner@utas.edu.au; Bridget.Green@utas.edu.au; Sarah.jennings@utas.edu.au; R.A.Watson@utas.edu.au</t>
  </si>
  <si>
    <t>Jennings, Sarah M/J-7888-2014; Watson, Reg A/F-4850-2012; Farmery, Anna/H-9696-2014; Gardner, Caleb/I-7086-2013</t>
  </si>
  <si>
    <t>Watson, Reg A/0000-0001-7201-8865; Farmery, Anna/0000-0002-8938-0040; Gardner, Caleb/0000-0003-0324-4337</t>
  </si>
  <si>
    <t>Australian National Network in Marine Science (ANNIMS); Fisheries Research and Development Corporation (FRDC) Building Economic Capability in Fisheries Project; Marine National Adaptation Research Plan (NARP) project - Australian Government [2011/233]; Australian Research Council Discovery Project [DP140101377]</t>
  </si>
  <si>
    <t>Australian National Network in Marine Science (ANNIMS); Fisheries Research and Development Corporation (FRDC) Building Economic Capability in Fisheries Project(Fisheries R&amp;D Corp); Marine National Adaptation Research Plan (NARP) project - Australian Government; Australian Research Council Discovery Project(Australian Research Council)</t>
  </si>
  <si>
    <t>Ethics approval was obtained from the Tasmanian Ethics Committee and granted as minimal risk (reference H12188). This work was supported by the Australian National Network in Marine Science (ANNIMS), the Fisheries Research and Development Corporation (FRDC) Building Economic Capability in Fisheries Project, the Marine National Adaptation Research Plan (NARP) project 2011/233, funded by the Australian Government. The authors acknowledge funding support from the Australian Research Council Discovery Project support (DP140101377).</t>
  </si>
  <si>
    <t>1462-9011</t>
  </si>
  <si>
    <t>1873-6416</t>
  </si>
  <si>
    <t>ENVIRON SCI POLICY</t>
  </si>
  <si>
    <t>Environ. Sci. Policy</t>
  </si>
  <si>
    <t>10.1016/j.envsci.2015.06.007</t>
  </si>
  <si>
    <t>CT2AC</t>
  </si>
  <si>
    <t>WOS:000362603400005</t>
  </si>
  <si>
    <t>Arkhipkin, AI; Gras, M; Blake, A</t>
  </si>
  <si>
    <t>Arkhipkin, Alexander I.; Gras, Michael; Blake, Alex</t>
  </si>
  <si>
    <t>Water density pathways for shelf/slope migrations of squid Illex argentinus in the Southwest Atlantic</t>
  </si>
  <si>
    <t>Squid; Illex argentinus; Buoyancy; Pre-spawning migrations; Southwest Atlantic</t>
  </si>
  <si>
    <t>CEPHALOPODA; MOLLUSCA; GROWTH; SHELF; GONAD; SOMA</t>
  </si>
  <si>
    <t>Argentine shortfin squid Illex argentinus (Ommastrephidae) is one of the most abundant cephalopods in the Southwest Atlantic, with total annual catch exceeding 1 mln t in some years. During its annual life cycle, I. argentinus perform long distance migrations, from their subtropical spawning grounds in Uruguay and southern Brazil to temperate feeding grounds on the Patagonian Shelf and back. Oceanography and squid distribution were studied during a research survey carried out in the south-eastern part of the Patagonian Shelf to reveal environmental cues that determine pathways of shelf to continental slope pre-spawning migrations. It was found that the outflows of less dense Patagonian Shelf Waters (PSW) over the slope may act as proxies determining the locations of I argentinus migrations from the shelf to the slope. During maturation I. argentinus did not significantly change their buoyancy with females becoming slightly more buoyant with depth. Subsequent movement of mature I. argentinus to denser Sub-Antarctic Superficial waters (SASW) located at deeper depths (600-700 m) enable them to approach near-neutral buoyancy and therefore facilitate the distant pre-spawning migrations. (C) 2015 Elsevier B.V. All rights reserved.</t>
  </si>
  <si>
    <t>[Arkhipkin, Alexander I.; Gras, Michael; Blake, Alex] Falkland Isl Govt, Dept Fisheries, POB 598, Stanley FIQQ 1ZZ, Falkland Island</t>
  </si>
  <si>
    <t>Arkhipkin, AI (corresponding author), Falkland Isl Govt, Dept Fisheries, POB 598, Stanley FIQQ 1ZZ, Falkland Island.</t>
  </si>
  <si>
    <t>aarkhipkin@fisheries.gov.fk</t>
  </si>
  <si>
    <t>Gras, Michael/0000-0001-9572-8456</t>
  </si>
  <si>
    <t>10.1016/j.fishres.2015.07.023</t>
  </si>
  <si>
    <t>CS5SP</t>
  </si>
  <si>
    <t>WOS:000362138700026</t>
  </si>
  <si>
    <t>Parker, ML; Fraser, WR; Ashford, J; Patarnello, T; Zane, L; Torres, JJ</t>
  </si>
  <si>
    <t>Parker, Melanie L.; Fraser, William R.; Ashford, Julian; Patarnello, Tomaso; Zane, Lorenzo; Torres, Joseph J.</t>
  </si>
  <si>
    <t>Assemblages of micronektonic fishes and invertebrates in a gradient of regional warming along the Western Antarctic Peninsula</t>
  </si>
  <si>
    <t>JOURNAL OF MARINE SYSTEMS</t>
  </si>
  <si>
    <t>Micronekton; Macrozooplankton; Pleuragramma; Assemblage; Continental shelf; Western Antarctic Peninsula</t>
  </si>
  <si>
    <t>BRANSFIELD STRAIT REGION; SILVERFISH PLEURAGRAMMA-ANTARCTICUM; CROSS-SHELF EXCHANGE; EARLY-LIFE STAGES; TERRA-NOVA BAY; ROSS SEA; CONTINENTAL-SHELF; CLIMATE-CHANGE; THYSANOESSA-MACRURA; EUPHAUSIA-SUPERBA</t>
  </si>
  <si>
    <t>Micronektonic fishes and invertebrates were sampled with 32 midwater trawls at nine sites along the Western Antarctic Peninsula (WAP) in the austral fall (March-April) of 2010. Study sites were located within four hypothesized hydrographic regions: near Joinville Island in Region I, at Croker Passage, near Anvers Island, and near Renaud Island in Region II, within Marguerite Bay and the Marguerite Trough in Region III, and near Charcot Island in Region IV. A total of 62 taxa representing 12 taxonomic groups of pelagic invertebrates and 9 families of fish were captured, but assemblages were dominated by only a few species. The most numerically abundant taxa were the euphausiids, Thysanoessa macrura, Euphausia superba, and E. crystallorophias, combining to contribute nearly 79% of the total catch. Biomass dominants included E. superba, which contributed more than 44% of the total catch, the notothenioid Pleuragramma antarctica, and the salp, Salpa thompsoni. A comparison of total catches among sites revealed that the largest volumetric abundances and biomasses were captured at the Marguerite Bay site. Cluster analysis of abundance data identified distinct multispecies assemblages at Joinville Island in Region I, Croker Passage in Region II, Marguerite Bay in Region III, and Charcot Island in Region N. A fifth distinct assemblage included samples from sites near Anvers and Renaud Island in Region II, and from the Marguerite Trough in Region III. Assemblages at Joinville Island and Croker Passage were both dominated by E. superba and S. thompsoni, but hydrographic conditions at Joinville Island favored a neritic assemblage, underscored by substantial numbers of P. antarctica. The assemblage at Croker Passage was more oceanic in nature with major inputs from the myctophid, Electrona antarctica and the hyperiid amphipod, Themisto gaudichaudii. Marguerite Bay and Charcot Island were well-mixed assemblages with strong representation by both neritic and oceanic fauna. The mid-peninsula assemblage was oceanic in character, being overwhelmingly dominated by Thysanoessa macrura and T. gaudichaudii. Pleuragramma antarctica were captured at five sites: Joinville Island, Croker Passage, Marguerite Bay, and the two sites near Charcot Island. They were completely absent at the two sites near Anvers Island, at Renaud Island, and in the Marguerite Trough. One fish was captured in Croker Passage. The majority of fish captured in Marguerite Bay were larger than 150 mm standard length (SL), with very few fish of smaller size present If resident populations of Pleuragramma reproduce and recruit locally rather than being sustained by larval advection, those populations will be highly susceptible to local disappearance. This may be the causative factor behind the absence of Pleuragramma from the mid-peninsula region. Continued warming and subsequent sea ice reductions may not only cause Pleuragramma population collapses in the Marguerite Bay and Charcot Island regions, but may also change the character of the faunal assemblages along the WAP to those of an oceanic system. (C) 2015 Elsevier B.V. All rights reserved.</t>
  </si>
  <si>
    <t>[Parker, Melanie L.; Torres, Joseph J.] Univ S Florida, Coll Marine Sci, St Petersburg, FL 33701 USA; [Parker, Melanie L.] Fish &amp; Wildlife Res Inst, Florida Fish &amp; Wildlife Conservat Commiss, St Petersburg, FL 33701 USA; [Fraser, William R.] Polar Oceans Res Grp, Sheridan, MT 59749 USA; [Ashford, Julian] Old Dominion Univ, Ctr Quantitat Fisheries Ecol, Norfolk, VA 23508 USA; [Patarnello, Tomaso] Univ Padua, Dept Comparat Biomed &amp; Food Sci Agripolis, I-35020 Legnaro, Pd, Italy; [Zane, Lorenzo] Univ Padua, Dept Biol, I-35121 Padua, Italy</t>
  </si>
  <si>
    <t>State University System of Florida; University of South Florida; Florida Fish &amp; Wildlife Conservation Commission; Old Dominion University; University of Padua; University of Padua</t>
  </si>
  <si>
    <t>Parker, ML (corresponding author), 100 8th Ave SE, St Petersburg, FL 33701 USA.</t>
  </si>
  <si>
    <t>melanie.parker@myfwc.com</t>
  </si>
  <si>
    <t>Zane, Lorenzo/G-6249-2010</t>
  </si>
  <si>
    <t>Zane, Lorenzo/0000-0002-6963-2132; PATARNELLO, Tomaso/0000-0003-1794-5791</t>
  </si>
  <si>
    <t>NSF [OPP 0741348]; STFC [ST/K000977/1] Funding Source: UKRI; Office of Polar Programs (OPP); Directorate For Geosciences [1326167] Funding Source: National Science Foundation</t>
  </si>
  <si>
    <t>NSF(National Science Foundation (NSF)); STFC(UK Research &amp; Innovation (UKRI)Science &amp; Technology Facilities Council (STFC)); Office of Polar Programs (OPP); Directorate For Geosciences(National Science Foundation (NSF)NSF - Directorate for Geosciences (GEO))</t>
  </si>
  <si>
    <t>The authors gratefully acknowledge the help of the captain and crew of the R.V.I.B. Nathaniel B. Palmer. We would like to thank all of the RPSC staff involved in logistics and personnel support for the cruise, but especially Skip Owen, Bruce Felix, Tony D'Aoust, Kris Merrill, Chris Linden, Stian Alesandrini, Mike Lewis, Julie Jackson, and Chris Denker for keeping things running safe and smoothly on deck and in the dry lab. Our trawling group included Erica Bortolotto, Christine Cass, Tammy Cullins, Nicole Dunham, Jason Ferguson, Lara Henry, Eloy Martinez, Cristin Murphy, Erica Hudson Ombres, Gianfranco Santovito, and Paul Suprenand. This research was supported by NSF OPP 0741348 to J.J. Torres. This work was adapted from the Ph.D. dissertation of M. Parker. Thank you one and all.</t>
  </si>
  <si>
    <t>0924-7963</t>
  </si>
  <si>
    <t>1879-1573</t>
  </si>
  <si>
    <t>J MARINE SYST</t>
  </si>
  <si>
    <t>J. Mar. Syst.</t>
  </si>
  <si>
    <t>10.1016/j.jmarsys.2015.07.005</t>
  </si>
  <si>
    <t>Geosciences, Multidisciplinary; Marine &amp; Freshwater Biology; Oceanography</t>
  </si>
  <si>
    <t>Geology; Marine &amp; Freshwater Biology; Oceanography</t>
  </si>
  <si>
    <t>CS9AW</t>
  </si>
  <si>
    <t>WOS:000362382500002</t>
  </si>
  <si>
    <t>Jouzani, GS; Taherzadeh, MJ</t>
  </si>
  <si>
    <t>Jouzani, Gholamreza Salehi; Taherzadeh, Mohammad J.</t>
  </si>
  <si>
    <t>Advances in consolidated bioprocessing systems for bioethanol and butanol production from biomass: a comprehensive review</t>
  </si>
  <si>
    <t>BIOFUEL RESEARCH JOURNAL-BRJ</t>
  </si>
  <si>
    <t>Bioalcohols; Bioethanol; Biobutanol; Consolidated bioprocessing; Lignocellulosic biomass; Starchy biomass</t>
  </si>
  <si>
    <t>DIRECT ETHANOL-PRODUCTION; ENGINEERED SACCHAROMYCES-CEREVISIAE; WHITE-ROT FUNGUS; PRETREATED CORN STOVER; KLEBSIELLA-OXYTOCA STRAIN; ANTARCTIC BASIDIOMYCETOUS YEAST; XYLOSE ALCOHOLIC FERMENTATION; RESPONSE-SURFACE METHODOLOGY; JERUSALEM-ARTICHOKE TUBERS; ACETOBUTYLICUM ATCC 824</t>
  </si>
  <si>
    <t>Recently, lignocellulosic biomass as the most abundant renewable resource has been widely considered for bioalcohols production. However, the complex structure of lignocelluloses requires a multi-step process which is costly and time consuming. Although, several bioprocessing approaches have been developed for pretreatment, saccharification and fermentation, bioalcohols production from lignocelluloses is still limited because of the economic infeasibility of these technologies. This cost constraint could be overcome by designing and constructing robust cellulolytic and bioalcohols producing microbes and by using them in a consolidated bioprocessing (CBP) system. This paper comprehensively reviews potentials, recent advances and challenges faced in CBP systems for efficient bioalcohols (ethanol and butanol) production from lignocellulosic and starchy biomass. The CBP strategies include using native single strains with cellulytic and alcohol production activities, microbial co-cultures containing both cellulytic and ethanologenic microorganisms, and genetic engineering of cellulytic microorganisms to be alcohol-producing or alcohol producing microorganisms to be cellulytic. Moreover, high-throughput techniques, such as metagenomics, metatranscriptomics, next generation sequencing and synthetic biology developed to explore novel microorganisms and powerful enzymes with high activity, thermostability and pH stability are also discussed. Currently, the CBP technology is in its infant stage, and ideal microorganisms and/or conditions at industrial scale are yet to be introduced. So, it is essential to bring into attention all barriers faced and take advantage of all the experiences gained to achieve a high-yield and low-cost CBP process. (C) 2015 BRTeam. All rights reserved.</t>
  </si>
  <si>
    <t>[Jouzani, Gholamreza Salehi] Agr Biotechnol Res Inst Iran ABRII, Microbial Biotechnol &amp; Biosafety Dept, Karaj, Iran; [Taherzadeh, Mohammad J.] Univ Boras, Swedish Ctr Resource Recovery, Boras, Sweden</t>
  </si>
  <si>
    <t>University of Boras</t>
  </si>
  <si>
    <t>Jouzani, GS (corresponding author), Agr Biotechnol Res Inst Iran ABRII, Microbial Biotechnol &amp; Biosafety Dept, POB 31525-1897, Karaj, Iran.</t>
  </si>
  <si>
    <t>gsalehi@abrii.ac.ir; mohammad.taherzadeh@hb.se</t>
  </si>
  <si>
    <t>Taherzadeh, Mohammad J./B-5950-2009; Salehi Jouzani, Gholamreza/S-5757-2016; Taherzadeh, Mohammad/AAM-5414-2021</t>
  </si>
  <si>
    <t>Taherzadeh, Mohammad J./0000-0003-4887-2433; Salehi Jouzani, Gholamreza/0000-0001-5419-8794; Taherzadeh, Mohammad/0000-0003-4887-2433</t>
  </si>
  <si>
    <t>GREEN WAVE PUBL CANADA</t>
  </si>
  <si>
    <t>SAINT JOHN</t>
  </si>
  <si>
    <t>175 KING ST E, APT 1, SAINT JOHN, NEW BRUNSWICK E2L 1G9, CANADA</t>
  </si>
  <si>
    <t>2292-8782</t>
  </si>
  <si>
    <t>BIOFUEL RES J</t>
  </si>
  <si>
    <t>Biofuel Res. J.</t>
  </si>
  <si>
    <t>WIN</t>
  </si>
  <si>
    <t>Energy &amp; Fuels</t>
  </si>
  <si>
    <t>CO8PI</t>
  </si>
  <si>
    <t>WOS:000359432100003</t>
  </si>
  <si>
    <t>Wang, YC; Wang, R; Chang, YG; Gao, Y; Li, ZJ; Xue, CH</t>
  </si>
  <si>
    <t>Wang, Yanchao; Wang, Ruo; Chang, Yaoguang; Gao, Ying; Li, Zhaojie; Xue, Changhu</t>
  </si>
  <si>
    <t>Preparation and thermo-reversible gelling properties of protein isolate from defatted Antarctic krill (Euphausia superba) byproducts</t>
  </si>
  <si>
    <t>FOOD CHEMISTRY</t>
  </si>
  <si>
    <t>Antarctic krill; Protein isolate; Glass transition; Thermo-reversible; Gelling property</t>
  </si>
  <si>
    <t>ISOELECTRIC SOLUBILIZATION/PRECIPITATION; GELATION; AGGREGATION; EXTRACTION; FLUORIDE; COOKING; STATE; WATER</t>
  </si>
  <si>
    <t>Protein isolate was prepared from defatted Antarctic krill (Euphausia superba) byproducts by 0.1 M NaOH extraction. Maximum yield of krill protein isolate reached 28.66% by precipitation at 4.6. Krill protein isolate demonstrated its excellent nutritional values through amino acid composition and in vitro digestibility. Thermal transition of krill protein isolate was determined by differential scanning calorimetry measurement. Extrapolated values of glass transition temperature (T-g) and denaturation temperature (T-d) of krill protein isolate were 33.8 degrees C and 80.3 degrees C when the heating rate was 2 degrees C/min. Dispersions of krill protein isolate generated self-supported gels at concentrations above 100 g/L without the addition of salt or other additives. A noticeable enhancement of gel strength was induced through cooling. Gels with krill protein isolate displayed a thermo-reversible behavior under repeating heating/cooling cycles, which was primarily due to the formation and disruption of hydrogen bonds. Network strength of protein gels was strongly dependent on protein concentrations. (C) 2015 Elsevier Ltd. All rights reserved.</t>
  </si>
  <si>
    <t>[Wang, Yanchao; Wang, Ruo; Chang, Yaoguang; Gao, Ying; Li, Zhaojie; Xue, Changhu] Ocean Univ China, Coll Food Sci &amp; Engn, Qingdao 266003, Peoples R China</t>
  </si>
  <si>
    <t>Chang, Yaoguang/E-5875-2014</t>
  </si>
  <si>
    <t>National High Technology Research, Development Program of China (863 Program) [2011AA090801]; Program for Changjiang Scholars and Innovative Research Team in University (PCSIRT) [IRT1188]</t>
  </si>
  <si>
    <t>National High Technology Research, Development Program of China (863 Program); Program for Changjiang Scholars and Innovative Research Team in University (PCSIRT)(Program for Changjiang Scholars &amp; Innovative Research Team in University (PCSIRT))</t>
  </si>
  <si>
    <t>National High Technology Research, Development Program of China (863 Program) (No. 2011AA090801) and Program for Changjiang Scholars and Innovative Research Team in University (PCSIRT) (IRT1188) are acknowledged for financial support of this work.</t>
  </si>
  <si>
    <t>0308-8146</t>
  </si>
  <si>
    <t>1873-7072</t>
  </si>
  <si>
    <t>FOOD CHEM</t>
  </si>
  <si>
    <t>Food Chem.</t>
  </si>
  <si>
    <t>10.1016/j.foodchem.2015.04.126</t>
  </si>
  <si>
    <t>Chemistry, Applied; Food Science &amp; Technology; Nutrition &amp; Dietetics</t>
  </si>
  <si>
    <t>Chemistry; Food Science &amp; Technology; Nutrition &amp; Dietetics</t>
  </si>
  <si>
    <t>CK9GP</t>
  </si>
  <si>
    <t>WOS:000356548900024</t>
  </si>
  <si>
    <t>Alison, C</t>
  </si>
  <si>
    <t>Alison, Cheryl</t>
  </si>
  <si>
    <t>Twists and Turns in the Heart's Antarctic</t>
  </si>
  <si>
    <t>PAPERS ON LANGUAGE AND LITERATURE</t>
  </si>
  <si>
    <t>[Alison, Cheryl] Sch Museum Fine Arts, Dept Visual &amp; Crit Studies, Boston, MA 02115 USA</t>
  </si>
  <si>
    <t>Alison, C (corresponding author), Sch Museum Fine Arts, Dept Visual &amp; Crit Studies, Boston, MA 02115 USA.</t>
  </si>
  <si>
    <t>SOUTHERN ILLINOIS UNIV</t>
  </si>
  <si>
    <t>EDWARDSVILLE</t>
  </si>
  <si>
    <t>BOX 43-A, EDWARDSVILLE, IL 62026-1434 USA</t>
  </si>
  <si>
    <t>0031-1294</t>
  </si>
  <si>
    <t>PAP LANG LIT</t>
  </si>
  <si>
    <t>Pap. Lang. Lit.</t>
  </si>
  <si>
    <t>Literary Theory &amp; Criticism; Language &amp; Linguistics; Literature</t>
  </si>
  <si>
    <t>Arts &amp; Humanities Citation Index (A&amp;HCI)</t>
  </si>
  <si>
    <t>Literature; Linguistics</t>
  </si>
  <si>
    <t>CG1YE</t>
  </si>
  <si>
    <t>WOS:000353071300005</t>
  </si>
  <si>
    <t>Baldini, JUL; Brown, RJ; McElwaine, JN</t>
  </si>
  <si>
    <t>Baldini, James U. L.; Brown, Richard J.; McElwaine, Jim N.</t>
  </si>
  <si>
    <t>Was millennial scale climate change during the Last Glacial triggered by explosive volcanism?</t>
  </si>
  <si>
    <t>ICE; GREENLAND; TEMPERATURE; ERUPTIONS; MONSOON; AEROSOL; RECORDS</t>
  </si>
  <si>
    <t>The mechanisms responsible for millennial scale climate change within glacial time intervals are equivocal. Here we show that all eight known radiometrically-dated Tambora-sized or larger NH eruptions over the interval 30 to 80 ka BP are associated with abrupt Greenland cooling (&gt;95% confidence). Additionally, previous research reported a strong statistical correlation between the timing of Southern Hemisphere volcanism and Dansgaard-Oeschger (DO) events (&gt;99% confidence), but did not identify a causative mechanism. Volcanic aerosol-induced asymmetrical hemispheric cooling over the last few hundred years restructured atmospheric circulation in a similar fashion as that associated with Last Glacial millennial-scale shifts (albeit on a smaller scale). We hypothesise that following both recent and Last Glacial NH eruptions, volcanogenic sulphate injections into the stratosphere cooled the NH preferentially, inducing a hemispheric temperature asymmetry that shifted atmospheric circulation cells southward. This resulted in Greenland cooling, Antarctic warming, and a southward shifted ITCZ. However, during the Last Glacial, the initial eruption-induced climate response was prolonged by NH glacier and sea ice expansion, increased NH albedo, AMOC weakening, more NH cooling, and a consequent positive feedback. Conversely, preferential SH cooling following large SH eruptions shifted atmospheric circulation to the north, resulting in the characteristic features of DO events.</t>
  </si>
  <si>
    <t>[Baldini, James U. L.; Brown, Richard J.; McElwaine, Jim N.] Univ Durham, Dept Earth Sci, Durham DH1 3LE, England</t>
  </si>
  <si>
    <t>Durham University</t>
  </si>
  <si>
    <t>Baldini, JUL (corresponding author), Univ Durham, Dept Earth Sci, Durham DH1 3LE, England.</t>
  </si>
  <si>
    <t>james.baldini@durham.ac.uk</t>
  </si>
  <si>
    <t>McElwaine, Jim N/F-1017-2013</t>
  </si>
  <si>
    <t>McElwaine, Jim N/0000-0002-6292-2014</t>
  </si>
  <si>
    <t>NOV 30</t>
  </si>
  <si>
    <t>10.1038/srep17442</t>
  </si>
  <si>
    <t>CX0WT</t>
  </si>
  <si>
    <t>WOS:000365418800002</t>
  </si>
  <si>
    <t>Conlan, KE; Currie, DR; Dittmann, S; Sorokin, SJ; Hendrycks, E</t>
  </si>
  <si>
    <t>Conlan, Kathleen E.; Currie, David R.; Dittmann, Sabine; Sorokin, Shirley J.; Hendrycks, Ed</t>
  </si>
  <si>
    <t>Macrofaunal Patterns in and around du Couedic and Bonney Submarine Canyons, South Australia</t>
  </si>
  <si>
    <t>BENTHIC PROTECTION ZONE; TAXONOMIC DISTINCTNESS; SPECIES RICHNESS; BIODIVERSITY; DIVERSITY; ASSEMBLAGES; MARGIN; SEA; PRODUCTIVITY; ABUNDANCE</t>
  </si>
  <si>
    <t>Two South Australian canyons, one shelf-incising (du Couedic) and one slope-limited (Bonney) were compared for macrofaunal patterns on the shelf and slope that spanned three water masses. It was hypothesized that community structure would (H1) significantly differ by water mass, (H2) show significant regional differences and (H3) differ significantly between interior and exterior of each canyon. Five hundred and thirty-one species of macrofauna &gt;= 1 mm were captured at 27 stations situated in depth stratified transects inside and outside the canyons from 100 to 1500 m depth. The macrofauna showed a positive relationship to depth in abundance, biomass, species richness and community composition while taxonomic distinctness and evenness remained high at all depths. Biotic variation on the shelf was best defined by variation in bottom water primary production while sediment characteristics and bottom water oxygen, temperature and nutrients defined biotic variation at greater depth. Community structure differed significantly (p&lt; 0.01) among the three water masses (shelf-flowing South Australian current, upper slope Flinders current and lower slope Antarctic Intermediate Water) (H1). Although community differences between the du Couedic and Bonney regions were marginally above significance at p = 0.05 (H2), over half of the species captured were unique to each region. This supports the evidence from fish and megafaunal distributions that the du Couedic and Bonney areas are in different bioregions. Overall, the canyon interiors were not significantly different in community composition from the exterior (H3). However, both canyons had higher abundance and/or biomass, increased species dominance, different species composition and coarser sediments near the canyon heads compared to outside the canyons at the same depth (500 m), suggestive of heightened currents within the canyons that influence community composition there. At 1000-1500 m, the canyon interiors were depauperate, typical of V-shaped canyons elsewhere. The large number of species captured, given the relatively low sampling effort and focus on the larger macrofauna, support previous studies that identify the South Australian coast as a high biodiversity area.</t>
  </si>
  <si>
    <t>[Conlan, Kathleen E.; Hendrycks, Ed] Canadian Museum Nat, Ottawa, ON K1P 6P4, Canada; [Currie, David R.; Sorokin, Shirley J.] South Australian Res &amp; Dev Inst Aquat Sci, Adelaide, SA, Australia; [Dittmann, Sabine] Flinders Univ S Australia, Adelaide, SA 5001, Australia</t>
  </si>
  <si>
    <t>Flinders University South Australia</t>
  </si>
  <si>
    <t>Conlan, KE (corresponding author), Canadian Museum Nat, POB 3443 Stn D, Ottawa, ON K1P 6P4, Canada.</t>
  </si>
  <si>
    <t>kconlan@mus-nature.ca</t>
  </si>
  <si>
    <t>Dittmann, Sabine/0000-0002-9408-2734</t>
  </si>
  <si>
    <t>South Australian Government (through the Marine Innovation South Australia initiative); Australian Federal Government, Flinders University (Adelaide, South Australia); Canadian Museum of Nature (Ottawa, Canada)</t>
  </si>
  <si>
    <t>This project was funded by the South Australian Government (through the Marine Innovation South Australia initiative), the Australian Federal Government, Flinders University (Adelaide, South Australia), and the Canadian Museum of Nature (Ottawa, Canada). The funders had no role in study design, data collections and analysis, decision to publish or preparation of the manuscript.</t>
  </si>
  <si>
    <t>e0143921</t>
  </si>
  <si>
    <t>10.1371/journal.pone.0143921</t>
  </si>
  <si>
    <t>CX7NW</t>
  </si>
  <si>
    <t>WOS:000365889800088</t>
  </si>
  <si>
    <t>Risbey, JS; Lewandowsky, S; Hunter, JR; Monselesan, DP</t>
  </si>
  <si>
    <t>Risbey, James S.; Lewandowsky, Stephan; Hunter, John R.; Monselesan, Didier P.</t>
  </si>
  <si>
    <t>Betting strategies on fluctuations in the transient response of greenhouse warming</t>
  </si>
  <si>
    <t>PHILOSOPHICAL TRANSACTIONS OF THE ROYAL SOCIETY A-MATHEMATICAL PHYSICAL AND ENGINEERING SCIENCES</t>
  </si>
  <si>
    <t>climate futures; decadal trends; transient response</t>
  </si>
  <si>
    <t>CLIMATE; TEMPERATURE; METASTABILITY</t>
  </si>
  <si>
    <t>We examine a series of betting strategies on the transient response of greenhouse warming, expressed by changes in 15-year mean global surface temperature from one 15-year period to the next. Over the last century, these bets are increasingly dominated by positive changes (warming), reflecting increasing greenhouse forcing and its rising contribution to temperature changes on this time scale. The greenhouse contribution to 15-year trends is now of a similar magnitude to typical naturally occurring 15-year trends. Negative 15-year changes (decreases) have not occurred since about 1970, and are still possible, but now rely on large, and therefore infrequent, natural variations. Model projections for even intermediate warming scenarios show very low likelihoods of obtaining negative 15-year changes over the coming century. Betting against greenhouse warming, even on these short time scales, is no longer a rational proposition.</t>
  </si>
  <si>
    <t>[Risbey, James S.; Monselesan, Didier P.] CSIRO Oceans &amp; Atmosphere, Hobart, Tas 7000, Australia; [Lewandowsky, Stephan] Univ Bristol, Sch Expt Psychol, Bristol, Avon, England; [Hunter, John R.] Univ Tasmania, Inst Marine &amp; Antarctic Studies, Hobart, Tas, Australia</t>
  </si>
  <si>
    <t>Commonwealth Scientific &amp; Industrial Research Organisation (CSIRO); University of Bristol; University of Tasmania</t>
  </si>
  <si>
    <t>Risbey, JS (corresponding author), CSIRO Oceans &amp; Atmosphere, Hobart, Tas 7000, Australia.</t>
  </si>
  <si>
    <t>james.risbey@csiro.au</t>
  </si>
  <si>
    <t>Lewandowsky, Stephan/L-4272-2019; Risbey, James/M-8419-2013; Monselesan, Didier/A-2327-2012</t>
  </si>
  <si>
    <t>Lewandowsky, Stephan/0000-0003-1655-2013; Risbey, James/0000-0003-3202-9142; Monselesan, Didier/0000-0002-0310-8995</t>
  </si>
  <si>
    <t>GRDC; Australian Climate Change Science Program</t>
  </si>
  <si>
    <t>This work was supported by GRDC and the Australian Climate Change Science Program.</t>
  </si>
  <si>
    <t>1364-503X</t>
  </si>
  <si>
    <t>1471-2962</t>
  </si>
  <si>
    <t>PHILOS T R SOC A</t>
  </si>
  <si>
    <t>Philos. Trans. R. Soc. A-Math. Phys. Eng. Sci.</t>
  </si>
  <si>
    <t>NOV 28</t>
  </si>
  <si>
    <t>10.1098/rsta.2014.0463</t>
  </si>
  <si>
    <t>CY2XO</t>
  </si>
  <si>
    <t>WOS:000366271700008</t>
  </si>
  <si>
    <t>Rodger, CJ; Hendry, AT; Clilverd, MA; Kletzing, CA; Brundell, JB; Reeves, GD</t>
  </si>
  <si>
    <t>Rodger, Craig J.; Hendry, Aaron T.; Clilverd, Mark A.; Kletzing, Craig A.; Brundell, James B.; Reeves, Geoffrey D.</t>
  </si>
  <si>
    <t>High-resolution in situ observations of electron precipitation-causing EMIC waves</t>
  </si>
  <si>
    <t>VAN ALLEN PROBES; PITCH-ANGLE SCATTERING; RESONANT SCATTERING; STORMS</t>
  </si>
  <si>
    <t>Electromagnetic ion cyclotron (EMIC) waves are thought to be important drivers of energetic electron losses from the outer radiation belt through precipitation into the atmosphere. While the theoretical possibility of pitch angle scattering-driven losses from these waves has been recognized for more than four decades, there have been limited experimental precipitation observations to support this concept. We have combined satellite-based observations of the characteristics of EMIC waves, with satellite and ground-based observations of the EMIC-induced electron precipitation. In a detailed case study, supplemented by an additional four examples, we are able to constrain for the first time the location, size, and energy range of EMIC-induced electron precipitation inferred from coincident precipitation data and relate them to the EMIC wave frequency, wave power, and ion band of the wave as measured in situ by the Van Allen Probes. These observations will better constrain modeling into the importance of EMIC wave-particle interactions.</t>
  </si>
  <si>
    <t>[Rodger, Craig J.; Hendry, Aaron T.; Brundell, James B.] Univ Otago, Dept Phys, Dunedin, New Zealand; [Clilverd, Mark A.] British Antarctic Survey NERC, Cambridge, England; [Kletzing, Craig A.] Univ Iowa, Dept Phys &amp; Astron, Iowa City, IA 52242 USA; [Reeves, Geoffrey D.] Los Alamos Natl Lab, Space Sci &amp; Applicat Grp, Los Alamos, NM USA</t>
  </si>
  <si>
    <t>University of Otago; UK Research &amp; Innovation (UKRI); Natural Environment Research Council (NERC); NERC British Antarctic Survey; University of Iowa; United States Department of Energy (DOE); Los Alamos National Laboratory</t>
  </si>
  <si>
    <t>Rodger, Craig/A-1501-2011; Reeves, Geoffrey/E-8101-2011; Hendry, Aaron/T-1911-2019; Brundell, James/F-3196-2013</t>
  </si>
  <si>
    <t>Reeves, Geoffrey/0000-0002-7985-8098; Hendry, Aaron/0000-0002-9130-3781; Kletzing, Craig/0000-0002-4136-3348; Brundell, James/0000-0002-8753-4720; Rodger, Craig J./0000-0002-6770-2707</t>
  </si>
  <si>
    <t>JHU/APL under NASA [921647, NAS5-01072]; NERC [bas0100031] Funding Source: UKRI; Natural Environment Research Council [bas0100031] Funding Source: researchfish</t>
  </si>
  <si>
    <t>JHU/APL under NASA; NERC(UK Research &amp; Innovation (UKRI)Natural Environment Research Council (NERC)); Natural Environment Research Council(UK Research &amp; Innovation (UKRI)Natural Environment Research Council (NERC))</t>
  </si>
  <si>
    <t>The authors would like to thank Richard Yeo for hosting the AARDDVARK receiver in Reykjavik and the following institutional AARDDVARK hosts: Churchill Northern Studies Center USGS/Magnetic Observatories Fairbanks and Sodankyla Geophysical Observatory. We would also like to acknowledge the researchers and engineers of NOAA's Space Environment Center for the provision of the data and the operation of the SEM-2 instrument carried on board these spacecraft, the many teams involved in the Van Allen Probes, and the developers of the Autoplot interactive data tool. The research at University of Iowa was supported by JHU/APL contract 921647 under NASA prime contract NAS5-01072. Data availability is described at the following websites: http://rbspgway.jhuapl.edu/ (Van Allen Probes Science Gateway), http://emfisis.physics.uiowa.edu/ (EMFISIS), http://www.rbsp-ect.lanl.gov/data_pub/rbspa/mageis/level3/ (MagEIS), http://www.rbsp-ect.lanl.gov/data_pub/rbspb/rept/level3/ (REPT), http://www.rbsp-ect.lanl.gov/data_pub/rbspa/MagEphem/def/2013/ (MegEphem), http://satdat.ngdc.noaa.gov/sem/poes/data/ (POES SEM-2), http://www.physics.otago.ac.nz/space/AARDDVARK_homepage.htm (AARDDVARK), and http://wdc.kugi.kyoto-u.ac.jp/aeasy/index.html (SYM-H).</t>
  </si>
  <si>
    <t>10.1002/2015GL066581</t>
  </si>
  <si>
    <t>DB2MO</t>
  </si>
  <si>
    <t>WOS:000368343200006</t>
  </si>
  <si>
    <t>Zhima, Z; Chen, LJ; Fu, HS; Cao, JB; Horne, RB; Reeves, G</t>
  </si>
  <si>
    <t>Zhima, Zeren; Chen, Lunjin; Fu, Huishan; Cao, Jinbin; Horne, Richard B.; Reeves, Geoff</t>
  </si>
  <si>
    <t>Observations of discrete magnetosonic waves off the magnetic equator</t>
  </si>
  <si>
    <t>NOISE EMISSIONS; PROTON</t>
  </si>
  <si>
    <t>Fast mode magnetosonic waves are typically confined close to the magnetic equator and exhibit harmonic structures at multiples of the local, equatorial proton cyclotron frequency. We report observations of magnetosonic waves well off the equator at geomagnetic latitudes from -16.5 degrees to -17.9 degrees and L shell similar to 2.7-4.6. The observed waves exhibit discrete spectral structures with multiple frequency spacings. The predominant frequency spacings are similar to 6 and 9Hz, neither of which is equal to the local proton cyclotron frequency. Backward ray tracing simulations show that the feature of multiple frequency spacings is caused by propagation from two spatially narrow equatorial source regions located at L approximate to 4.2 and 3.7. The equatorial proton cyclotron frequencies at those two locations match the two observed frequency spacings. Our analysis provides the first observations of the harmonic nature ofmagnetosonic waves well away from the equatorial region and suggests that the propagation from multiple equatorial sources contributes to these off-equatorial magnetosonic emissions with varying frequency spacings.</t>
  </si>
  <si>
    <t>[Zhima, Zeren] China Earthquake Adm, Inst Earthquake Sci, Beijing, Peoples R China; [Zhima, Zeren; Chen, Lunjin] Univ Texas Dallas, Dept Phys, Richardson, TX 75083 USA; [Fu, Huishan; Cao, Jinbin] Beihang Univ, Sch Astronaut, Space Sci Inst, Beijing 100191, Peoples R China; [Horne, Richard B.] British Antarctic Survey, Cambridge CB3 0ET, England; [Reeves, Geoff] Los Alamos Natl Lab, Space Sci &amp; Applicat Grp, Los Alamos, NM USA</t>
  </si>
  <si>
    <t>China Earthquake Administration; University of Texas System; University of Texas Dallas; Beihang University; UK Research &amp; Innovation (UKRI); Natural Environment Research Council (NERC); NERC British Antarctic Survey; United States Department of Energy (DOE); Los Alamos National Laboratory</t>
  </si>
  <si>
    <t>Zhima, Z (corresponding author), China Earthquake Adm, Inst Earthquake Sci, Beijing, Peoples R China.</t>
  </si>
  <si>
    <t>zrzm@seis.ac.cn</t>
  </si>
  <si>
    <t>Reeves, Geoffrey/E-8101-2011; Zeren, Droma/ABF-7308-2020; Horne, Richard B/U-3764-2019; Fu, Huishan/E-1507-2012; Chen, Lunjin/L-1250-2013</t>
  </si>
  <si>
    <t>Reeves, Geoffrey/0000-0002-7985-8098; Horne, Richard B/0000-0002-0412-6407; Fu, Huishan/0000-0002-4701-7219; Chen, Lunjin/0000-0003-2489-3571</t>
  </si>
  <si>
    <t>ISTCP [2014DFR21280]; NSFC [41204136, 41274166]; 973 Program [2011CB811404]; Fundamental Research Funds for earthquake research [2014IES010203]; NSF [AGS 1405041]; European Union Seventh Framework Programme (FP7) [606716 SPACESTORM]; Directorate For Geosciences; Div Atmospheric &amp; Geospace Sciences [1405041] Funding Source: National Science Foundation; NERC [bas0100031] Funding Source: UKRI; Natural Environment Research Council [bas0100031] Funding Source: researchfish</t>
  </si>
  <si>
    <t>ISTCP; NSFC(National Natural Science Foundation of China (NSFC)); 973 Program(National Basic Research Program of China); Fundamental Research Funds for earthquake research; NSF(National Science Foundation (NSF)); European Union Seventh Framework Programme (FP7)(European Union (EU)); Directorate For Geosciences; Div Atmospheric &amp; Geospace Sciences(National Science Foundation (NSF)NSF - Directorate for Geosciences (GEO)); NERC(UK Research &amp; Innovation (UKRI)Natural Environment Research Council (NERC)); Natural Environment Research Council(UK Research &amp; Innovation (UKRI)Natural Environment Research Council (NERC))</t>
  </si>
  <si>
    <t>We acknowledge NASA Goddard Space Flight Center Space Physics Data Facility (http://cdaweb.gsfc.nasa.gov/istp_public/) for the use of observation data from the Van Allen Probes (EMFISIS, EFM, WFR, ECT, and HOPE). This work was supported by the ISTCP 2014DFR21280, the NSFC grant 41204136, 41274166, and 973 Program grant 2011CB811404, the Fundamental Research Funds for earthquake research 2014IES010203. Lunjin Chen acknowledge the support of NSF grant AGS 1405041. The research leading to these results has received funding from the European Union Seventh Framework Programme (FP7/2007-2013) under grant agreement 606716 SPACESTORM.</t>
  </si>
  <si>
    <t>10.1002/2015GL066255</t>
  </si>
  <si>
    <t>Green Accepted, Green Submitted, Bronze</t>
  </si>
  <si>
    <t>WOS:000368343200013</t>
  </si>
  <si>
    <t>Cnossen, I; Lastovicka, J; Emmert, JT</t>
  </si>
  <si>
    <t>Cnossen, Ingrid; Lastovicka, Jan; Emmert, John T.</t>
  </si>
  <si>
    <t>Introduction to special issue on Long-term changes and trends in the stratosphere, mesosphere, thermosphere and ionosphere</t>
  </si>
  <si>
    <t>This special issue bundles some of the latest results on decadal-scale variations in the stratosphere, mesosphere, thermosphere, and ionosphere, following on from the 8th Workshop on Long-Term Changes and Trends in the Atmosphere, held in Cambridge, UK, on 28-31 July 2014. Emmert et al. (2015) provided a short report of the workshop. This introduction briefly describes the relevance of the field and highlights some of the recent progress that has been made.</t>
  </si>
  <si>
    <t>[Cnossen, Ingrid] British Antarctic Survey, Cambridge CB3 0ET, England; [Lastovicka, Jan] Inst Atmospher Phys ASCR, Prague, Czech Republic; [Emmert, John T.] US Naval Res Lab, Div Space Sci, Washington, DC USA</t>
  </si>
  <si>
    <t>UK Research &amp; Innovation (UKRI); Natural Environment Research Council (NERC); NERC British Antarctic Survey; Czech Academy of Sciences; Institute of Atmospheric Physics of the Czech Academy of Sciences; United States Department of Defense; United States Navy; Naval Research Laboratory</t>
  </si>
  <si>
    <t>Cnossen, Ingrid/E-5809-2010; Lastovicka, Jan/H-6804-2014</t>
  </si>
  <si>
    <t>Cnossen, Ingrid/0000-0001-6469-7861;</t>
  </si>
  <si>
    <t>Natural Environment Research Council [bas0100031, NE/J018058/1] Funding Source: researchfish; NERC [bas0100031, NE/J018058/1] Funding Source: UKRI</t>
  </si>
  <si>
    <t>NOV 27</t>
  </si>
  <si>
    <t>10.1002/2015JD024133</t>
  </si>
  <si>
    <t>DA5EJ</t>
  </si>
  <si>
    <t>WOS:000367825200001</t>
  </si>
  <si>
    <t>Figuerola, B; Kuklinski, P; Taylor, PD</t>
  </si>
  <si>
    <t>Figuerola, Blanca; Kuklinski, Piotr; Taylor, Paul D.</t>
  </si>
  <si>
    <t>Depth patterns in Antarctic bryozoan skeletal Mg-calcite: Can they provide an analogue for future environmental changes?</t>
  </si>
  <si>
    <t>Skeletal chemistry; Magnesium; Spatial patterns; Ocean acidification</t>
  </si>
  <si>
    <t>OCEAN ACIDIFICATION; BENTHIC FORAMINIFERA; SEAWATER CHEMISTRY; CARBONATE; MINERALOGY; SEA; BIOMINERALIZATION; CALCIFICATION; GROWTH; SHELF</t>
  </si>
  <si>
    <t>Factors related to depth have the potential to provide an analogue for future changes in the skeletal mineralogy of calcifying marine organisms and communities, given that oceanic pH decreases with depth, with a minimum pH of &lt;7.7, which corresponds to the predicted pH of shallow waters in the next 85 yr. Antarctic bryozoans are often characterized by surprisingly broad bathymetrical ranges, and thus have potential for the study of depth-related environmental changes. This study addressed depth-related changes in the levels of magnesium (Mg)-calcite in Antarctic bryozoan skeletons for the first time in order to facilitate predictions of ocean acidification effects. Specimens (n = 103) belonging to 4 bryozoan species (3 cheilostomes and 1 cyclostome) were collected at various depths in East Antarctica (Terre Adelie and George V Land) during the CEAMARC cruise (December 2007 to January 2008), and Mg-calcite contents from their calcareous skeletons were studied using X-ray diffraction. A dataset was compiled from existing environmental data for both sampling and neighboring sites. All 4 species were found to be entirely calcitic with low or intermediate Mg-levels. The predicted negative correlation between pH and Mg-calcite was not evident. Higher Mg levels were found in Fasciculipora ramosa from the George V Basin, suggesting that high salinity shelf water creates favorable conditions for this species, although alternative environmental and biological factors influencing Mg-calcite in skeletons are also discussed for this species.</t>
  </si>
  <si>
    <t>[Figuerola, Blanca] Univ Barcelona, Fac Biol, Biodivers Res Inst IrBIO, E-08028 Barcelona, Catalonia, Spain; [Kuklinski, Piotr; Taylor, Paul D.] Nat Hist Museum, London SW7 5BD, England; [Kuklinski, Piotr] Polish Acad Sci, Inst Oceanol, PL-81712 Sopot, Poland</t>
  </si>
  <si>
    <t>University of Barcelona; Natural History Museum London; Polish Academy of Sciences; Institute of Oceanology of the Polish Academy of Sciences</t>
  </si>
  <si>
    <t>Figuerola, B (corresponding author), Univ Barcelona, Fac Biol, Biodivers Res Inst IrBIO, Ave Diagonal 643, E-08028 Barcelona, Catalonia, Spain.</t>
  </si>
  <si>
    <t>bfiguerola@gmail.com</t>
  </si>
  <si>
    <t>/AAL-3738-2021; Figuerola, Blanca/C-6252-2015</t>
  </si>
  <si>
    <t>Figuerola, Blanca/0000-0003-4731-9337; Kuklinski, Piotr/0000-0002-1507-215X; Taylor, Paul/0000-0002-3127-080X</t>
  </si>
  <si>
    <t>Australian Antarctic Division; Japanese Science Foundation; French Polar Institute IPEV; Museum National d'Histoire Naturelle; SYNTHESYS Project; European Community Research Infrastructure Action under the FP7 'Capacities' Program.'; Polish-Norwegian Research Programme [Pol-Nor/196260/81/2013]</t>
  </si>
  <si>
    <t>Australian Antarctic Division; Japanese Science Foundation; French Polar Institute IPEV; Museum National d'Histoire Naturelle; SYNTHESYS Project; European Community Research Infrastructure Action under the FP7 'Capacities' Program.'; Polish-Norwegian Research Programme</t>
  </si>
  <si>
    <t>The authors thank Jens Najorka (Natural History Museum, UK) for help with XRD analyses and Mary Spencer-Jones for her valuable support at the Natural History Museum and for facilitating the SYNTHESYS visit. We are also very grateful for the helpful suggestions of the anonymous reviewers. We acknowledge the voyage leader, Martin Riddle, the crew and the captain of the RV Aurora Australis. The CAML-CEAMARC cruise of RV 'Aurora Australis' (IPY project no. 53) was supported by the Australian Antarctic Division, the Japanese Science Foundation, the French Polar Institute IPEV and the Museum National d'Histoire Naturelle. The research stay of B.F. at the Natural History Museum received support from the SYNTHESYS Project www.synthesys.info, which is financed by European Community Research Infrastructure Action under the FP7 'Capacities' Program.' The study was completed thanks to the financial support to P.K. from the Polish-Norwegian Research Programme operated by the National Centre for Research and Development under the Norwegian Financial Mechanism 2009-2014 in the frame of Project Contract No. Pol-Nor/196260/81/2013.</t>
  </si>
  <si>
    <t>NOV 26</t>
  </si>
  <si>
    <t>10.3354/meps11515</t>
  </si>
  <si>
    <t>CX4VR</t>
  </si>
  <si>
    <t>WOS:000365698900009</t>
  </si>
  <si>
    <t>Zhu, RB; Shi, Y; Ma, DW; Wang, C; Xu, H; Chu, HY</t>
  </si>
  <si>
    <t>Zhu, Renbin; Shi, Yu; Ma, Dawei; Wang, Can; Xu, Hua; Chu, Haiyan</t>
  </si>
  <si>
    <t>Bacterial diversity is strongly associated with historical penguin activity in an Antarctic lake sediment profile</t>
  </si>
  <si>
    <t>ROSS SEA REGION; COMMUNITY STRUCTURE; PHYLOGENETIC ANALYSIS; MICROBIAL DIVERSITY; MOLECULAR-DETECTION; ORNITHOGENIC SOILS; METABOLIC-ACTIVITY; ARDLEY ISLAND; CASEY STATION; TUNDRA</t>
  </si>
  <si>
    <t>Current penguin activity in Antarctica affects the geochemistry of sediments and their microbial communities; the effects of historical penguin activity are less well understood. Here, bacterial diversity in ornithogenic sediment was investigated using high-throughput pyrosequencing. The relative abundances of dominant phyla were controlled by the amount of historical penguin guano deposition. Significant positive correlations were found between both the bacterial richness and diversity, and the relative penguin number (p &lt; 0.01); this indicated that historical penguin activity drove the vertical distribution of the bacterial communities. The lowest relative abundances of individual phyla corresponded to lowest number of penguin population at 1,800-2,300 yr BP during a drier and colder period; the opposite was observed during a moister and warmer climate (1,400-1,800 yr BP). This study shows that changes in the climate over millennia affected penguin populations and the outcomes of these changes affect the sediment bacterial community today.</t>
  </si>
  <si>
    <t>[Zhu, Renbin; Ma, Dawei; Wang, Can] Univ Sci &amp; Technol China, Sch Earth &amp; Space Sci, Inst Polar Environm, Hefei 230026, Anhui, Peoples R China; [Shi, Yu; Xu, Hua; Chu, Haiyan] Chinese Acad Sci, Inst Soil Sci, State Key Lab Soil &amp; Sustainable Agr, Nanjing 210008, Jiangsu, Peoples R China</t>
  </si>
  <si>
    <t>Chinese Academy of Sciences; University of Science &amp; Technology of China, CAS; Chinese Academy of Sciences; Nanjing Institute of Soil Science, CAS</t>
  </si>
  <si>
    <t>Zhu, RB (corresponding author), Univ Sci &amp; Technol China, Sch Earth &amp; Space Sci, Inst Polar Environm, Hefei 230026, Anhui, Peoples R China.</t>
  </si>
  <si>
    <t>zhurb@ustc.edu.cn; hychu@issas.ac.cn</t>
  </si>
  <si>
    <t>Shi, Yu/P-3378-2015</t>
  </si>
  <si>
    <t>Shi, Yu/0000-0001-9612-8321; Chu, Haiyan/0000-0001-9004-8750</t>
  </si>
  <si>
    <t>National Natural Science Foundation of China [41176171, 41371254, 41576181]; Specialized Research Fund for the Doctoral Program of Higher Education [20123402110026]; Strategic Priority Research Program of the Chinese Academy of Sciences [XDB15010101]; Polar Office of National Ocean Bureau of China</t>
  </si>
  <si>
    <t>National Natural Science Foundation of China(National Natural Science Foundation of China (NSFC)); Specialized Research Fund for the Doctoral Program of Higher Education(Specialized Research Fund for the Doctoral Program of Higher Education (SRFDP)); Strategic Priority Research Program of the Chinese Academy of Sciences(Chinese Academy of Sciences); Polar Office of National Ocean Bureau of China</t>
  </si>
  <si>
    <t>This work was supported by the National Natural Science Foundation of China (Grant Nos. 41176171; 41371254; 41576181), and the Specialized Research Fund for the Doctoral Program of Higher Education (Grant No. 20123402110026). This work was also supported by the Strategic Priority Research Program (XDB15010101) of the Chinese Academy of Sciences. We thank Polar Office of National Ocean Bureau of China and the members of Chinese Antarctic Research Expedition for their support and assistant. We also thank Congcong Shen, Xingjia Xiang for their assistance in molecular analysis.</t>
  </si>
  <si>
    <t>NOV 25</t>
  </si>
  <si>
    <t>10.1038/srep17231</t>
  </si>
  <si>
    <t>CX0KB</t>
  </si>
  <si>
    <t>WOS:000365384200001</t>
  </si>
  <si>
    <t>Artigaud, S; Richard, J; Thorne, MAS; Lavaud, R; Flye-Sainte-Marie, J; Jean, F; Peck, LS; Clark, MS; Pichereau, V</t>
  </si>
  <si>
    <t>Artigaud, Sebastien; Richard, Joelle; Thorne, Michael A. S.; Lavaud, Romain; Flye-Sainte-Marie, Jonathan; Jean, Fred; Peck, Lloyd S.; Clark, Melody S.; Pichereau, Vianney</t>
  </si>
  <si>
    <t>Deciphering the molecular adaptation of the king scallop (Pecten maximus) to heat stress using transcriptomics and proteomics</t>
  </si>
  <si>
    <t>BMC GENOMICS</t>
  </si>
  <si>
    <t>Marine biology; Metabolism; DNA repair; Transcription regulation; Apoptosis; Energy reserves</t>
  </si>
  <si>
    <t>GLYCERALDEHYDE-3-PHOSPHATE DEHYDROGENASE; ENVIRONMENTAL PROTEOMICS; PACIFIC OYSTER; CLIMATE-CHANGE; GREAT SCALLOP; CRASSOSTREA-VIRGINICA; ELEVATED-TEMPERATURE; ARGOPECTEN-IRRADIANS; THERMAL ADAPTATION; SHOCK PROTEINS</t>
  </si>
  <si>
    <t>Background: The capacity of marine species to survive chronic heat stress underpins their ability to survive warming oceans as a result of climate change. In this study RNA-Seq and 2-DE proteomics were employed to decipher the molecular response of the sub-tidal bivalve Pecten maximus, to elevated temperatures. Results: Individuals were maintained at three different temperatures (15, 21 and 25 degrees C) for 56 days, representing control conditions, maximum environmental temperature and extreme warming, with individuals sampled at seven time points. The scallops thrived at 21 degrees C, but suffered a reduction in condition at 25 degrees C. RNA-Seq analyses produced 26,064 assembled contigs, of which 531 were differentially expressed, with putative annotation assigned to 177 transcripts. The proteomic approach identified 24 differentially expressed proteins, with nine identified by mass spectrometry. Network analysis of these results indicated a pivotal role for GAPDH and AP1 signalling pathways. Data also suggested a remodelling of the cell structure, as revealed by the differential expression of genes involved in the cytoskeleton and cell membrane and a reduction in DNA repair. They also indicated the diversion of energetic metabolism towards the mobilization of lipid energy reserves to fuel the increased metabolic rate at the higher temperature. Conclusions: This work provides preliminary insights into the response of P. maximus to chronic heat stress and provides a basis for future studies examining the tipping points and energetic trade-offs of scallop culture in warming oceans.</t>
  </si>
  <si>
    <t>[Artigaud, Sebastien; Richard, Joelle; Lavaud, Romain; Flye-Sainte-Marie, Jonathan; Jean, Fred; Pichereau, Vianney] Univ Brest UBO, Inst Univ Europeen Mer, Lab Sci Environm Marin, LEMAR,UMR 6539,CNRS,UBO,IRD,Ifremer, F-29280 Plouzane, France; [Thorne, Michael A. S.; Peck, Lloyd S.; Clark, Melody S.] British Antarctic Survey, Nat Environm Res Council, Cambridge CB3 0ET, England</t>
  </si>
  <si>
    <t>Universite de Bretagne Occidentale; Institut Universitaire Europeen de la Mer (IUEM); Centre National de la Recherche Scientifique (CNRS); Ifremer; Institut de Recherche pour le Developpement (IRD); CNRS - Institute of Ecology &amp; Environment (INEE); UK Research &amp; Innovation (UKRI); Natural Environment Research Council (NERC); NERC British Antarctic Survey</t>
  </si>
  <si>
    <t>Pichereau, V (corresponding author), Univ Brest UBO, Inst Univ Europeen Mer, Lab Sci Environm Marin, LEMAR,UMR 6539,CNRS,UBO,IRD,Ifremer, F-29280 Plouzane, France.</t>
  </si>
  <si>
    <t>vianney.pichereau@univ-brest.fr</t>
  </si>
  <si>
    <t>PICHEREAU, Vianney/B-2168-2008; PICHEREAU, Vianney/Q-7236-2019; Lavaud, Romain/AAI-2775-2021; Clark, Melody/D-7371-2014; Jean, Fred/A-8226-2010</t>
  </si>
  <si>
    <t>PICHEREAU, Vianney/0000-0003-1078-9407; PICHEREAU, Vianney/0000-0003-1078-9407; Flye-Sainte-Marie, Jonathan/0000-0002-6462-0677; Clark, Melody/0000-0002-3442-3824; Lavaud, Romain/0000-0002-1848-5603; Jean, Fred/0000-0002-1132-230X; Thorne, Michael/0000-0001-7759-612X</t>
  </si>
  <si>
    <t>Region Bretagne [6368, 6197]; NERC; French National Research Agency (ANR) [ANR-2010STRA-010, ANR-10-LABX-19]; NERC Theme Leader Award [NE/G018]; Natural Environment Research Council [bas0100036] Funding Source: researchfish; NERC [bas0100036] Funding Source: UKRI</t>
  </si>
  <si>
    <t>Region Bretagne(Region Bretagne); NERC(UK Research &amp; Innovation (UKRI)Natural Environment Research Council (NERC)); French National Research Agency (ANR)(Agence Nationale de la Recherche (ANR)Norwegian Agency for Development Cooperation - NORAD); NERC Theme Leader Award; Natural Environment Research Council(UK Research &amp; Innovation (UKRI)Natural Environment Research Council (NERC)); NERC(UK Research &amp; Innovation (UKRI)Natural Environment Research Council (NERC))</t>
  </si>
  <si>
    <t>This research was granted by the Region Bretagne, i.e. the Pemadapt project (ref. 6368) and a doctoral fellowship to S.A. (Protmar project, ref. 6197). MSC, MAST and LSP were financed by core NERC funding to the British Antarctic Survey Polar Sciences for Planet Earth programme. COMANCHE (ANR-2010STRA-010) and LabexMER (ANR-10-LABX-19) programs from the French National Research Agency (ANR), and a NERC Theme Leader Award to LSP (NE/G018), also supported our research. For temperatures in the bay of Brest, we used data provided by the Service d'Observation en Milieu Littoral, INSU-CNRS, SOMLIT-Brest, IUEM/UBO.</t>
  </si>
  <si>
    <t>1471-2164</t>
  </si>
  <si>
    <t>BMC Genomics</t>
  </si>
  <si>
    <t>NOV 23</t>
  </si>
  <si>
    <t>10.1186/s12864-015-2132-x</t>
  </si>
  <si>
    <t>Biotechnology &amp; Applied Microbiology; Genetics &amp; Heredity</t>
  </si>
  <si>
    <t>CW8YM</t>
  </si>
  <si>
    <t>WOS:000365285400002</t>
  </si>
  <si>
    <t>Grand, MM; Measures, CI; Hatta, M; Morton, PL; Barrett, P; Milne, A; Resing, JA; Landing, WM</t>
  </si>
  <si>
    <t>Grand, Maxime M.; Measures, Christopher I.; Hatta, Mariko; Morton, Peter L.; Barrett, Pamela; Milne, Angela; Resing, Joseph A.; Landing, William M.</t>
  </si>
  <si>
    <t>The impact of circulation and dust deposition in controlling the distributions of dissolved Fe and Al in the south Indian subtropical gyre</t>
  </si>
  <si>
    <t>Fe iron; Al aluminium; Indian Ocean; CLIVAR</t>
  </si>
  <si>
    <t>ANTARCTIC INTERMEDIATE WATER; ATMOSPHERIC TRACE-METALS; NITROGEN-FIXATION; COLLOIDAL ALUMINUM; SURFACE WATERS; WEDDELL SEA; UPPER-OCEAN; IRON; ATLANTIC; SEAWATER</t>
  </si>
  <si>
    <t>The South Indian Subtropical Gyre (SISG) is one of the least studied gyre systems of the world ocean with respect to trace elements. Here we report dissolved (&lt;0.45 mu m) Fe and Al measurements collected during two high-resolution US-CLIVAR CO2 Repeat Hydrography sections, which transected the upper 1000 m of the gyre zonally along similar to 32 degrees S (105) and meridionally along similar to 30 degrees E (IOW. Particulate Fe and Al concentrations in waters influenced by the Agulhas Current are also presented. The distributions of dissolved Fe and Al in the gyre are primarily impacted by mineral dust deposition at the surface and the large-scale circulation patterns of the gyre at depth. Using mean mixed layer dissolved Al concentrations, we estimate that the deposition and partial dissolution of mineral dust emanating from South Africa and Australia vary from 60 to 685 mg (dust) m(-2) yr(-1) across the 32 degrees S transect. This translates into a dust source of dissolved Fe ranging from 1.7 to 20 mu mol Fe m(-2) y(-1). The zonal patterns of aeolian deposition and those of N*, an indirect geochemical tracer for nitrogen fixation, show remarkable similarities along the 105 transect, suggesting that aeolian delivery of Fe may regulate nitrogen fixation rates in the SISG. In the western SISG (west of 60 degrees E), which receives some of the highest aeolian Fe fluxes of the 32 degrees S section, the Fe:AOU ratio in Indian Central Water was elevated relative to that observed in the Indian Central Water occupying the eastern Indian Ocean. These elevated Fe:AOU ratios may reflect the remineralization of Fe-rich organic material from nitrogen fixing organisms at the western end of the basin. Below the mixed layer, the distribution of dissolved Al appears to trace the principal features of the large-scale circulation of the SISG. Elevated subsurface concentrations of dissolved Al (&gt;4 nM) in the southwest Indian Ocean west of 45-50 degrees E are most likely sustained by leakage of Al-rich waters from the Agulhas Return Current. Along the southeast African margin, the elevated particulate Fe (up to 230 nM) and Al (up to 690 nM) concentrations reflect the resuspension and transport of shelf sediments by the highly energetic Agulhas Current. However, while the particulate inputs at the margin are massive and appear to supply modest amounts of dissolved Fe, the distribution of dissolved Al is decoupled from the particulate phase. This observation suggests that the elevated subsurface dissolved Al concentrations observed near the African shelf are not the result of sediment resuspension processes occurring in situ along 105 but are more likely an advected signal originating from the upper reaches of the Agulhas Current. (C) 2015 Elsevier B.V. All rights reserved.</t>
  </si>
  <si>
    <t>[Grand, Maxime M.; Measures, Christopher I.; Hatta, Mariko] Univ Hawaii, Dept Oceanog, Honolulu, HI 96822 USA; [Morton, Peter L.; Landing, William M.] Florida State Univ, Dept Earth Ocean &amp; Atmospher Sci, Tallahassee, FL 32306 USA; [Barrett, Pamela; Resing, Joseph A.] Univ Washington, Joint Inst Study Atmosphere &amp; Ocean, PMEL, NOAA, Seattle, WA 98195 USA; [Milne, Angela] Univ Plymouth, Sch Geog Earth &amp; Environm Sci, Plymouth PL4 8AA, Devon, England</t>
  </si>
  <si>
    <t>University of Hawaii System; State University System of Florida; Florida State University; University of Washington; University of Washington Seattle; National Oceanic Atmospheric Admin (NOAA) - USA; University of Plymouth</t>
  </si>
  <si>
    <t>Grand, MM (corresponding author), Univ Southampton, Natl Oceanog Ctr Southampton, Ocean &amp; Earth Sci, Waterfront Campus,European Way, Southampton SO14 3ZH, Hants, England.</t>
  </si>
  <si>
    <t>maxime@hawaii.edu</t>
  </si>
  <si>
    <t>Landing, William/KBA-8522-2024; Grand, Maxime/S-1898-2019; Morton, Peter L/C-5078-2014; Resing, Joseph A/J-6110-2017; Barrett, Pamela Louise/JEZ-8259-2023; Milne, Angela/O-2786-2016</t>
  </si>
  <si>
    <t>Landing, William/0000-0002-7514-3247; Grand, Maxime/0000-0001-9338-694X; Resing, Joseph A/0000-0002-7334-4176; Barrett, Pamela/0000-0003-3405-5328; Hatta, Mariko/0000-0002-4892-7708; Milne, Angela/0000-0002-3304-8962; Morton, Peter/0000-0002-4248-2357</t>
  </si>
  <si>
    <t>National Science Foundation [DMR-1157490]; State of Florida; [NSF-OCE-0649584]; [NSF-OCE-0550317]; [0649639]; [NSF-OCE-1260376]; Division Of Ocean Sciences; Directorate For Geosciences [1260376] Funding Source: National Science Foundation</t>
  </si>
  <si>
    <t>National Science Foundation(National Science Foundation (NSF)); State of Florida; ; ; ; ; Division Of Ocean Sciences; Directorate For Geosciences(National Science Foundation (NSF)NSF - Directorate for Geosciences (GEO))</t>
  </si>
  <si>
    <t>We thank the crew and captains of the R/V Roger Revelle and chief scientists Jim Swift (105) and Kevin Speer (I06S) for their tremendous technical and logistical support, particularly on I06S when we were faced with many technical difficulties following the failed delivery of our hydraulic winch and loss of our CTD rosette. We also acknowledge Kati Gosnell and William Hiscock for their help during the seagoing part of this project as well as Yoshild Sohrin and Natalie Mahowald for sharing their data and two anonymous reviewers for their comments. The ICP-MS analyses reported here were performed at the National High Magnetic Field Laboratory, which is supported by the National Science Foundation cooperative agreement no. DMR-1157490 and the State of Florida. This work was funded by NSF-OCE-0649584 to CIM, NSF-OCE-0550317 and 0649639 to WML and NSF-OCE-1260376 to JAR. This is SOEST contribution number 9484 and JISAO and PMEL publications #2413 and #4290, respectively.</t>
  </si>
  <si>
    <t>NOV 20</t>
  </si>
  <si>
    <t>10.1016/j.marchem.2015.08.002</t>
  </si>
  <si>
    <t>CV4UP</t>
  </si>
  <si>
    <t>WOS:000364262300010</t>
  </si>
  <si>
    <t>Chen, BS; Cai, WJ; Chen, LQ</t>
  </si>
  <si>
    <t>Chen, Baoshan; Cai, Wei-Jun; Chen, Liqi</t>
  </si>
  <si>
    <t>The marine carbonate system of the Arctic Ocean: Assessment of internal consistency and sampling considerations, summer 2010</t>
  </si>
  <si>
    <t>Oceanography; Carbon dioxide; Polar waters; Dissociation constants</t>
  </si>
  <si>
    <t>DISSOLVED INORGANIC CARBON; DISSOCIATION-CONSTANTS; SURFACE-WATER; SEA-ICE; DIOXIDE SYSTEM; CO2 SYSTEM; ACID; SEAWATER; ALKALINITY; SATURATION</t>
  </si>
  <si>
    <t>The Arctic Ocean has experienced tremendous changes in recent years. To evaluate temporal and spatial variations of the marine carbonate system, a rigorous evaluation of the quality and internal consistency of Arctic field data and the applicability of existing thermodynamic constants to Arctic conditions is needed. Low Arctic temperatures fall outside the range of conditions used to experimentally determine these constants. Using data collected during the Chinese National Arctic Research Expedition (CHINARE) cruise of summer 2010, we compared underway measurements of the partial pressure of carbon dioxide (pCO(2)) to pCO(2) values calculated using measurements of dissolved inorganic carbon (DIC) and total alkalinity (TAlk) and seven sets of dissociation constants. For waters sampled outside areas of active sea ice melt, calculated and measured pCO(2) values agreed best when the calculations incorporated the carbonic acid dissociation constants of Mehrbach et al. (1973) (as refit by Dickson and Millero (1987)) (mean difference of 1.5 mu atrm +/- standard deviation of 5.7 mu atm) or Lueker et al. (2000) (23 5.4 mu atm). Differences between calculated and measured pCO(2) values were related to temperature and salinity and were, for all sets of constants, increasing with increasing T and S over a temperature range of 1.5 to 10.5 degrees C and a salinity range of 25.8 to 331 In the relatively warm Bering Sea, calculated pCO(2) was higher than measured pCO(2), but in the colder Canada Basin, calculated values were lower than measured values. This pattern indicates that calculations of pCO(2) in very cold waters may underestimate pCO(2), with an uncertainty of similar to 5 mu atm in accuracy. In areas of active sea ice melt (ice cover &lt;35%), large differences between calculated and measured pCO(2) values occurred. We explored possible explanations for these large differences and concluded that dissolution of CaCO3 precipitates from sea ice in samples is the most likely cause. Further research including a comparison of filtered and unfiltered samples is needed to resolve this issue. Many processes influence the marine carbonate system of the Arctic Ocean, and further assessment of their relative roles is needed. (C) 2015 Elsevier B.V. All rights reserved.</t>
  </si>
  <si>
    <t>[Chen, Baoshan; Cai, Wei-Jun] Univ Delaware, Sch Marine Sci &amp; Policy, Newark, DE 19716 USA; [Chen, Baoshan; Cai, Wei-Jun] Univ Georgia, Dept Marine Sci, Athens, GA 30602 USA; [Chen, Liqi] State Ocean Adm, Inst Oceanog 3, Xiamen 361000, Fujian, Peoples R China</t>
  </si>
  <si>
    <t>University of Delaware; University System of Georgia; University of Georgia; Third Institute of Oceanography, Ministry of Natural Resources</t>
  </si>
  <si>
    <t>Cai, WJ (corresponding author), Univ Delaware, Sch Marine Sci &amp; Policy, Newark, DE 19716 USA.</t>
  </si>
  <si>
    <t>chenbaoshan@gmail.com; wcai@udel.edu; lqchen@soa.gov.cn</t>
  </si>
  <si>
    <t>Cai, Wei-Jun/C-1361-2013</t>
  </si>
  <si>
    <t>Cai, Wei-Jun/0000-0003-3606-8325</t>
  </si>
  <si>
    <t>Chinese International Cooperation Projects [2015DFG22010, IC201513]; Natural Science Foundation of China [41230529, 41476172]; Chinese Projects for Investigations and Assessments of the Arctic and Antarctic [01-04-02, 02-01, 03-04-02]; U.S. National Oceanic and Atmospheric Administration, NOM, [NA05OAR4311161, NA09OAR4310078]; U.S. National Science Foundation [ARC-0909330, PLR-1304337]; Directorate For Geosciences; Office of Polar Programs (OPP) [1304337] Funding Source: National Science Foundation</t>
  </si>
  <si>
    <t>Chinese International Cooperation Projects; Natural Science Foundation of China(National Natural Science Foundation of China (NSFC)); Chinese Projects for Investigations and Assessments of the Arctic and Antarctic; U.S. National Oceanic and Atmospheric Administration, NOM,; U.S. National Science Foundation(National Science Foundation (NSF)); Directorate For Geosciences; Office of Polar Programs (OPP)(National Science Foundation (NSF)NSF - Directorate for Geosciences (GEO))</t>
  </si>
  <si>
    <t>We thank the captains and crew of the icebreaker RAT Xuelong for their excellent work and assistance in completing this study. The field research was supported by the Chinese International Cooperation Projects (2015DFG22010, IC201513), the Natural Science Foundation of China (41230529, 41476172), Chinese Projects for Investigations and Assessments of the Arctic and Antarctic (CHINARE2012-15 for 01-04-02, 02-01, and 03-04-02), the U.S. National Oceanic and Atmospheric Administration, NOM, (NA05OAR4311161 and NA09OAR4310078), and the U.S. National Science Foundation (ARC-0909330 and PLR-1304337). We also appreciate the great help and high-quality work of Yongchen Wang and Guirong Hang (DIC analyses), Liang Xue and Wei-Jen Huang (TAlk analyses), and Heng Sun. (underway pCO2 measurements). We are grateful to Rik Wanninkhof, Kevin Sullivan, and Denis Pierrot of NOAA for their contribution in the China and US collaboration in Arctic Ocean carbon research. Finally, we thank Dr. Frank Millero and another reviewer for their constructive comments.</t>
  </si>
  <si>
    <t>10.1016/j.marchem.2015.09.007</t>
  </si>
  <si>
    <t>WOS:000364262300016</t>
  </si>
  <si>
    <t>Annett, AL; Skiba, M; Henley, SF; Venables, HJ; Meredith, MP; Statham, PJ; Ganeshram, RS</t>
  </si>
  <si>
    <t>Annett, Amber L.; Skiba, Marta; Henley, Sian F.; Venables, Hugh J.; Meredith, Michael P.; Statham, Peter J.; Ganeshram, Raja S.</t>
  </si>
  <si>
    <t>Comparative roles of upwelling and glacial iron sources in Ryder Bay, coastal western Antarctic Peninsula</t>
  </si>
  <si>
    <t>Iron; Aluminium; Iron budget; Glacial input; Upwelling; Ryder Bay</t>
  </si>
  <si>
    <t>NORTHERN MARGUERITE BAY; SOUTHERN-OCEAN; WATER-COLUMN; PHYTOPLANKTON BLOOMS; CONTINENTAL-SHELF; SURFACE CURRENTS; DISSOLVED IRON; AMUNDSEN SEA; PINE ISLAND; VARIABILITY</t>
  </si>
  <si>
    <t>Iron (Fe) is an essential micronutrient for phytoplankton, and is scarce in many regions including the open Southern Ocean. The western Antarctic Peninsula (WAP), an important source region of Fe to the wider Southern Ocean, is also the fastest warming region of the Southern Hemisphere. The relative importance of glacial versus marine Fe sources is currently poorly constrained, hindering projections of how changing oceanic circulation, productivity, and glacial dynamics may affect the balance of Fe sources in this region. Dissolved and total dissolvable Fe concentrations were measured throughout the summer bloom period at a coastal site on the WAP. Iron inputs to the surface mixed layer in early summer were strongly correlated with meteoric meltwater from glaciers and precipitation. A significant source of Fe from underlying waters was also identified, with dissolved Fe concentrations of up to 9.5 nM at 200 m depth. These two primary Fe sources act on different timescales, with glacial sources supplying Fe during the warm summer growing period, and deep water replenishing Fe over annual periods via deep winter mixing. Iron supply from deep water is sufficient to meet biological demand relative to macronutrient supply, making Fe limitation unlikely in this area even without additional summer Fe inputs from glacial sources. Both glacial and deep-water Fe sources may increase with continued climate warming, potentially enhancing the role of the WAP as an Fe source to offshore waters. (C) 2015 The Authors. Published by Elsevier B.V. This is an open access article under the CC BY license.</t>
  </si>
  <si>
    <t>[Annett, Amber L.; Henley, Sian F.; Ganeshram, Raja S.] Univ Edinburgh, Sch GeoSci, Edinburgh EH9 3FE, Midlothian, Scotland; [Skiba, Marta; Statham, Peter J.] Univ Southampton, Natl Oceanog Ctr, Ocean &amp; Earth Sci, Southampton, Hants, England; [Venables, Hugh J.; Meredith, Michael P.] British Antarctic Survey, Cambridge CB3 0ET, England</t>
  </si>
  <si>
    <t>University of Edinburgh; NERC National Oceanography Centre; University of Southampton; UK Research &amp; Innovation (UKRI); Natural Environment Research Council (NERC); NERC British Antarctic Survey</t>
  </si>
  <si>
    <t>Annett, AL (corresponding author), Univ Edinburgh, Grant Inst, Sch GeoSci, Kings Bldg,James Hutton Rd, Edinburgh EH9 3FE, Midlothian, Scotland.</t>
  </si>
  <si>
    <t>amber.annett@ed.ac.uk</t>
  </si>
  <si>
    <t>Ganeshram, Raja S/JPX-5314-2023</t>
  </si>
  <si>
    <t>Meredith, Michael/0000-0002-7342-7756; Annett, Amber/0000-0002-3730-2438</t>
  </si>
  <si>
    <t>Collaborative Gearing Scheme of the British Antarctic Survey (through NERC, UK) [CGS11/56]; School of GeoSciences (University of Edinburgh); NSERC (Canada) [PGSD-374281-2009]; Natural Environment Research Council [bas0100033] Funding Source: researchfish; NERC [bas0100033] Funding Source: UKRI</t>
  </si>
  <si>
    <t>Collaborative Gearing Scheme of the British Antarctic Survey (through NERC, UK); School of GeoSciences (University of Edinburgh); NSERC (Canada)(Natural Sciences and Engineering Research Council of Canada (NSERC)); Natural Environment Research Council(UK Research &amp; Innovation (UKRI)Natural Environment Research Council (NERC)); NERC(UK Research &amp; Innovation (UKRI)Natural Environment Research Council (NERC))</t>
  </si>
  <si>
    <t>The authors would like to thank the marine staff of Rothera Research Station for help with sample collection, and the British Antarctic Survey for logistical support. Antarctic fieldwork work was supported through the Collaborative Gearing Scheme of the British Antarctic Survey (through NERC, UK, CGS11/56). Scholarship funding was provided to A.L.A. by the School of GeoSciences (University of Edinburgh), and NSERC (Canada), PGSD-374281-2009. We are grateful to the Associate Editor and two anonymous reviewers for comments which have greatly improved the manuscript. RaTS data can be requested at www.antarctica.ac.uk/rats, other data are available from the authors.</t>
  </si>
  <si>
    <t>10.1016/j.marchem.2015.06.017</t>
  </si>
  <si>
    <t>WOS:000364262300003</t>
  </si>
  <si>
    <t>Pistorius, PA; Hindell, MA; Tremblay, Y; Rishworth, GM</t>
  </si>
  <si>
    <t>Pistorius, Pierre A.; Hindell, Mark A.; Tremblay, Yann; Rishworth, Gavin M.</t>
  </si>
  <si>
    <t>Weathering a Dynamic Seascape: Influences of Wind and Rain on a Seabird's Year-Round Activity Budgets</t>
  </si>
  <si>
    <t>CAPE GANNETS; ALGOA BAY; BEHAVIOR; PATTERNS; POPULATION; FLIGHT; FOOD; INFORMATION; GUILLEMOTS; DISPERSAL</t>
  </si>
  <si>
    <t>How animals respond to varying environmental conditions is fundamental to ecology and is a question that has gained impetus due to mounting evidence indicating negative effects of global change on biodiversity. Behavioural plasticity is one mechanism that enables individuals and species to deal with environmental changes, yet for many taxa information on behavioural parameters and their capacity to change are lacking or restricted to certain periods within the annual cycle. This is particularly true for seabirds where year-round behavioural information is intrinsically challenging to acquire due to their reliance on the marine environment where they are difficult to study. Using data from over 13,000 foraging trips throughout the annual cycle, acquired using new-generation automated VHF technology, we described sex-specific, year-round activity budgets in Cape gannets. Using these data we investigated the role of weather (wind and rain) on foraging activity and time allocated to nest attendance. Foraging activity was clearly influenced by wind speed, wind direction and rainfall during and outside the breeding season. Generally, strong wind conditions throughout the year resulted in relatively short foraging trips. Birds spent longer periods foraging when rainfall was moderate. Nest attendance, which was sex-specific outside of the breeding season, was also influenced by meteorological conditions. Large amounts of rainfall (&gt; 2.5 mm per hour) and strong winds (&gt; 13 m s(-1)) resulted in gannets spending shorter amounts of time at their nests. We discuss these findings in terms of life history strategies and implications for the use of seabirds as bio-indicators.</t>
  </si>
  <si>
    <t>[Pistorius, Pierre A.; Rishworth, Gavin M.] Nelson Mandela Metropolitan Univ, Percy FitzPatrick Inst, Dept Zool, DST NRF Ctr Excellence, ZA-6031 Summerstrand, South Africa; [Hindell, Mark A.] Univ Tasmania, Inst Marine &amp; Antarctic Studies, Hobart, Tas 7001, Australia; [Tremblay, Yann] Ctr Rech Halieut Mediterraneenne &amp; Tropicale, Inst Rech Dev, UMR EME Exploited Marine Ecosyst 212, F-34203 Sete, France</t>
  </si>
  <si>
    <t>Nelson Mandela University; National Research Foundation - South Africa; University of Tasmania; Ifremer; Institut de Recherche pour le Developpement (IRD); Universite de Montpellier</t>
  </si>
  <si>
    <t>Pistorius, PA (corresponding author), Nelson Mandela Metropolitan Univ, Percy FitzPatrick Inst, Dept Zool, DST NRF Ctr Excellence, ZA-6031 Summerstrand, South Africa.</t>
  </si>
  <si>
    <t>ppistorius@nmmu.ac.za</t>
  </si>
  <si>
    <t>Tremblay, Yann/0000-0002-4653-9269; Pistorius, Pierre/0000-0001-6561-7069; Hindell, Mark/0000-0002-7823-7185</t>
  </si>
  <si>
    <t>National Research Foundation (NRF) of South Africa</t>
  </si>
  <si>
    <t>National Research Foundation (NRF) of South Africa(National Research Foundation - South Africa)</t>
  </si>
  <si>
    <t>This research was funded by the National Research Foundation (NRF) of South Africa. The funders had no role in study design, data collection and analysis, decision to publish, or preparation of the manuscript.; The National Research Foundation (NRF) of South Africa is thanked for funding this research. South African National Parks (SANParks) provided logistical support and accommodation on Bird Island. The field assistance of David Green and Maelle Connan is greatly appreciated. The South African Weather Service (SAWS) and Wayne Goschen are thanked for making meteorological data available to this project.</t>
  </si>
  <si>
    <t>NOV 18</t>
  </si>
  <si>
    <t>e0142623</t>
  </si>
  <si>
    <t>10.1371/journal.pone.0142623</t>
  </si>
  <si>
    <t>CW7CD</t>
  </si>
  <si>
    <t>WOS:000365154600051</t>
  </si>
  <si>
    <t>Taboada, S; Riesgo, A; Bas, M; Arnedo, MA; Cristobo, J; Rouse, GW; Avila, C</t>
  </si>
  <si>
    <t>Taboada, Sergi; Riesgo, Ana; Bas, Maria; Arnedo, Miquel A.; Cristobo, Javier; Rouse, Greg W.; Avila, Conxita</t>
  </si>
  <si>
    <t>Bone-Eating Worms Spread: Insights into Shallow-Water Osedax (Annelida, Siboglinidae) from Antarctic, Subantarctic, and Mediterranean Waters</t>
  </si>
  <si>
    <t>MESSINIAN SALINITY CRISIS; DWARF MALES; BACTERIAL ENDOSYMBIONTS; PHYLOGENETIC INFERENCE; MAXIMUM-LIKELIHOOD; TEMPORAL VARIATION; SOUTHERN-OCEAN; NORTH-ATLANTIC; MIXED MODELS; DNA</t>
  </si>
  <si>
    <t>Osedax, commonly known as bone-eating worms, are unusual marine annelids belonging to Siboglinidae and represent a remarkable example of evolutionary adaptation to a specialized habitat, namely sunken vertebrate bones. Usually, females of these animals live anchored inside bone owing to a ramified root system from an ovisac, and obtain nutrition via symbiosis with Oceanospirillales gamma-proteobacteria. Since their discovery, 26 Osedax operational taxonomic units (OTUs) have been reported from a wide bathymetric range in the Pacific, the North Atlantic, and the Southern Ocean. Using experimentally deployed and naturally occurring bones we report here the presence of Osedax deceptionensis at very shallow-waters in Deception Island (type locality; Antarctica) and at moderate depths near South Georgia Island (Subantarctic). We present molecular evidence in a new phylogenetic analysis based on five concatenated genes (28S rDNA, Histone H3, 18S rDNA, 16S rDNA, and cytochrome c oxidase I-COI-), using Maximum Likelihood and Bayesian inference, supporting the placement of O. deceptionensis as a separate lineage (Clade VI) although its position still remains uncertain. This phylogenetic analysis includes a new unnamed species (O. 'mediterranea') recently discovered in the shallow-water Mediterranean Sea belonging to Osedax Clade I. A timeframe of the diversification of Osedax inferred using a Bayesian framework further suggests that Osedax diverged from other siboglinids during the Middle Cretaceous (ca. 108 Ma) and also indicates that the most recent common ancestor of Osedax extant lineages dates to the Late Cretaceous (ca. 74.8 Ma) concomitantly with large marine reptiles and teleost fishes. We also provide a phylogenetic framework that assigns newly-sequenced Osedax endosymbionts of O. deceptionensis and O. 'mediterranea' to ribospecies Rs1. Molecular analysis for O. deceptionensis also includes a COI-based haplotype network indicating that individuals from Deception Island and the South Georgia Island (ca. 1,600 km apart) are clearly the same species, confirming the well-developed dispersal capabilities reported in other congeneric taxa. In addition, we include a complete description of living features and morphological characters (including scanning and transmission electron microscopy) of O. deceptionensis, a species originally described from a single mature female, and compare it to information available for other congeneric OTUs.</t>
  </si>
  <si>
    <t>[Taboada, Sergi; Riesgo, Ana; Bas, Maria; Arnedo, Miquel A.; Avila, Conxita] Univ Barcelona, Fac Biol, Dept Anim Biol, Barcelona, Spain; [Taboada, Sergi; Riesgo, Ana; Bas, Maria; Arnedo, Miquel A.; Avila, Conxita] Univ Barcelona, Fac Biol, Biodivers Res Inst IrBIO, Barcelona, Spain; [Cristobo, Javier] IEO, Ctr Oceanog Gijon, Gijon, Spain; [Rouse, Greg W.] Univ Calif San Diego, Scripps Inst Oceanog, La Jolla, CA 92093 USA</t>
  </si>
  <si>
    <t>University of Barcelona; University of Barcelona; Spanish Institute of Oceanography; University of California System; University of California San Diego; Scripps Institution of Oceanography</t>
  </si>
  <si>
    <t>Taboada, S (corresponding author), Univ Barcelona, Fac Biol, Dept Anim Biol, Barcelona, Spain.</t>
  </si>
  <si>
    <t>sergiotab@gmail.com</t>
  </si>
  <si>
    <t>Cristobo, Javier/M-1949-2014; Avila, Conxita/B-9466-2008; Taboada, Sergi/AAB-9390-2021; Rouse, Gregory/AAW-1494-2021; Riesgo, Ana/E-3341-2014; Bas, Maria/JYP-8927-2024; Arnedo, Miquel/E-9086-2011; Rouse, Greg W/F-2611-2010</t>
  </si>
  <si>
    <t>Avila, Conxita/0000-0002-5489-8376; Taboada, Sergi/0000-0003-1669-1152; Rouse, Gregory/0000-0001-9036-9263; Riesgo, Ana/0000-0002-7993-1523; Bas, Maria/0000-0001-8553-6557; Arnedo, Miquel/0000-0003-1402-4727; Rouse, Greg W/0000-0001-9036-9263</t>
  </si>
  <si>
    <t>Spanish Government through the research project ACTIQUIM-II [CTM2010-17415/ANT]; National Science Foundation Office of Polar Programs [1043749]; Spanish Government through the environmental association S'Agulla Educacio Mediambiental</t>
  </si>
  <si>
    <t>Spanish Government through the research project ACTIQUIM-II; National Science Foundation Office of Polar Programs(National Science Foundation (NSF)NSF - Directorate for Geosciences (GEO)); Spanish Government through the environmental association S'Agulla Educacio Mediambiental</t>
  </si>
  <si>
    <t>This research received support from the Spanish Government, through the research project ACTIQUIM-II (CTM2010-17415/ANT) and through the environmental association S'Agulla Educacio Mediambiental. G.W. Rouse thanks the captain and crew of RVIB Nathaniel B. Palmer Chief Scientist N.G. Wilson and the science participants during the cruise NBP13-03. This work was supported by award #1043749 from the National Science Foundation Office of Polar Programs to N.G. Wilson, G.W. Rouse and R.S. Burton.</t>
  </si>
  <si>
    <t>e0140341</t>
  </si>
  <si>
    <t>10.1371/journal.pone.0140341</t>
  </si>
  <si>
    <t>WOS:000365154600006</t>
  </si>
  <si>
    <t>Younger, J; Emmerson, L; Southwell, C; Lelliott, P; Miller, K</t>
  </si>
  <si>
    <t>Younger, Jane; Emmerson, Louise; Southwell, Colin; Lelliott, Patrick; Miller, Karen</t>
  </si>
  <si>
    <t>Proliferation of East Antarctic Adelie penguins in response to historical deglaciation</t>
  </si>
  <si>
    <t>BMC EVOLUTIONARY BIOLOGY</t>
  </si>
  <si>
    <t>Climate change ecology; Bayesian skyline plot; Palaeoecology; Holocene; Molecular ecology; Seabirds; Pygoscelis adeliae; Last glacial maximum; Demography</t>
  </si>
  <si>
    <t>LAST GLACIAL MAXIMUM; SEA-ICE DISTRIBUTION; SOUTHERN-OCEAN; POPULATION-DYNAMICS; CLIMATE-CHANGE; ANCIENT DNA; VARIABILITY; HOLOCENE; HILLS; TEMPERATURE</t>
  </si>
  <si>
    <t>Background: Major, long-term environmental changes are projected in the Southern Ocean and these are likely to have impacts for marine predators such as the Adelie penguin (Pygoscelis adeliae). Decadal monitoring studies have provided insight into the short-term environmental sensitivities of Adelie penguin populations, particularly to sea ice changes. However, given the long-term nature of projected climate change, it is also prudent to consider the responses of populations to environmental change over longer time scales. We investigated the population trajectory of Adelie penguins during the last glacial-interglacial transition to determine how the species was affected by climate warming over millennia. We focussed our study on East Antarctica, which is home to 30 % of the global population of Adelie penguins. Methods: Using mitochondrial DNA from extant colonies, we reconstructed the population trend of Adelie penguins in East Antarctica over the past 22,000 years using an extended Bayesian skyline plot method. To determine the relationship of East Antarctic Adelie penguins with populations elsewhere in Antarctica we constructed a phylogeny using mitochondrial DNA sequences. Results: We found that the Adelie penguin population expanded 135-fold from approximately 14,000 years ago. The population growth was coincident with deglaciation in East Antarctica and, therefore, an increase in ice-free ground suitable for Adelie penguin nesting. Our phylogenetic analysis indicated that East Antarctic Adelie penguins share a common ancestor with Adelie penguins from the Antarctic Peninsula and Scotia Arc, with an estimated age of 29,000 years ago, in the midst of the last glacial period. This finding suggests that extant colonies in East Antarctica, the Scotia Arc and the Antarctic Peninsula were founded from a single glacial refuge. Conclusions: While changes in sea ice conditions are a critical driver of Adelie penguin population success over decadal and yearly timescales, deglaciation appears to have been the key driver of population change over millennia. This suggests that environmental drivers of population trends over thousands of years may differ to drivers over years or decades, highlighting the need to consider millennial-scale trends alongside contemporary data for the forecasting of species' abundance and distribution changes under future climate change scenarios.</t>
  </si>
  <si>
    <t>[Younger, Jane] Univ Tasmania, Inst Marine &amp; Antarctic Studies, Hobart, Tas 7001, Australia; [Younger, Jane; Lelliott, Patrick] Macquarie Univ, Australian Sch Adv Med, N Ryde, NSW 2109, Australia; [Emmerson, Louise; Southwell, Colin] Australian Antarctic Div, Kingston, Tas 7050, Australia; [Lelliott, Patrick] Australian Natl Univ, John Curtin Sch Med Res, Acton, ACT 2601, Australia; [Miller, Karen] Univ Western Australia, UWA Oceans Inst, Australian Inst Marine Sci, Crawley, WA 6009, Australia; [Miller, Karen] Univ Tasmania, Sch Biol Sci, Hobart, Tas 7001, Australia</t>
  </si>
  <si>
    <t>University of Tasmania; Macquarie University; Australian Antarctic Division; Australian National University; John Curtin School of Medical Research; Australian Institute of Marine Science; University of Western Australia; University of Tasmania</t>
  </si>
  <si>
    <t>Younger, J (corresponding author), Univ Tasmania, Inst Marine &amp; Antarctic Studies, Private Bag 129, Hobart, Tas 7001, Australia.</t>
  </si>
  <si>
    <t>Jane.Younger@utas.edu.au</t>
  </si>
  <si>
    <t>Miller, Karen/V-4098-2019; Miller, Karen/A-7902-2011</t>
  </si>
  <si>
    <t>Lelliott, Patrick/0000-0002-4666-1846; Younger, Jane/0000-0001-5974-7350</t>
  </si>
  <si>
    <t>Australian Antarctic Science Program [4184]; Sea World Research and Rescue Foundation; AAS project [4088]; IPEV project [1091]</t>
  </si>
  <si>
    <t>Australian Antarctic Science Program; Sea World Research and Rescue Foundation; AAS project; IPEV project</t>
  </si>
  <si>
    <t>We are very thankful to the logistics team at the Australian Antarctic Division for enabling our fieldwork in a particularly difficult season. We also gratefully acknowledge Laura Morrissey, Christian Gallagher, Dan Laban, Shane Kern and Steve Hankins for their assistance in the field at Casey; Helen Achurch, Julie McInnes and Cecilia Carrea for collecting specimens at Mawson; and Thierry Raclot for collecting specimens at Petrels Island. This research was funded by the Australian Antarctic Science Program Project 4184 (KM, LE, JY) and the Sea World Research and Rescue Foundation (KM, JY). Sample collections were made through AAS project #4088 and IPEV project #1091. All genetic sampling was from already deceased penguins, so no live birds were disturbed. Fieldwork in the vicinity of penguin colonies in the Australian Antarctic Territory was approved by the Australian Antarctic Division's animal ethics committee.</t>
  </si>
  <si>
    <t>1471-2148</t>
  </si>
  <si>
    <t>BMC EVOL BIOL</t>
  </si>
  <si>
    <t>BMC Evol. Biol.</t>
  </si>
  <si>
    <t>10.1186/s12862-015-0502-2</t>
  </si>
  <si>
    <t>Evolutionary Biology; Genetics &amp; Heredity</t>
  </si>
  <si>
    <t>CW2EY</t>
  </si>
  <si>
    <t>WOS:000364805100001</t>
  </si>
  <si>
    <t>Kan, FF; You, ZP; Teng, Y; Xue, CH; Mao, XZ</t>
  </si>
  <si>
    <t>Kan, Feifei; You, Zhiping; Teng, Yue; Xue, Changhu; Mao, Xiangzhao</t>
  </si>
  <si>
    <t>The Fermentation of Antarctic Krill Juice by a Variety of Microorganisms</t>
  </si>
  <si>
    <t>fermented juice; Antarctic krill; antioxidant activity; flavor compounds</t>
  </si>
  <si>
    <t>ENZYMES</t>
  </si>
  <si>
    <t>In order to produce a fermented seasoning of Antarctic krill juice with pleasant taste and unique flavor, the Antarctic krill juice was fermented by application of Aspergillus oryzae, Streptococcus thermophilus, Saccharomyces cerevisiae, and Bacillus licheniformis, respectively. Organic acids and the composition of amino acids in these fermented products were analyzed, as well as the sensory evaluation and taste components analysis. It was found that all four kinds of fermented liquor of Antarctic krill had better flavor, higher amino acid content, unique organic acid content, and higher antioxidant activity. The best flavor and the most abundant nutrition were in the Antarctic krill juice fermented by S. cerevisiae. The amino acid content was up to 1,368.30 mg/100 mL, the scavenging activity of 1,1-diphenyl-2-picrylhydrazyl (DPPH) radicals was 71.308%, and there was a variety of amino acids in this fermented liquor, which contained all eight of the essential amino acids not manufactured by the human body.</t>
  </si>
  <si>
    <t>[Kan, Feifei; You, Zhiping; Teng, Yue; Xue, Changhu; Mao, Xiangzhao] Ocean Univ China, Coll Food Sci &amp; Engn, Qingdao 266003, Shandong, Peoples R China</t>
  </si>
  <si>
    <t>Mao, XZ (corresponding author), Ocean Univ China, Coll Food Sci &amp; Engn, Qingdao 266003, Shandong, Peoples R China.</t>
  </si>
  <si>
    <t>xzhmao@ouc.edu.cn</t>
  </si>
  <si>
    <t>National High Technology Research and Development Program of China [2011AA100803]; China Postdoctoral Science Foundation [2012M511550]; Fundamental Research Funds for the Central Universities [201262021]; Shandong Postdoctoral Science Foundation [201103015]; Program for Changjiang Scholars and Innovative Research Team in University</t>
  </si>
  <si>
    <t>National High Technology Research and Development Program of China(National High Technology Research and Development Program of China); China Postdoctoral Science Foundation(China Postdoctoral Science Foundation); Fundamental Research Funds for the Central Universities(Fundamental Research Funds for the Central Universities); Shandong Postdoctoral Science Foundation(China Postdoctoral Science Foundation); Program for Changjiang Scholars and Innovative Research Team in University(Program for Changjiang Scholars &amp; Innovative Research Team in University (PCSIRT))</t>
  </si>
  <si>
    <t>This work was supported by the National High Technology Research and Development Program of China (No. 2011AA100803), the China Postdoctoral Science Foundation (No. 2012M511550), the Fundamental Research Funds for the Central Universities (No. 201262021), Shandong Postdoctoral Science Foundation (No. 201103015), and the Program for Changjiang Scholars and Innovative Research Team in University.</t>
  </si>
  <si>
    <t>NOV 17</t>
  </si>
  <si>
    <t>10.1080/10498850.2013.819056</t>
  </si>
  <si>
    <t>CY4EF</t>
  </si>
  <si>
    <t>WOS:000366360700009</t>
  </si>
  <si>
    <t>Severi, M; Becagli, S; Traversi, R; Udisti, R</t>
  </si>
  <si>
    <t>Severi, Mirko; Becagli, Silvia; Traversi, Rita; Udisti, Roberto</t>
  </si>
  <si>
    <t>Recovering Paleo-Records from Antarctic Ice-Cores by Coupling a Continuous Melting Device and Fast Ion Chromatography</t>
  </si>
  <si>
    <t>ANALYTICAL CHEMISTRY</t>
  </si>
  <si>
    <t>CONTINUOUS-FLOW ANALYSIS; ATMOSPHERIC AEROSOLS; CHRONOLOGY AICC2012; EAST ANTARCTICA; HIGH-RESOLUTION; DOME-C; SNOW; GREENLAND; CLIMATE; SECTOR</t>
  </si>
  <si>
    <t>Recently, the increasing interest in the understanding of global climatic changes and on natural processes related to climate yielded the development and improvement of new analytical methods for the analysis of environmental samples. The determination of trace chemical species is a useful tool in paleoclimatology, and the techniques for the analysis of ice cores have evolved during the past few years from laborious measurements on discrete samples to continuous techniques allowing higher temporal resolution, higher sensitivity and, above all, higher throughput. Two fast ion chromatographic (FIC) methods are presented. The first method was able to measure Cl-, NO3- and SO42- in a melter-based continuous flow system separating the three analytes in just 1 min. The second method (called Ultra-FIC) was able to perform a single chromatographic analysis in just 30 s and the resulting sampling resolution was 1.0 cm with a typical melting rate of 4.0 cm min(-1). Both methods combine the accuracy, precision, and low detection limits of ion chromatography with the enhanced speed and high depth resolution of continuous melting systems. Both methods have been tested and validated with the analysis of several hundred meters of different ice cores. In particular, the Ultra-FIC method was used to reconstruct the high-resolution SO42- profile of the last 10 000 years for the EDML ice core, allowing the counting of the annual layers, which represents a key point in dating these kind of natural archives.</t>
  </si>
  <si>
    <t>[Severi, Mirko; Becagli, Silvia; Traversi, Rita; Udisti, Roberto] Univ Florence, Chem Dept Ugo Schiff, I-50019 Florence, Italy</t>
  </si>
  <si>
    <t>University of Florence</t>
  </si>
  <si>
    <t>Severi, M (corresponding author), Univ Florence, Chem Dept Ugo Schiff, Via Lastruccia 3, I-50019 Florence, Italy.</t>
  </si>
  <si>
    <t>mirko.severi@unifi.it</t>
  </si>
  <si>
    <t>Becagli, Silvia/GNW-2665-2022; Severi, Mirko/J-2508-2012</t>
  </si>
  <si>
    <t>Severi, Mirko/0000-0003-1511-6762</t>
  </si>
  <si>
    <t>EU (EPICA-MIS); IPICS-2kyr-It; KOPRI (Korea Polar Research Institute) [PE15010]; Ente Cassa di Risparmio di Firenze</t>
  </si>
  <si>
    <t>EU (EPICA-MIS)(European Union (EU)); IPICS-2kyr-It; KOPRI (Korea Polar Research Institute)(Korea Polar Research Institute of Marine Research Placement (KOPRI)); Ente Cassa di Risparmio di Firenze(Fondazione Cassa Risparmio Firenze)</t>
  </si>
  <si>
    <t>This work is a contribution to the European Project for Ice Coring in Antarctica (EPICA), a joint European Science Foundation/European Commission scientific program, funded by the EU (EPICA-MIS) and by national contributions from Belgium, Denmark, France, Germany, Italy, The Netherlands, Norway, Sweden, Switzerland, and the United Kingdom. The main logistic support was provided by IPEV and PNRA (at Dome C) and AWI (at Dronning Maud Land). The Tabs Dome Ice Core Project (TALDICE), a joint European programme led by Italy, is funded by national contributions from Italy, France, Germany, Switzerland, and the United Kingdom. The main logistical support was provided by Progranuna Nazionale di Ricerche in Antartide (PNRA) at Talos Dome. This work was partially supported by IPICS-2kyr-It. IPICS-2kyr-It is a PNRA (Italian Antarctic Research Programme) ice core project carried out in cooperation with KOPRI (Korea Polar Research Institute, Grant No. PE15010). This work was also partially supported by Ente Cassa di Risparmio di Firenze.</t>
  </si>
  <si>
    <t>0003-2700</t>
  </si>
  <si>
    <t>1520-6882</t>
  </si>
  <si>
    <t>ANAL CHEM</t>
  </si>
  <si>
    <t>Anal. Chem.</t>
  </si>
  <si>
    <t>10.1021/acs.analchem.5b02961</t>
  </si>
  <si>
    <t>Chemistry, Analytical</t>
  </si>
  <si>
    <t>CW7AT</t>
  </si>
  <si>
    <t>WOS:000365151000039</t>
  </si>
  <si>
    <t>Kim, JT; Son, MH; Kang, JH; Kim, JH; Jung, JW; Chang, YS</t>
  </si>
  <si>
    <t>Kim, Jun-Tae; Son, Min-Hui; Kang, Jung-Ho; Kim, Jeong-Hoon; Jung, Jin-Woo; Chang, Yoon-Seok</t>
  </si>
  <si>
    <t>Occurrence of Legacy and New Persistent Organic Pollutants in Avian Tissues from King George Island, Antarctica</t>
  </si>
  <si>
    <t>ENVIRONMENTAL SCIENCE &amp; TECHNOLOGY</t>
  </si>
  <si>
    <t>POLYBROMINATED DIPHENYL ETHERS; CHLORINATED FLAME RETARDANTS; DECHLORANE PLUS; POLYCHLORINATED NAPHTHALENES; HEXABROMOCYCLODODECANE HBCD; TROPHIC TRANSFER; ORGANOCHLORINE PESTICIDES; EGGSHELL THICKNESS; FOOD-WEB; ADELIE</t>
  </si>
  <si>
    <t>Legacy and new persistent organic pollutants (POPs), including polychlorinated naphthalenes (PCNs), Dechlorane Plus (DPs) and related compounds (Dechloranes), hexabromocyclododecanes (HBCDs), polychlorinated biphenyls (PCBs), and organochlorine pesticides (OCPs), were analyzed in avian tissue samples from King George Island, Antarctica. The avian species consisted of the Gentoo penguin (Pygoscelis papua), the Adelie penguin (Pygoscelis adeliae), the South polar skua (Stercorarius maccormicki), and the Brown skua (Stercorarius antarcticus). HBCDs were detected in all samples and ranged from 1.67-713 pg/g-lipid. In the penguin samples, the concentrations of PCNs ranged from 0.69-2.07 ng/g-lipid, whereas those in the skua samples ranged from 7.41-175 ng/g-lipid. The levels of Dechloranes ranged from 0.60-1.30 ng/g-lipid in the penguin samples and from 6.57-47.4 ng/g-lipid in the skua samples. The concentrations and congener distributions of OCPs and PCBs were similar to the results of previous reports. The three new POPs were detected in all samples, and this study was one of the first reports on the occurrence of these pollutants in the Antarctic biota. Because Antarctica is one of the most pristine places on Earth, the detection of new POPs in the Antarctic birds, especially penguins, is direct evidence of the long-range transport of pollutants. Furthermore, the concentration ratios of the penguin to the skua samples (BMFs-p) were greater than 1 in most legacy and new POPs, and the BMFs-p values of the new POPs were comparable to those of some OCPs, suggesting a possibility of biomagnification. Despite the small sample size, the results of this study identified POP contamination of the Antarctic avian species and long-range transport and biomagnification of HBCDs, Dechloranes, and PCNs.</t>
  </si>
  <si>
    <t>[Kim, Jun-Tae; Son, Min-Hui; Chang, Yoon-Seok] Pohang Univ Sci &amp; Technol POSTECH, Sch Environm Sci &amp; Engn, Pohang 790784, South Korea; [Kang, Jung-Ho; Kim, Jeong-Hoon; Jung, Jin-Woo] Korea Polar Res Inst, Inchon 406840, South Korea</t>
  </si>
  <si>
    <t>Pohang University of Science &amp; Technology (POSTECH); Korea Institute of Ocean Science &amp; Technology (KIOST); Korea Polar Research Institute (KOPRI)</t>
  </si>
  <si>
    <t>Chang, YS (corresponding author), Pohang Univ Sci &amp; Technol POSTECH, Sch Environm Sci &amp; Engn, Pohang 790784, South Korea.</t>
  </si>
  <si>
    <t>yschang@postech.ac.kr</t>
  </si>
  <si>
    <t>Chang, Yoon-Seok/0000-0002-0623-2932</t>
  </si>
  <si>
    <t>Polar Academic Program of Korean Polar Research Institute [PD14010]; National Research Foundation of the Korea Government (MEST) [2011-0028723]</t>
  </si>
  <si>
    <t>Polar Academic Program of Korean Polar Research Institute; National Research Foundation of the Korea Government (MEST)(Ministry of Education, Science &amp; Technology (MEST), Republic of Korea)</t>
  </si>
  <si>
    <t>This study was supported by Polar Academic Program (PD14010) of Korean Polar Research Institute and the National Research Foundation of the Korea Government (MEST) (2011-0028723).</t>
  </si>
  <si>
    <t>0013-936X</t>
  </si>
  <si>
    <t>1520-5851</t>
  </si>
  <si>
    <t>ENVIRON SCI TECHNOL</t>
  </si>
  <si>
    <t>Environ. Sci. Technol.</t>
  </si>
  <si>
    <t>10.1021/acs.est.5b03181</t>
  </si>
  <si>
    <t>Engineering, Environmental; Environmental Sciences</t>
  </si>
  <si>
    <t>Engineering; Environmental Sciences &amp; Ecology</t>
  </si>
  <si>
    <t>CW7AV</t>
  </si>
  <si>
    <t>WOS:000365151200062</t>
  </si>
  <si>
    <t>Feldmann, J; Levermann, A</t>
  </si>
  <si>
    <t>Feldmann, Johannes; Levermann, Anders</t>
  </si>
  <si>
    <t>Collapse of the West Antarctic Ice Sheet after local destabilization of the Amundsen Basin</t>
  </si>
  <si>
    <t>PROCEEDINGS OF THE NATIONAL ACADEMY OF SCIENCES OF THE UNITED STATES OF AMERICA</t>
  </si>
  <si>
    <t>West Antarctic Ice Sheet; sea-level rise; tipping point; instability; marine ice-sheet instability</t>
  </si>
  <si>
    <t>PINE ISLAND GLACIER; GROUNDING-LINE RETREAT; FULL-STOKES MODEL; SUBGLACIAL TOPOGRAPHY; BOUNDARY-CONDITIONS; PISM-PIK; THWAITES; DISCHARGE; BENEATH; SURFACE</t>
  </si>
  <si>
    <t>The future evolution of the Antarctic Ice Sheet represents the largest uncertainty in sea-level projections of this and upcoming centuries. Recently, satellite observations and high-resolution simulations have suggested the initiation of an ice-sheet instability in the Amundsen Sea sector of West Antarctica, caused by the last decades' enhanced basal ice-shelf melting. Whether this localized destabilization will yield a full discharge of marine ice from West Antarctica, associated with a global sea-level rise of more than 3 m, or whether the ice loss is limited by ice dynamics and topographic features, is unclear. Here we show that in the Parallel Ice Sheet Model, a local destabilization causes a complete disintegration of the marine ice in West Antarctica. In our simulations, at 5-km horizontal resolution, the region disequilibrates after 60 y of currently observed melt rates. Thereafter, the marine ice-sheet instability fully unfolds and is not halted by topographic features. In fact, the ice loss in Amundsen Sea sector shifts the catchment's ice divide toward the Filchner-Ronne and Ross ice shelves, which initiates grounding-line retreat there. Our simulations suggest that if a destabilization of Amundsen Sea sector has indeed been initiated, Antarctica will irrevocably contribute at least 3 m to global sea-level rise during the coming centuries to millennia.</t>
  </si>
  <si>
    <t>[Feldmann, Johannes; Levermann, Anders] Potsdam Inst Climate Impact Res, D-14473 Potsdam, Germany; [Feldmann, Johannes; Levermann, Anders] Univ Potsdam, Inst Phys, D-14476 Potsdam, Germany</t>
  </si>
  <si>
    <t>Levermann, Anders/0000-0003-4432-4704; Feldmann, Johannes/0000-0003-4210-0221</t>
  </si>
  <si>
    <t>European Union [603864]; German Environmental Foundation (DBU); NASA [NNX13AM16G, NNX13AK27G]; NASA [NNX13AK27G, 471916, NNX13AM16G, 469331] Funding Source: Federal RePORTER</t>
  </si>
  <si>
    <t>European Union(European Union (EU)); German Environmental Foundation (DBU); NASA(National Aeronautics &amp; Space Administration (NASA)); NASA(National Aeronautics &amp; Space Administration (NASA))</t>
  </si>
  <si>
    <t>We thank two anonymous reviewers for their valuable comments. We are grateful to Ralph Timmermann for providing the Finite Element Sea Ice-Ocean Model (FESOM) data. The research leading to these results has received funding from the European Union Seventh Framework Programme FP7/2007-2013 under Grant Agreement 603864. The study was financially supported by the German Environmental Foundation (DBU). Model development for the Parallel Ice Sheet Model (PISM) at the University of Alaska, Fairbanks, was supported by NASA Grants NNX13AM16G and NNX13AK27G.</t>
  </si>
  <si>
    <t>NATL ACAD SCIENCES</t>
  </si>
  <si>
    <t>2101 CONSTITUTION AVE NW, WASHINGTON, DC 20418 USA</t>
  </si>
  <si>
    <t>0027-8424</t>
  </si>
  <si>
    <t>P NATL ACAD SCI USA</t>
  </si>
  <si>
    <t>Proc. Natl. Acad. Sci. U. S. A.</t>
  </si>
  <si>
    <t>10.1073/pnas.1512482112</t>
  </si>
  <si>
    <t>CW7IA</t>
  </si>
  <si>
    <t>WOS:000365170400043</t>
  </si>
  <si>
    <t>Simmons, NA; Myers, SC; Johannesson, G; Matzel, E; Grand, SP</t>
  </si>
  <si>
    <t>Simmons, N. A.; Myers, S. C.; Johannesson, G.; Matzel, E.; Grand, S. P.</t>
  </si>
  <si>
    <t>Evidence for long-lived subduction of an ancient tectonic plate beneath the southern Indian Ocean</t>
  </si>
  <si>
    <t>AUSTRALIAN-ANTARCTIC DISCORDANCE; MANTLE HETEROGENEITY; SHEAR-VELOCITY; SLAB PENETRATION; TRENCH MIGRATION; WAVE TOMOGRAPHY; HOTSPOT TRACKS; MODELS; CONSTRAINTS; CONVECTION</t>
  </si>
  <si>
    <t>Ancient subducted tectonic plates have been observed in past seismic images of the mantle beneath North America and Eurasia, and it is likely that other ancient slab structures have remained largely hidden, particularly in the seismic-data-limited regions beneath the vast oceans in the Southern Hemisphere. Here we present a new global tomographic image, which shows a slab-like structure beneath the southern Indian Ocean with coherency from the upper mantle to the core-mantle boundary region-a feature that has never been identified. We postulate that the structure is an ancient tectonic plate that sank into the mantle along an extensive intraoceanic subduction zone that migrated southwestward across the ancient Tethys Ocean in the Mesozoic Era. Slab material still trapped in the transition zone is positioned near the edge of East Gondwana at 140 Ma suggesting that subduction terminated near the margin of the ancient continent prior to breakup and subsequent dispersal of its subcontinents.</t>
  </si>
  <si>
    <t>[Simmons, N. A.; Myers, S. C.; Matzel, E.] Lawrence Livermore Natl Lab, Geophys Monitoring Programs, Livermore, CA 94550 USA; [Johannesson, G.] Lawrence Livermore Natl Lab, Syst &amp; Decis Sci, Livermore, CA USA; [Grand, S. P.] Univ Texas Austin, Jackson Sch Geosci, Austin, TX 78712 USA</t>
  </si>
  <si>
    <t>United States Department of Energy (DOE); Lawrence Livermore National Laboratory; United States Department of Energy (DOE); Lawrence Livermore National Laboratory; University of Texas System; University of Texas Austin</t>
  </si>
  <si>
    <t>Simmons, NA (corresponding author), Lawrence Livermore Natl Lab, Geophys Monitoring Programs, Livermore, CA 94550 USA.</t>
  </si>
  <si>
    <t>simmons27@LLNL.gov</t>
  </si>
  <si>
    <t>Grand, Stephen/B-4238-2011; Simmons, Nathan Alan/J-9022-2014; Myers, Stephen C/K-1368-2014; Jóhannesson, Guðlaugur/ABC-7216-2020; Matzel, Eric/K-2571-2014</t>
  </si>
  <si>
    <t>Jóhannesson, Guðlaugur/0000-0003-1458-7036; Simmons, Nathan/0000-0002-1560-059X; Matzel, Eric/0000-0002-5168-6044</t>
  </si>
  <si>
    <t>Office of Nuclear Detonation Detection within the National Nuclear Security Administration; U.S. Department of Energy by Lawrence Livermore National Laboratory [DE-AC52-07NA27344.LLNL-JRNL-668546]</t>
  </si>
  <si>
    <t>Office of Nuclear Detonation Detection within the National Nuclear Security Administration; U.S. Department of Energy by Lawrence Livermore National Laboratory(United States Department of Energy (DOE))</t>
  </si>
  <si>
    <t>We thank the Office of Nuclear Detonation Detection within the National Nuclear Security Administration for their support. Jeroen Ritsema and an anonymous reviewer provided constructive reviews that helped improve the manuscript. We are grateful for the insight provided by David Rowley, Chris Scotese, Lei Wu, and Vadim Kravchinsky. We also thank the several global tomography experts that made their models available for comparison. This work performed under the auspices of the U.S. Department of Energy by Lawrence Livermore National Laboratory under contract DE-AC52-07NA27344.LLNL-JRNL-668546.</t>
  </si>
  <si>
    <t>NOV 16</t>
  </si>
  <si>
    <t>10.1002/2015GL066237</t>
  </si>
  <si>
    <t>DB2KK</t>
  </si>
  <si>
    <t>WOS:000368336800060</t>
  </si>
  <si>
    <t>Cape, MR; Vernet, M; Skvarca, P; Marinsek, S; Scambos, T; Domack, E</t>
  </si>
  <si>
    <t>Cape, M. R.; Vernet, Maria; Skvarca, Pedro; Marinsek, Sebastian; Scambos, Ted; Domack, Eugene</t>
  </si>
  <si>
    <t>Foehn winds link climate-driven warming to ice shelf evolution in Antarctica</t>
  </si>
  <si>
    <t>MCMURDO DRY VALLEYS; HEMISPHERE ANNULAR MODE; SOUTHERN-OSCILLATION; WEST ANTARCTICA; PINE ISLAND; PENINSULA; LARSEN; SURFACE; TEMPERATURE; VARIABILITY</t>
  </si>
  <si>
    <t>Rapid warming of the Antarctic Peninsula over the past several decades has led to extensive surface melting on its eastern side, and the disintegration of the Prince Gustav, Larsen A, and Larsen B ice shelves. The warming trend has been attributed to strengthening of circumpolar westerlies resulting from a positive trend in the Southern Annular Mode (SAM), which is thought to promote more frequent warm, dry, downsloping foehn winds along the lee, or eastern side, of the peninsula. We examined variability in foehn frequency and its relationship to temperature and patterns of synoptic-scale circulation using a multidecadal meteorological record from the Argentine station Matienzo, located between the Larsen A and B embayments. This record was further augmented with a network of six weather stations installed under the U.S. NSF LARsen Ice Shelf System, Antarctica, project. Significant warming was observed in all seasons at Matienzo, with the largest seasonal increase occurring in austral winter (+3.71 degrees C between 1962-1972 and 1999-2010). Frequency and duration of foehn events were found to strongly influence regional temperature variability over hourly to seasonal time scales. Surface temperature and foehn winds were also sensitive to climate variability, with both variables exhibiting strong, positive correlations with the SAM index. Concomitant positive trends in foehn frequency, temperature, and SAM are present during austral summer, with sustained foehn events consistently associated with surface melting across the ice sheet and ice shelves. These observations support the notion that increased foehn frequency played a critical role in precipitating the collapse of the Larsen B ice shelf.</t>
  </si>
  <si>
    <t>[Cape, M. R.; Vernet, Maria] Univ Calif San Diego, Scripps Inst Oceanog, San Diego, CA 92103 USA; [Cape, M. R.] Woods Hole Oceanog Inst, Falmouth, MA USA; [Skvarca, Pedro] Museo Hielo Patagon, Glaciarium, El Calafate, Argentina; [Marinsek, Sebastian] Inst Antartico Argentino, Buenos Aires, DF, Argentina; [Scambos, Ted] Natl Snow &amp; Ice Data Ctr, Boulder, CO USA; [Domack, Eugene] Univ S Florida, Coll Marine Sci, St Petersburg, FL 33701 USA</t>
  </si>
  <si>
    <t>University of California System; University of California San Diego; Scripps Institution of Oceanography; Woods Hole Oceanographic Institution; Instituto Antartico Argentino; State University System of Florida; University of South Florida</t>
  </si>
  <si>
    <t>Cape, MR (corresponding author), Univ Calif San Diego, Scripps Inst Oceanog, San Diego, CA 92103 USA.</t>
  </si>
  <si>
    <t>mcape@whoi.edu</t>
  </si>
  <si>
    <t>Scambos, Ted A/B-1856-2009; Cape, Mattias/KCK-4444-2024</t>
  </si>
  <si>
    <t>SCAMBOS, Ted A./0000-0003-4268-6322; Cape, Mattias/0000-0002-5621-1128</t>
  </si>
  <si>
    <t>National Science Foundation; National Science Foundation Office of Polar Programs under NSF [ANT-0732983, ANT-0732467, ANT-0732921]; NSF Graduate Research Fellowship [DGE-1144086]; NASA Headquarters under the NASA Earth and Space Science Fellowship Program [NNX12AN48H]</t>
  </si>
  <si>
    <t>National Science Foundation(National Science Foundation (NSF)); National Science Foundation Office of Polar Programs under NSF(National Science Foundation (NSF)); NSF Graduate Research Fellowship(National Science Foundation (NSF)); NASA Headquarters under the NASA Earth and Space Science Fellowship Program(National Aeronautics &amp; Space Administration (NASA))</t>
  </si>
  <si>
    <t>The authors acknowledge Argentine scientists, staff, and members of the Servicio Meteorologico Nacional, Argentina, responsible for the establishment and maintenance of the weather station at Matienzo; Matthew Lazarra and the staff of the Antarctic Meteorological Research Center at the University of Wisconsin, Madison, for assistance with automated weather station data processing; the captain and crew of RVIB Nathaniel. B Palmer and R/V Laurence M. Gould; Raytheon Polar Services technicians; and PHI, Inc. helicopter pilots and mechanics for assistance with instrument deployment during LMG0903, NBP1001, and NBP1203. Discussions with Lihini Aluwihare, Peter Franks, Jonathan Shurin, and Sarah Gille significantly improved the manuscript. Kevin Manning provided valuable input for the analysis of AMPS forecasts, while Johanna Speirs and Andrew Elvidge gave helpful advice for the analysis of foehn wind events. Gabe Kooperman provided assistance with interpretation of AMPS output. We would like to acknowledge high-performance computing support from Yellowstone (ark:/85065/d7wd3xhc) provided by NCAR's Computational and Information Systems Laboratory, sponsored by the National Science Foundation. The authors also thank three anonymous reviewers, whose comments and suggestions significantly improved the manuscript. This work was supported by the National Science Foundation Office of Polar Programs under NSF grants ANT-0732983, ANT-0732467, and ANT-0732921. M.R.C. was also supported by the NSF Graduate Research Fellowship under grant DGE-1144086 and by NASA Headquarters under the NASA Earth and Space Science Fellowship Program-grant NNX12AN48H. The data are available as indicated in the methods section and otherwise from the authors upon request (mcape@whoi.edu).</t>
  </si>
  <si>
    <t>10.1002/2015JD023465</t>
  </si>
  <si>
    <t>DA5DV</t>
  </si>
  <si>
    <t>WOS:000367823600001</t>
  </si>
  <si>
    <t>Tarling, GA</t>
  </si>
  <si>
    <t>Tarling, Geraint A.</t>
  </si>
  <si>
    <t>Marine Ecology: A Wonderland of Marine Activity in the Arctic Night</t>
  </si>
  <si>
    <t>CURRENT BIOLOGY</t>
  </si>
  <si>
    <t>LUNAR CYCLE; BEHAVIOR</t>
  </si>
  <si>
    <t>Studies carried out on a wide variety of Arctic species during the polar night reveal continued feeding, growth and reproduction, changing our view of this period from one of biological stasis to a time of continued high activity levels.</t>
  </si>
  <si>
    <t>[Tarling, Geraint A.] British Antarctic Survey, NERC, Cambridge CB3 0ET, England</t>
  </si>
  <si>
    <t>Tarling, GA (corresponding author), British Antarctic Survey, NERC, High Cross,Madingley Rd, Cambridge CB3 0ET, England.</t>
  </si>
  <si>
    <t>gant@bas.ac.uk</t>
  </si>
  <si>
    <t>Natural Environment Research Council [bas0100035] Funding Source: researchfish; NERC [bas0100035] Funding Source: UKRI</t>
  </si>
  <si>
    <t>CELL PRESS</t>
  </si>
  <si>
    <t>50 HAMPSHIRE ST, FLOOR 5, CAMBRIDGE, MA 02139 USA</t>
  </si>
  <si>
    <t>0960-9822</t>
  </si>
  <si>
    <t>1879-0445</t>
  </si>
  <si>
    <t>CURR BIOL</t>
  </si>
  <si>
    <t>Curr. Biol.</t>
  </si>
  <si>
    <t>R1088</t>
  </si>
  <si>
    <t>R1091</t>
  </si>
  <si>
    <t>10.1016/j.cub.2015.09.067</t>
  </si>
  <si>
    <t>Biochemistry &amp; Molecular Biology; Biology; Cell Biology</t>
  </si>
  <si>
    <t>Biochemistry &amp; Molecular Biology; Life Sciences &amp; Biomedicine - Other Topics; Cell Biology</t>
  </si>
  <si>
    <t>CW5UG</t>
  </si>
  <si>
    <t>WOS:000365061500014</t>
  </si>
  <si>
    <t>Thomas, ER; Hosking, JS; Tuckwell, RR; Warren, RA; Ludlow, EC</t>
  </si>
  <si>
    <t>Thomas, E. R.; Hosking, J. S.; Tuckwell, R. R.; Warren, R. A.; Ludlow, E. C.</t>
  </si>
  <si>
    <t>Twentieth century increase in snowfall in coastal West Antarctica</t>
  </si>
  <si>
    <t>ICE; ACCUMULATION; VARIABILITY; CLIMATE; DRIVEN; OCEAN</t>
  </si>
  <si>
    <t>The Amundsen Sea sector of the West Antarctic ice sheet has been losing mass in recent decades; however, long records of snow accumulation are needed to place the recent changes in context. Here we present 300 year records of snow accumulation from two ice cores drilled in Ellsworth Land, West Antarctica. The records show a dramatic increase in snow accumulation during the twentieth century, linked to a deepening of the Amundsen Sea Low (ASL), tropical sea surface temperatures, and large-scale atmospheric circulation. The observed increase in snow accumulation and interannual variability during the late twentieth century is unprecedented in the context of the past 300 years and evidence that the recent deepening of the ASL is part of a longer trend.</t>
  </si>
  <si>
    <t>[Thomas, E. R.; Hosking, J. S.; Tuckwell, R. R.; Warren, R. A.; Ludlow, E. C.] British Antarctic Survey, Cambridge CB3 0ET, England</t>
  </si>
  <si>
    <t>Thomas, ER (corresponding author), British Antarctic Survey, Cambridge CB3 0ET, England.</t>
  </si>
  <si>
    <t>lith@bas.ac.uk</t>
  </si>
  <si>
    <t>Thomas, Elizabeth Ruth/ADF-3660-2022; Hosking, Scott/D-3437-2013</t>
  </si>
  <si>
    <t>Thomas, Elizabeth Ruth/0000-0002-3010-6493; Tuckwell, Rebecca/0000-0002-6389-3091; Hosking, Scott/0000-0002-3646-3504</t>
  </si>
  <si>
    <t>British Antarctic Survey; Natural Environment Research Council [NE/J020710/1]; Natural Environment Research Council [NE/J020710/1, bas0100034, bas0100024] Funding Source: researchfish; NERC [bas0100024, bas0100034, NE/J020710/1] Funding Source: UKRI</t>
  </si>
  <si>
    <t>British Antarctic Survey;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</si>
  <si>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the British Antarctic Survey and part funded by the Natural Environment Research Council (grant NE/J020710/1). We would like to thank P. Anker for the drilling assistance, S. Rupper for providing the SEAT 2010 data, and two anonymous reviewers for their valuable suggestions. The data can be downloaded at the World Data Center (WDC) for Paleoclimatology (www.ncdc.noaa.gov).</t>
  </si>
  <si>
    <t>10.1002/2015GL065750</t>
  </si>
  <si>
    <t>WOS:000368336800074</t>
  </si>
  <si>
    <t>King crabs threaten Antarctic ecosystem due to warming ocean</t>
  </si>
  <si>
    <t>NOV 15</t>
  </si>
  <si>
    <t>CZ0BZ</t>
  </si>
  <si>
    <t>WOS:000366771400006</t>
  </si>
  <si>
    <t>New model used to estimate Antarctic ice sheet melting</t>
  </si>
  <si>
    <t>WOS:000366771400011</t>
  </si>
  <si>
    <t>Gao, Y; Wang, HJ; Jiang, DB</t>
  </si>
  <si>
    <t>Gao, Ya; Wang, Huijun; Jiang, Dabang</t>
  </si>
  <si>
    <t>An intercomparison of CMIP5 and CMIP3 models for interannual variability of summer precipitation in Pan-Asian monsoon region</t>
  </si>
  <si>
    <t>CMIP3; CMIP5; Pan-Asian monsoon</t>
  </si>
  <si>
    <t>EL-NINO; ENSO; SIMULATION; TELECONNECTIONS; PATTERNS</t>
  </si>
  <si>
    <t>Twenty-one climate models from Coupled Model Intercomparison Project Phase 3 (CMIP3) and thirty-one models from the project's Phase 5 (CMIP5) were used to evaluate model reproducibility in assessing interannual variability of summer precipitation in Pan-Asian monsoon region. The results show that both the multi-model ensemble means of the best eight models and of the thirty-one CMIP5 models are more skilful than those of the CMIP3 models in simulating the climatological pattern and the dominant mode of summer precipitation in Pan-Asian monsoon region. CMIP5 models show improved skill in representing the main characteristic of the first mode of summer precipitation in Pan-Asian monsoon region, which is a meridional tripole pattern from north to south occurring east of the 80 degrees E region. That is, owing to the improved El Nino-Southern Oscillation (ENSO) pattern and the relationship between Antarctic oscillation in the southern Pacific Ocean (AAO(SP)) and ENSO, the first dominant mode of summer precipitation in Pan-Asian monsoon region are captured by CMIP5 models, which indicates that these models are more skilful in simulating the air-sea interaction of the Southern Hemisphere.</t>
  </si>
  <si>
    <t>[Gao, Ya; Wang, Huijun; Jiang, Dabang] Chinese Acad Sci, Inst Atmospher Phys, Nansen Zhu Int Res Ctr, Beijing 100029, Peoples R China; [Gao, Ya] Univ Chinese Acad Sci, Coll Earth Sci, Beijing, Peoples R China; [Gao, Ya; Wang, Huijun; Jiang, Dabang] Chinese Acad Sci, Climate Change Res Ctr, Beijing 100029, Peoples R China</t>
  </si>
  <si>
    <t>Chinese Academy of Sciences; Institute of Atmospheric Physics, CAS; Chinese Academy of Sciences; University of Chinese Academy of Sciences, CAS; Chinese Academy of Sciences</t>
  </si>
  <si>
    <t>Gao, Y (corresponding author), Chinese Acad Sci, Inst Atmospher Phys, Nansen Zhu Int Res Ctr, Beijing 100029, Peoples R China.</t>
  </si>
  <si>
    <t>gaoy@mail.iap.ac.cn</t>
  </si>
  <si>
    <t>Jiang, Dabang/I-2243-2014</t>
  </si>
  <si>
    <t>National Natural Science Foundation of China [41130103, 41210007]</t>
  </si>
  <si>
    <t>The authors would like to thank Enago (www.enago.com) for the English language review. And this research was supported by the National Natural Science Foundation of China (Grants 41130103 and 41210007).</t>
  </si>
  <si>
    <t>10.1002/joc.4245</t>
  </si>
  <si>
    <t>CU6YY</t>
  </si>
  <si>
    <t>WOS:000363682500005</t>
  </si>
  <si>
    <t>Peters, JL; Benetti, S; Dunlop, P; Cofaigh, CO</t>
  </si>
  <si>
    <t>Peters, Jared Lee; Benetti, Sara; Dunlop, Paul; Cofaigh, Colm O.</t>
  </si>
  <si>
    <t>Maximum extent and dynamic behaviour of the last British-Irish Ice Sheet west of Ireland</t>
  </si>
  <si>
    <t>British-Irish Ice Sheet; Marine-terminating ice margin; Maximum extent; Porcupine Bank; Continental shelf; Ice shelf; Radiocarbon; Sedimentology; Benthic foraminifera; Geomorphology</t>
  </si>
  <si>
    <t>BENTHIC FORAMINIFERAL ASSEMBLAGES; GROUNDING-LINE RETREAT; NE ATLANTIC; ANTARCTIC PENINSULA; PORCUPINE BANK; CONTINENTAL-MARGIN; HOLOCENE RETREAT; SHELF SEDIMENTS; GLACIAL HISTORY; FLOW DYNAMICS</t>
  </si>
  <si>
    <t>A complete reconstruction of the last British-Irish Ice Sheet (BUS) is hindered by uncertainty surrounding its offshore extent and dynamic behaviour. This study addresses this problem by reconstructing the depositional history of four sediment cores taken from a series of sinuous glacigenic sediment ridges on the continental shelf west of Ireland. We present new geomorphic, sedimentary and micropaleontological data that record a maximum westward BUS extent that was at least 80 km farther offshore from any previous estimates. The data suggests that a large ice shelf formed over parts of the shelf prior to retreat. This new data increases the areal extent of grounded BIIS ice by similar to 6700 km(2) from previous estimates, which represents a similar to 3% increase in the Irish Sector of the ice sheet. Three new AMS radiocarbon dates demonstrate for the first time that the BUS advanced to the shelf edge during last glaciation (Late Midlandian/Late Devensian), with ice advance onto the Porcupine Bank occurring after 24,720 +/- 260 yr Cal. BP. Deglaciation was complete by 19,182 +/- 155 yr Cal. BP, thus constraining BUS occupation over the Porcupine Bank to less than 5500 years. Estimated retreat rates of marine-terminating ice across the shelf range from similar to 70 to 180 myr(-1). (C) 2015 Elsevier Ltd. All rights reserved.</t>
  </si>
  <si>
    <t>[Peters, Jared Lee; Benetti, Sara; Dunlop, Paul] Univ Ulster, Sch Environm Sci, Coleraine BT52 1SA, Londonderry, North Ireland; [Cofaigh, Colm O.] Univ Durham, Dept Geog, Durham DH1 3LE, England</t>
  </si>
  <si>
    <t>Ulster University; Durham University</t>
  </si>
  <si>
    <t>Peters, JL (corresponding author), Univ Ulster, Sch Environm Sci, Cromore Rd, Coleraine BT52 1SA, Londonderry, North Ireland.</t>
  </si>
  <si>
    <t>Peters-J@email.ulster.ac.uk</t>
  </si>
  <si>
    <t>Dunlop, Paul/F-3062-2015; Peters, Jared L/S-4307-2018</t>
  </si>
  <si>
    <t>Dunlop, Paul/0000-0001-9503-5545; Benetti, Sara/0000-0001-6286-9842; Peters, Jared/0000-0001-6720-9448</t>
  </si>
  <si>
    <t>University of Ulster PhD studentship; International Association of Sedimentologists; Integrated Mapping for the Sustainable Development of Ireland's Marine Resources (INFOMAR) program; Marine Institute; Marine Research Sub-programme of the National Development Plan; NERC [NE/J009768/1, NE/J007196/1, NE/J007218/1] Funding Source: UKRI; Natural Environment Research Council [NE/J007196/1, NE/J009768/1, NE/J007218/1] Funding Source: researchfish</t>
  </si>
  <si>
    <t>University of Ulster PhD studentship; International Association of Sedimentologists; Integrated Mapping for the Sustainable Development of Ireland's Marine Resources (INFOMAR) program; Marine Institute; Marine Research Sub-programme of the National Development Plan; NERC(UK Research &amp; Innovation (UKRI)Natural Environment Research Council (NERC)); Natural Environment Research Council(UK Research &amp; Innovation (UKRI)Natural Environment Research Council (NERC))</t>
  </si>
  <si>
    <t>JLP acknowledges a University of Ulster PhD studentship and Vice-Chancellor's Scholarship from 2013 to 2016. Funding for AMS radiocarbon dates was provided by the International Association of Sedimentologists (Postgraduate Research Grant, 1st session, 2014) and the Raidio Teilifis Eireann (RTE) broadcasting company for the television programme 'The Investigators'. We acknowledge data-acquisition support from the Integrated Mapping for the Sustainable Development of Ireland's Marine Resources (INFOMAR) program and Christian Wilson of Ocean DIM for geotiffs of OLEX data. Grateful thanks go to Robin Edwards at Trinity College, Dublin for the use of his MALVERN Mastersizer (c) for grain size analyses and sample processing and Stephen McCarron at the National University of Ireland, Maynooth for the use of his GEOTEK multi-sensor core logger. SB would like to thank the Captain and Crew, of RV Celtic Explorer, PI Aggie Georgiopoulou (UCD), cruise participants and Mr Aodhan Fitzgerald of the Marine Institute, for their invaluable assistance during cruise CE10008. This research survey was carried out under the Sea Change strategy with the support of the Marine Institute and the Marine Research Sub-programme of the National Development Plan 2007-2013. We acknowledge the constructive input provided during review of this manuscript by David Peter Vaughan-Hirsch and an anonymous reviewer.</t>
  </si>
  <si>
    <t>10.1016/j.quascirev.2015.09.015</t>
  </si>
  <si>
    <t>CW3IC</t>
  </si>
  <si>
    <t>WOS:000364884400004</t>
  </si>
  <si>
    <t>Dyment, J; Choi, Y; Hamoudi, M; Lesur, V; Thebault, E</t>
  </si>
  <si>
    <t>Dyment, J.; Choi, Y.; Hamoudi, M.; Lesur, V.; Thebault, E.</t>
  </si>
  <si>
    <t>Global equivalent magnetization of the oceanic lithosphere</t>
  </si>
  <si>
    <t>marine magnetic anomalies; magnetization; oceanic lithosphere</t>
  </si>
  <si>
    <t>SPREADING-RATE DEPENDENCE; MID-ATLANTIC RIDGE; ANOMALOUS SKEWNESS; REMANENT MAGNETIZATION; CRUSTAL MAGNETIZATION; OPAQUE MINERALOGY; MARINE; PACIFIC; EVOLUTION; INVERSION</t>
  </si>
  <si>
    <t>As a by-product of the construction of a new World Digital Magnetic Anomaly Map over oceanic areas, we use an original approach based on the global forward modeling of seafloor spreading magnetic anomalies and their comparison to the available marine magnetic data to derive the first map of the equivalent magnetization over the World's ocean. This map reveals consistent patterns related to the age of the oceanic lithosphere, the spreading rate at which it was formed, and the presence of mantle thermal anomalies which affects seafloor spreading and the resulting lithosphere. As for the age, the equivalent magnetization decreases significantly during the first 10-15 Myr after its formation, probably due to the alteration of crustal magnetic minerals under pervasive hydrothermal alteration, then increases regularly between 20 and 70 Ma, reflecting variations in the field strength or source effects such as the acquisition of a secondary magnetization. As for the spreading rate, the equivalent magnetization is twice as strong in areas formed at fast rate than in those formed at slow rate, with a threshold at 40 km/Myr, in agreement with an independent global analysis of the amplitude of Anomaly 25. This result, combined with those from the study of the anomalous skewness of marine magnetic anomalies, allows building a unified model for the magnetic structure of normal oceanic lithosphere as a function of spreading rate. Finally, specific areas affected by thermal mantle anomalies at the time of their formation exhibit peculiar equivalent magnetization signatures, such as the cold Australian-Antarctic Discordance, marked by a lower magnetization, and several hotspots, marked by a high magnetization. (C) 2015 Elsevier B.V. All rights reserved.</t>
  </si>
  <si>
    <t>[Dyment, J.; Choi, Y.] CNRS, Inst Phys Globe Paris, Paris, France; [Dyment, J.; Choi, Y.] Sorbonne Paris Cite, Paris, France; [Hamoudi, M.] Univ Sci &amp; Technol Houari Boumediene, Algiers, Algeria; [Lesur, V.] Helmholtz Zentrum, GeoForschungsZentrum, Potsdam, Germany; [Thebault, E.] CNRS, UMR 6112, Lab Planetol &amp; Geodynam, Nantes, France</t>
  </si>
  <si>
    <t>Universite Paris Cite; Centre National de la Recherche Scientifique (CNRS); University Science &amp; Technology Houari Boumediene; Helmholtz Association; Helmholtz-Center Potsdam GFZ German Research Center for Geosciences; Centre National de la Recherche Scientifique (CNRS); CNRS - National Institute for Earth Sciences &amp; Astronomy (INSU)</t>
  </si>
  <si>
    <t>Dyment, J (corresponding author), CNRS, Inst Phys Globe Paris, Paris, France.</t>
  </si>
  <si>
    <t>jdy@ipgp.fr</t>
  </si>
  <si>
    <t>Dyment, Jérôme/A-6788-2011; Lesur, Vincent/H-1031-2012; CHOI, Yujin/HGU-0534-2022; Thebault, Erwan/A-5670-2011</t>
  </si>
  <si>
    <t>Lesur, Vincent/0000-0003-2568-320X; Thebault, Erwan/0000-0002-7038-2855</t>
  </si>
  <si>
    <t>CNRS-INSU (SYSTER); CNES (Project Suivi et exploitation de la mission SWARM)</t>
  </si>
  <si>
    <t>We thank Juha Korhonen and the WDMAM Task Force for their efforts in building the World Digital Magnetic Anomaly Map, Mike Purucker and Stefan Maus for their previous attempts to build the oceanic part of this map and Walter Roest for incentives to build a (hopefully) better one, Yoann Quesnel, Manual Catalan and Takemi Ishihara for making available their processed NGDC marine magnetics, Masao Nakanishi for pointing out errors in the age map of the Western Pacific and providing isochrons that helped to build a better one, and Anna Fulop for her unpublished MSc work on the amplitude of Anomaly 25 summarized in Fig. 6. This work would not have been possible without many scientists who collected, interpreted, and made available marine magnetic data, and their associated scientific parties and crews. J.D. thanks Steve Cande and Jafar Arkani-Hamed for initiating his interest for the magnetic structure of the oceanic lithosphere and their continuous support. The financial support of CNRS-INSU (SYSTER) and CNES (Project Suivi et exploitation de la mission SWARM) are gratefully acknowledged.</t>
  </si>
  <si>
    <t>10.1016/j.epsl.2015.08.002</t>
  </si>
  <si>
    <t>CT8ML</t>
  </si>
  <si>
    <t>WOS:000363070600006</t>
  </si>
  <si>
    <t>Budde, G; Kruijer, TS; Fischer-Gödde, M; Irving, AJ; Kleine, T</t>
  </si>
  <si>
    <t>Budde, Gerrit; Kruijer, Thomas S.; Fischer-Goedde, Mario; Irving, Anthony J.; Kleine, Thorsten</t>
  </si>
  <si>
    <t>Planetesimal differentiation revealed by the Hf-W systematics of ureilites</t>
  </si>
  <si>
    <t>Hf-W chronometry; ureilite; primitive achondrite; planetary differentiation; core formation; Al-26 decay</t>
  </si>
  <si>
    <t>CORE FORMATION; RAPID ACCRETION; SOLAR-SYSTEM; SIDEROPHILE ELEMENTS; ISOTOPE SYSTEMATICS; PARENT BODY; CHRONOMETRY; CHRONOLOGY; INCLUSIONS; METEORITES</t>
  </si>
  <si>
    <t>Determining the timescales of the accretion and chemical differentiation of meteorite parent bodies provides some of the most direct constraints on the formation of planetesimals and the earliest stages of planet formation. We present high-precision Hf-W isotope data for a comprehensive set of ureilites, ultramafic mantle restites derived from a partially melted and incompletely differentiated asteroid. All samples are characterized by strong W-182 deficits, indicating that silicate melt extraction on the ureilite parent body at 3.3 +/- 0.7 Ma after CAI formation postdated core formation in iron meteorite parent bodies by similar to 2-3 Ma. Thermal modeling of planetesimal heating by Al-26-decay combined with the new Hf-W data indicates that the ureilite parent body accreted at similar to 1.6 Ma after CAI formation and, therefore, more than 1 Ma later than iron meteorite parent bodies, but more than similar to 0.5 Ma earlier that most chondrite parent bodies. Due to its relatively 'late' accretion, the ureilite parent body contained too little Al-26 to cause complete melting and, therefore, would have probably remained incompletely differentiated even without exhaustion of Al-26 by silicate melt segregation. Our results show that both in terms of degree of differentiation and accretion timescale the ureilite parent body is intermediate between fully differentiated and undifferentiated bodies, implying that there is an inverse correlation between extent of melting and metal-silicate separation versus time of accretion and differentiation. (C) 2015 Elsevier B.V. All rights reserved.</t>
  </si>
  <si>
    <t>[Budde, Gerrit; Kruijer, Thomas S.; Fischer-Goedde, Mario; Kleine, Thorsten] Univ Munster, Inst Planetol, D-48149 Munster, Germany; [Irving, Anthony J.] Univ Washington, Dept Earth &amp; Space Sci, Seattle, WA 98195 USA</t>
  </si>
  <si>
    <t>University of Munster; University of Washington; University of Washington Seattle</t>
  </si>
  <si>
    <t>Budde, G (corresponding author), Univ Munster, Inst Planetol, Wilhelm Klemm Str 10, D-48149 Munster, Germany.</t>
  </si>
  <si>
    <t>gerrit.budde@uni-muenster.de</t>
  </si>
  <si>
    <t>; Kleine, Thorsten/S-2792-2017</t>
  </si>
  <si>
    <t>Fischer-Godde, Mario/0000-0001-6839-9001; Kleine, Thorsten/0000-0003-4657-5961; Kruijer, Thomas/0000-0003-0974-4324; Budde, Gerrit/0000-0003-0762-779X</t>
  </si>
  <si>
    <t>Deutsche Forschungsgemeinschaft (KL) [1857/3, 1385]</t>
  </si>
  <si>
    <t>Deutsche Forschungsgemeinschaft (KL)</t>
  </si>
  <si>
    <t>We are grateful to the Meteorite Working Group for generous loans of the Antarctic ureilite samples analyzed in this study, to P. Warren for a constructive and very helpful review, and to B. Marty for his editorial efforts. We also thank M. Horstmann and A. Bischoff for discussions, U. Heitmann for technical support, and G. Brugmann for providing the HSE spike. This study was supported by the Deutsche Forschungsgemeinschaft (KL 1857/3) within the Priority Programme 1385.</t>
  </si>
  <si>
    <t>10.1016/j.epsl.2015.08.034</t>
  </si>
  <si>
    <t>WOS:000363070600030</t>
  </si>
  <si>
    <t>Williams, KE; McKay, CP; Heldmann, JL</t>
  </si>
  <si>
    <t>Williams, K. E.; McKay, Christopher P.; Heldmann, J. L.</t>
  </si>
  <si>
    <t>Modeling the effects of martian surface frost on ice table depth</t>
  </si>
  <si>
    <t>ICARUS</t>
  </si>
  <si>
    <t>Mars, climate; Mars, surface; Ices</t>
  </si>
  <si>
    <t>MCMURDO DRY VALLEYS; GROUND ICE; MIDLATITUDE SNOWPACKS; SUBSURFACE ICE; BOUNDARY-LAYER; LIQUID WATER; MARS; STABILITY; PERMAFROST; SIMULATIONS</t>
  </si>
  <si>
    <t>Ground ice has been observed in small fresh craters in the vicinity of the Viking 2 lander site (48 degrees N, 134 degrees E). To explain these observations, current models for ground ice invoke levels of atmospheric water of 20 precipitable micrometers - higher than observations. However, surface frost has been observed at the Viking 2 site and surface water frost and snow have been shown to have a stabilizing effect on Antarctic subsurface ice. A snow or frost cover provides a source of humidity that should reduce the water vapor gradient and hence retard the sublimation loss from subsurface ice. We have modeled this effect for the Viking 2 landing site with combined ground ice and surface frost models. Our model is driven by atmospheric output fields from the NASA Ames Mars General Circulation Model (MGCM). Our modeling results show that the inclusion of a thin seasonal frost layer, present for a duration similar to that observed by the Viking Lander 2, produces ice table depths that are significantly shallower than a model that omits surface frost. When a maximum frost albedo of 0.35 was permitted, seasonal frost is present in our model from Ls = 182 degrees to Ls = 16 degrees, resulting in an ice table depth of 64 cm - which is 24 cm shallower than the frost-free scenario. The computed ice table depth is only slightly sensitive to the assumed maximum frost albedo or thickness in the model. (C) 2015 Elsevier Inc. All rights reserved.</t>
  </si>
  <si>
    <t>[Williams, K. E.] Montana State Univ, Dept Earth Sci, Bozeman, MT 59717 USA; [McKay, Christopher P.; Heldmann, J. L.] NASA, Ames Res Ctr, Div Space Sci &amp; Astrobiol, Moffett Field, CA 94035 USA</t>
  </si>
  <si>
    <t>Montana State University System; Montana State University Bozeman; National Aeronautics &amp; Space Administration (NASA); NASA Ames Research Center</t>
  </si>
  <si>
    <t>Williams, KE (corresponding author), Montana State Univ, Dept Earth Sci, Bozeman, MT 59717 USA.</t>
  </si>
  <si>
    <t>Williams, Kaj/0000-0003-1755-1872; McKay, Christopher/0000-0002-6243-1362</t>
  </si>
  <si>
    <t>NASA Mars Fundamental Research Program [NNX12AN90G]; NASA [12322, NNX12AN90G] Funding Source: Federal RePORTER</t>
  </si>
  <si>
    <t>NASA Mars Fundamental Research Program(National Aeronautics &amp; Space Administration (NASA)); NASA(National Aeronautics &amp; Space Administration (NASA))</t>
  </si>
  <si>
    <t>This study was supported by the NASA Mars Fundamental Research Program through Grant NNX12AN90G awarded to KEW. The authors also thank Jeffrey Hollingsworth and James Schaeffer of the NASA Ames MGCM group for MGCM support. This manuscript also benefitted from the comments of Aaron Zent and an anonymous reviewer.</t>
  </si>
  <si>
    <t>0019-1035</t>
  </si>
  <si>
    <t>1090-2643</t>
  </si>
  <si>
    <t>Icarus</t>
  </si>
  <si>
    <t>10.1016/j.icarus.2015.08.005</t>
  </si>
  <si>
    <t>CS9BZ</t>
  </si>
  <si>
    <t>WOS:000362385400006</t>
  </si>
  <si>
    <t>Kennedy, AT; Farnsworth, A; Lunt, DJ; Lear, CH; Markwick, PJ</t>
  </si>
  <si>
    <t>Kennedy, A. T.; Farnsworth, A.; Lunt, D. J.; Lear, C. H.; Markwick, P. J.</t>
  </si>
  <si>
    <t>Atmospheric and oceanic impacts of Antarctic glaciation across the Eocene-Oligocene transition</t>
  </si>
  <si>
    <t>Eocene-Oligocene transition; Antarctic glaciation; palaeoclimate; palaeogeography; modelling; feedbacks</t>
  </si>
  <si>
    <t>SOUTHERN-OCEAN; CARBON-DIOXIDE; CIRCULATION; ONSET; HEMISPHERE; INITIATION; EVOLUTION; CYCLE</t>
  </si>
  <si>
    <t>The glaciation of Antarctica at the Eocene-Oligocene transition (approx. 34 million years ago) was a major shift in the Earth's climate system, but the mechanisms that caused the glaciation, and its effects, remain highly debated. A number of recent studies have used coupled atmosphere-ocean climate models to assess the climatic effects of Antarctic glacial inception, with often contrasting results. Here, using the HadCM3L model, we show that the global atmosphere and ocean response to growth of the Antarctic ice sheet is sensitive to subtle variations in palaeogeography, using two reconstructions representing Eocene and Oligocene geological stages. The earlier stage (Eocene; Priabonian), which has a relatively constricted Tasman Seaway, shows a major increase in sea surface temperature over the Pacific sector of the Southern Ocean in response to the ice sheet. This response does not occur for the later stage (Oligocene; Rupelian), which has a more open Tasman Seaway. This difference in temperature response is attributed to reorganization of ocean currents between the stages. Following ice sheet expansion in the earlier stage, the large Ross Sea gyre circulation decreases in size. Stronger zonal flow through the Tasman Seaway allows salinities to increase in the Ross Sea, deepwater formation initiates and multiple feedbacks then occur amplifying the temperature response. This is potentially a model-dependent result, but it highlights the sensitive nature of model simulations to subtle variations in palaeogeography, and highlights the need for coupled ice sheet-climate simulations to properly represent and investigate feedback processes acting on these time scales.</t>
  </si>
  <si>
    <t>[Kennedy, A. T.; Farnsworth, A.; Lunt, D. J.] Univ Bristol, Sch Geog Sci, Bristol, Avon, England; [Lear, C. H.] Cardiff Univ, Sch Earth &amp; Ocean Sci, Cardiff CF10 3AX, S Glam, Wales; [Markwick, P. J.] Getech PLC, Leeds, W Yorkshire, England</t>
  </si>
  <si>
    <t>University of Bristol; Cardiff University</t>
  </si>
  <si>
    <t>Kennedy, AT (corresponding author), Univ Bristol, Sch Geog Sci, Bristol, Avon, England.</t>
  </si>
  <si>
    <t>alan.kennedy@bristol.ac.uk</t>
  </si>
  <si>
    <t>Lear, Caroline H/D-2582-2009; Lunt, Daniel/G-9451-2011</t>
  </si>
  <si>
    <t>Lunt, Daniel/0000-0003-3585-6928; Lear, Caroline/0000-0002-7533-4430; Kennedy-Asser, Alan/0000-0001-5143-8932</t>
  </si>
  <si>
    <t>NERC through a GWA+ DTP grant; CASE award; NERC [NE/K014757/1, NE/I005714/1]; Natural Environment Research Council [NE/I005714/1, NE/H525562/1, NE/K014757/1, 1516008] Funding Source: researchfish; NERC [NE/H525562/1, NE/I005714/1, NE/K014757/1] Funding Source: UKRI</t>
  </si>
  <si>
    <t>NERC through a GWA+ DTP grant; CASE award; NERC(UK Research &amp; Innovation (UKRI)Natural Environment Research Council (NERC)); Natural Environment Research Council(UK Research &amp; Innovation (UKRI)Natural Environment Research Council (NERC)); NERC(UK Research &amp; Innovation (UKRI)Natural Environment Research Council (NERC))</t>
  </si>
  <si>
    <t>We would like to thank NERC for funding A.T.K. through a GWA+ DTP grant, and Getech for providing the palaeogeography and a CASE award to A.T.K. We also acknowledge NERC grants NE/K014757/1 and NE/I005714/1.</t>
  </si>
  <si>
    <t>NOV 13</t>
  </si>
  <si>
    <t>10.1098/rsta.2014.0419</t>
  </si>
  <si>
    <t>CY2XC</t>
  </si>
  <si>
    <t>Bronze, Green Accepted, Green Submitted</t>
  </si>
  <si>
    <t>WOS:000366270500004</t>
  </si>
  <si>
    <t>Wolff, E; Shepherd, JG; Shuckburgh, E; Watson, AJ</t>
  </si>
  <si>
    <t>Wolff, Ericw.; Shepherd, John G.; Shuckburgh, Emily; Watson, Andrew J.</t>
  </si>
  <si>
    <t>Feedbacks on climate in the Earth system: introduction</t>
  </si>
  <si>
    <t>[Wolff, Ericw.] Univ Cambridge, Dept Earth Sci, Cambridge CB2 3EQ, England; [Shepherd, John G.] Univ Southampton, Ocean &amp; Earth Sci, Southampton SO14 3ZH, Hants, England; [Shuckburgh, Emily] British Antarctic Survey, Cambridge CB3 0ET, England; [Watson, Andrew J.] Univ Exeter, College Life &amp; Environm Sci, Exeter EX4 4QE, Devon, England</t>
  </si>
  <si>
    <t>University of Cambridge; University of Southampton; UK Research &amp; Innovation (UKRI); Natural Environment Research Council (NERC); NERC British Antarctic Survey; University of Exeter</t>
  </si>
  <si>
    <t>Wolff, E (corresponding author), Univ Cambridge, Dept Earth Sci, Cambridge CB2 3EQ, England.</t>
  </si>
  <si>
    <t>ew428@cam.ac.uk</t>
  </si>
  <si>
    <t>Wolff, Eric W/D-7925-2014</t>
  </si>
  <si>
    <t>Wolff, Eric W/0000-0002-5914-8531; Shuckburgh, Emily/0000-0001-9206-3444; Watson, Andrew/0000-0002-9654-8147; Shepherd, John/0000-0002-5230-4781</t>
  </si>
  <si>
    <t>Natural Environment Research Council [NE/K002473/1, bas0100033] Funding Source: researchfish; NERC [NE/K002473/1, bas0100033] Funding Source: UKRI</t>
  </si>
  <si>
    <t>10.1098/rsta.2014.0428</t>
  </si>
  <si>
    <t>Bronze, Green Accepted, Green Published, Green Submitted</t>
  </si>
  <si>
    <t>WOS:000366270500010</t>
  </si>
  <si>
    <t>Morrone, JJ</t>
  </si>
  <si>
    <t>Morrone, Juan J.</t>
  </si>
  <si>
    <t>Biogeographical regionalisation of the world: a reappraisal</t>
  </si>
  <si>
    <t>AUSTRALIAN SYSTEMATIC BOTANY</t>
  </si>
  <si>
    <t>WALLACES ZOOGEOGRAPHIC REGIONS; TRANSITION ZONE; PATTERNS; CAPE; UPDATE; FLORA</t>
  </si>
  <si>
    <t>Some phytogeographical, zoogeographical and biogeographical regionalisations of the world are reviewed qualitatively. A biogeographical regionalisation attempting some consensus is proposed, recognising the following three kingdoms and nine regions: Holarctic kingdom (Nearctic and Palearctic regions), Holotropical kingdom (Neotropical, Ethiopian and Oriental regions) and Austral kingdom (Cape, Andean, Australian and Antarctic regions). Additionally, the following five transition zones are recognised: Mexican (Nearctic-Neotropical transition), Saharo-Arabian (Palearctic-Ethiopian transition), Chinese (Palearctic-Oriental transition), Indo-Malayan (Oriental-Australian transition) and South American (Neotropical-Andean transition).</t>
  </si>
  <si>
    <t>[Morrone, Juan J.] Univ Nacl Autonoma Mexico, Fac Ciencias, Dept Biol Evolut, Museo Zool Alfonso L Herrera, Mexico City 04510, DF, Mexico</t>
  </si>
  <si>
    <t>Universidad Nacional Autonoma de Mexico</t>
  </si>
  <si>
    <t>Morrone, JJ (corresponding author), Univ Nacl Autonoma Mexico, Fac Ciencias, Dept Biol Evolut, Museo Zool Alfonso L Herrera, Apartado Postal 70-399, Mexico City 04510, DF, Mexico.</t>
  </si>
  <si>
    <t>juanmorrone2001@yahoo.com.mx</t>
  </si>
  <si>
    <t>Morrone, Juan J./AAH-4325-2021</t>
  </si>
  <si>
    <t>Morrone, Juan/0000-0001-5566-1189</t>
  </si>
  <si>
    <t>1030-1887</t>
  </si>
  <si>
    <t>1446-5701</t>
  </si>
  <si>
    <t>AUST SYST BOT</t>
  </si>
  <si>
    <t>Aust. Syst. Bot.</t>
  </si>
  <si>
    <t>2-3</t>
  </si>
  <si>
    <t>10.1071/SB14042</t>
  </si>
  <si>
    <t>Plant Sciences; Evolutionary Biology</t>
  </si>
  <si>
    <t>CW7OV</t>
  </si>
  <si>
    <t>WOS:000365189700002</t>
  </si>
  <si>
    <t>Kool, JT; Huang, Z; Nichol, SL</t>
  </si>
  <si>
    <t>Kool, J. T.; Huang, Z.; Nichol, S. L.</t>
  </si>
  <si>
    <t>Simulated larval connectivity among Australia's southwest submarine canyons</t>
  </si>
  <si>
    <t>Connectivity; Submarine canyons; Dispersal; Leeuwin Current; Southwest Australia</t>
  </si>
  <si>
    <t>MARINE POPULATION CONNECTIVITY; LEEUWIN CURRENT; CONTINENTAL-MARGIN; WESTERN-AUSTRALIA; OCEAN CIRCULATION; WATER MANAGEMENT; DISPERSAL; FISHES; DIFFERENTIATION; TRANSPORT</t>
  </si>
  <si>
    <t>A biophysical dispersal model was used to simulate hydrodynamic connectivity among canyons located within Australia's southwest marine region using ophiuroid (brittlestars) larvae as a model species. The results show that exchange among canyons in this area is greatly influenced by the Leeuwin Current, transporting larvae in a unidirectional manner around Cape Leeuwin, and continuing eastwards along the Great Australian Bight. Larvae within canyons tend to remain within them; however, if they are transported above the canyon walls, they then have the opportunity to be transported significant distances (thousands of km). Analysis of the variability in connectivity patterns reveals concentrated larval flow near the shelf break, with increasing levels of variability in larval flow leading offshore from the canyons. While the average potential larval flow distance and duration (unweighted by dispersal probability values) between canyons were approximately 550 km and 33 d, respectively, the average realized larval flow distance and duration (weighted by dispersal probability values) were approximately 20 km and 5 d, respectively. This study provides the first consideration of larval connectivity among submarine canyons and will help improve management of these features by providing a better understanding of larval movement, transboundary exchange and the potential spread of invasive species.</t>
  </si>
  <si>
    <t>[Kool, J. T.; Huang, Z.; Nichol, S. L.] Geosci Australia, Canberra, ACT 2601, Australia</t>
  </si>
  <si>
    <t>Geoscience Australia</t>
  </si>
  <si>
    <t>Kool, JT (corresponding author), Geosci Australia, GPO Box 378, Canberra, ACT 2601, Australia.</t>
  </si>
  <si>
    <t>johnathan.kool@ga.gov.au</t>
  </si>
  <si>
    <t>Huang, Zhi/I-7367-2019</t>
  </si>
  <si>
    <t>Huang, Zhi/0000-0003-1760-062X; Kool, Johnathan/0000-0002-9902-3522</t>
  </si>
  <si>
    <t>Marine Biodiversity Hub through the Australian Government's National Environmental Research Program (NERP)</t>
  </si>
  <si>
    <t>Marine Biodiversity Hub through the Australian Government's National Environmental Research Program (NERP)(Australian Government)</t>
  </si>
  <si>
    <t>The authors were supported by the Marine Biodiversity Hub through the Australian Government's National Environmental Research Program (NERP). NERP Marine Biodiversity Hub partners include the Institute for Marine and Antarctic Studies, the University of Tasmania, CSIRO, Geoscience Australia, the Australian Institute of Marine Science (AIMS), the Museum of Victoria, Charles Darwin University and the University of Western Australia. J.T.K. thanks Australia's National Computing Infrastructure (NCI) for providing computing resources for this project. Maps were created using ArcGIS (R) software by Esri. ArcGIS (R) and ArcMap (TM) are the intellectual property of Esri and are used herein under license. Basemap copyright(C) Esri. All rights reserved. This paper is published with the permission of the CEO, Geoscience Australia.</t>
  </si>
  <si>
    <t>NOV 12</t>
  </si>
  <si>
    <t>10.3354/meps11477</t>
  </si>
  <si>
    <t>CW6EQ</t>
  </si>
  <si>
    <t>WOS:000365090700006</t>
  </si>
  <si>
    <t>Teglhus, FW; Agersted, MD; Akther, H; Nielsen, TG</t>
  </si>
  <si>
    <t>Teglhus, Frederik Wolff; Agersted, Mette Dalgaard; Akther, Hasna; Nielsen, Torkel Gissel</t>
  </si>
  <si>
    <t>Distributions and seasonal abundances of krill eggs and larvae in the sub-Arctic Godthabsfjord, SW Greenland</t>
  </si>
  <si>
    <t>Thysanoessa spp.; Larval development; Environmental factors</t>
  </si>
  <si>
    <t>EUPHAUSIIDS THYSANOESSA-RASCHI; POPULATION-DYNAMICS; REPRODUCTION STRATEGIES; COMMUNITY STRUCTURE; ANTARCTIC KRILL; NORTHERN GULF; LIFE-HISTORY; SUPERBA DANA; SCOTIA SEA; INERMIS</t>
  </si>
  <si>
    <t>The larval krill community (Thysanoessa spp.) was investigated along the sub-Arctic Godthabsfjord, SW Greenland, in June 2010. In addition, the progress of krill development from egg to furcilia was studied from March to August 2010 in a fjord branching off the Godthabsfjord. Krill spawned from late April until early May, with a second spawning event in early July. Spawning took place in the warmer, innermost part of the fjord, correlated with phytoplankton blooms. Naupliar abundance peaked immediately after spawning, and naupliar stage duration was 3 d. Sequences of the calyptopis and furcilia stages lasted 22 and 63 d, respectively. The growth rate from metanauplius to calyptopis was 0.12 d(-1), while the growth rate across all developmental stages was 0.05 d(-1). Mortality rates were calculated as 25% from eggs to nauplii, 48% from eggs to calyptopes and 83% from eggs to furcilia. During development, the larvae were dispersed from the shallow, warmer hatching area in the inner part of the fjord to the main fjord by tidal currents and runoff from land. The study showed that developmental stages of krill are a key group in Greenland coastal waters, one which should be considered in future studies of the pelagic food web.</t>
  </si>
  <si>
    <t>[Teglhus, Frederik Wolff; Agersted, Mette Dalgaard; Akther, Hasna; Nielsen, Torkel Gissel] Tech Univ Denmark, Natl Inst Aquat Resources, Sect Oceanog &amp; Climate, DK-2920 Charlottenlund, Denmark; [Nielsen, Torkel Gissel] Greenland Inst Nat Resources, Greenland Climate Res Ctr, Nuuk 3900, Greenland</t>
  </si>
  <si>
    <t>Technical University of Denmark; Greenland Institute of Natural Resources</t>
  </si>
  <si>
    <t>Nielsen, TG (corresponding author), Tech Univ Denmark, Natl Inst Aquat Resources, Sect Oceanog &amp; Climate, Kavalergarden 1D, DK-2920 Charlottenlund, Denmark.</t>
  </si>
  <si>
    <t>tgin@aqua.dtu.dk</t>
  </si>
  <si>
    <t>Agersted, Mette Dalgaard/AFW-0709-2022; Nielsen, Torkel Gissel/HLQ-4981-2023</t>
  </si>
  <si>
    <t>Nielsen, Torkel Gissel/0000-0003-1057-158X</t>
  </si>
  <si>
    <t>European Union [ENV.2010.2.2.1-1, 264933]; Greenland Climate Research Centre [6505]</t>
  </si>
  <si>
    <t>European Union(European Union (EU)); Greenland Climate Research Centre</t>
  </si>
  <si>
    <t>The research leading to these results received funding from the European Union Seventh Framework Programme project EURO-BASIN (ENV.2010.2.2.1-1) under Grant Agreement No. 264933 and the Greenland Climate Research Centre (project 6505). A special thanks to Professor Charlie Miller for constructive advice and proofreading of the manuscript and to 4 anonymous referees for their constructive comments and suggestions.</t>
  </si>
  <si>
    <t>10.3354/meps11486</t>
  </si>
  <si>
    <t>WOS:000365090700008</t>
  </si>
  <si>
    <t>Blanchard, JL</t>
  </si>
  <si>
    <t>Blanchard, Julia L.</t>
  </si>
  <si>
    <t>CLIMATE CHANGE A rewired food web</t>
  </si>
  <si>
    <t>Univ Tasmania, Inst Marine &amp; Antarctic Studies, Hobart, Tas 7001, Australia</t>
  </si>
  <si>
    <t>Blanchard, JL (corresponding author), Univ Tasmania, Inst Marine &amp; Antarctic Studies, Hobart, Tas 7001, Australia.</t>
  </si>
  <si>
    <t>julia.blanchard@utas.edu.au</t>
  </si>
  <si>
    <t>Blanchard, Julia L/E-4919-2010</t>
  </si>
  <si>
    <t>Blanchard, Julia/0000-0003-0532-4824</t>
  </si>
  <si>
    <t>10.1038/nature16311</t>
  </si>
  <si>
    <t>CV6RC</t>
  </si>
  <si>
    <t>WOS:000364396700030</t>
  </si>
  <si>
    <t>Darbyshire, T; Brewin, PE</t>
  </si>
  <si>
    <t>Darbyshire, Teresa; Brewin, Paul E.</t>
  </si>
  <si>
    <t>Three new species of Dysponetus Levinsen, 1879 (Polychaeta: Chrysopetalidae) from the South Atlantic and Southern Ocean, with a re-description of Dysponetus bulbosus Hartmann-Schroder, 1982</t>
  </si>
  <si>
    <t>taxonomy; notochaetae; Antarctica; South Georgia; Falkland Islands</t>
  </si>
  <si>
    <t>NORTHEAST ATLANTIC; PHYLLODOCIDA; ANNELIDA</t>
  </si>
  <si>
    <t>Three new species of Dysponetus (Polychaeta: Chrysopetalidae) are described from the South Atlantic and Southern Ocean: Dysponetus ovalisetosus n. sp. from the Falkland Islands, Dysponetus bricklei n. sp. from South Georgia and Dysponetus antarcticus n. sp. from Antarctica are all characterized by having notochaetae that are oval in cross-section in contrast to the D-shape described for seven of the other species of Dysponetus. Dysponetus antarcticus n. sp. is the most distinct due to the combination of both a ventral cirrus on segment 3 and four eyes. Formerly mis-identified as Dysponetus bulbosus Hartmann-Schroder, 1982, it was discovered while clarifying the contradictory descriptions of that species published by Hartmann-Schroder in 1982 and 1986. Dysponetus bulbosus is re-described and newly figured. Dysponetus bricklei n. sp. and Dysponetus ovalisetosus n. sp. can be determined by comparing several characters including position of the median antenna, shape of the palps and cirri, and the number and shape of both the noto- and neurochaetae.</t>
  </si>
  <si>
    <t>[Darbyshire, Teresa] Amgueddfa Cymru Natl Museum Wales, Dept Nat Sci, Cardiff CF10 3NP, S Glam, Wales</t>
  </si>
  <si>
    <t>Darbyshire, T (corresponding author), Amgueddfa Cymru Natl Museum Wales, Dept Nat Sci, Cathays Pk, Cardiff CF10 3NP, S Glam, Wales.</t>
  </si>
  <si>
    <t>Teresa.Darbyshire@museumwales.ac.uk</t>
  </si>
  <si>
    <t>, Paul/0000-0002-0261-9646</t>
  </si>
  <si>
    <t>Shackleton Scholarship Fund (Falkland Islands); Amgueddfa Cymru-National Museum Wales; Joint Nature Conservation Committee (UK); Darwin Initiative Grant; Government of South Georgia and South Sandwich Islands; Falkland Islands Government Fisheries Department; British Antarctic Survey</t>
  </si>
  <si>
    <t>The work in the Falkland Islands was funded by both the Shackleton Scholarship Fund (Falkland Islands) and Amgueddfa Cymru-National Museum Wales with additional logistical support provided by the Falkland Islands Government Fisheries Department, the Shallow Marine Surveys Group (SMSG) and the South Atlantic Environmental Research Institute (SAERI). Paul Brewin and the volunteer Shallow Marine Surveys Group (donors of the South Georgian specimens) were gratefully supported additionally by the Joint Nature Conservation Committee (UK), a Darwin Initiative Grant, the Government of South Georgia and South Sandwich Islands, the Falkland Islands Government Fisheries Department and the British Antarctic Survey. Many thanks are also due to Dr Angelika Brandt and the collections staff of the Zoological Museum Hamburg, as well as the Swedish Museum of Natural History, for the loan of specimens and to Dr Andy Mackie for his comments on the manuscript.</t>
  </si>
  <si>
    <t>NOV 11</t>
  </si>
  <si>
    <t>CV7AG</t>
  </si>
  <si>
    <t>WOS:000364423300007</t>
  </si>
  <si>
    <t>Pasotti, F; Saravia, LA; De Troch, M; Tarantelli, MS; Sahade, R; Vanreusel, A</t>
  </si>
  <si>
    <t>Pasotti, Francesca; Ariel Saravia, Leonardo; De Troch, Marleen; Soledad Tarantelli, Maria; Sahade, Ricardo; Vanreusel, Ann</t>
  </si>
  <si>
    <t>Benthic Trophic Interactions in an Antarctic Shallow Water Ecosystem Affected by Recent Glacier Retreat</t>
  </si>
  <si>
    <t>KING-GEORGE ISLAND; STABLE-ISOTOPE RATIOS; POTTER COVE; SIGNY ISLAND; PRIAPULUS-CAUDATUS; FEEDING ECOLOGY; COASTAL WATERS; ORGANIC-MATTER; MARTEL INLET; FOOD-WEB</t>
  </si>
  <si>
    <t>The western Antarctic Peninsula is experiencing strong environmental changes as a consequence of ongoing regional warming. Glaciers in the area are retreating rapidly and increased sediment-laden meltwater runoff threatens the benthic biodiversity at shallow depths. We identified three sites with a distinct glacier-retreat related history and different levels of glacial influence in the inner part of Potter Cove (King George Island, South Shetland Islands), a fjord-like embayment impacted since the 1950s by a tidewater glacier retreat. We compared the soft sediment meio- and macrofauna isotopic niche widths (delta C-13 and delta N-15 stable isotope analysis) at the three sites to investigate possible glacier retreat-related influences on benthic trophic interactions. The isotopic niches were locally shaped by the different degrees of glacier retreat-related disturbance within the Cove. Wider isotopic niche widths were found at the site that has become ice-free most recently, and narrower niches at the older ice-free sites. At an intermediate state of glacier retreat-related disturbance (e.g. via ice-growler scouring) species with different strategies could settle. The site at the earliest stage of post-retreat development was characterized by an assemblage with lower trophic redundancy. Generally, the isotopic niche widths increased with increasing size spectra of organisms within the community, excepting the youngest assemblage, where the pioneer colonizer meiofauna size class displayed the highest isotopic niche width. Meiofauna at all sites generally occupied positions in the isotopic space that suggested a detrital-pool food source and/or the presence of predatory taxa. In general ice scour and glacial impact appeared to play a two-fold role within the Cove: i) either stimulating trophic diversity by allowing continuous re-colonization of meiofaunal species or, ii) over time driving the benthic assemblages into a more compact trophic structure with increased connectedness and resource recycling.</t>
  </si>
  <si>
    <t>[Pasotti, Francesca; De Troch, Marleen; Vanreusel, Ann] Univ Ghent, Marine Biol Lab, B-9000 Ghent, Belgium; [Ariel Saravia, Leonardo] Natl Univ Gen Sarmiento, Inst Sci, RA-1613 Buenos Aires, DF, Argentina; [Soledad Tarantelli, Maria; Sahade, Ricardo] Univ Nacl Cordoba, CONICET, Inst Anim Div &amp; Ecol, Fac Cs EF &amp; Nat, RA-5000 Cordoba, Argentina</t>
  </si>
  <si>
    <t>Ghent University; National University of Cordoba; Consejo Nacional de Investigaciones Cientificas y Tecnicas (CONICET)</t>
  </si>
  <si>
    <t>Pasotti, F (corresponding author), Univ Ghent, Marine Biol Lab, Krijgslaan 281-S8, B-9000 Ghent, Belgium.</t>
  </si>
  <si>
    <t>Francesca.pasotti@ugent.be</t>
  </si>
  <si>
    <t>Saravia, Leonardo/AAM-3461-2021; De Troch, Marleen/AAB-9809-2019</t>
  </si>
  <si>
    <t>Saravia, Leonardo/0000-0002-7911-4398; De Troch, Marleen/0000-0002-6800-0299; Pasotti, Francesca/0000-0002-8971-8195; Sahade, Ricardo/0000-0001-5650-8135</t>
  </si>
  <si>
    <t>Belgian Science Policy Office (BELSPO) [BR/132/A1/vERSO]; EU project Imconet (FP7 IRSES) [319718]</t>
  </si>
  <si>
    <t>Belgian Science Policy Office (BELSPO)(Belgian Federal Science Policy Office); EU project Imconet (FP7 IRSES)</t>
  </si>
  <si>
    <t>The authors acknowledge the vERSO project (www.versoproject.be, funded by the Belgian Science Policy Office (BELSPO, contract no BR/132/A1/vERSO) and the EU project Imconet (FP7 IRSES, action no. 319718) for financial and networking support. We acknowledge the vERSO project (www.versoproject.be), funded by the Belgian Science Policy Office (BELSPO, contract no BR/132/A1/vERSO) and the EU project Imconet (FP7 IRSES, action no. 319718) for financial and networking support. We would like to thank all the military and scientific staff at Carlini base for their valuable assistance during the sampling process. A special thank goes to Oscar Gonzales and Doris Abele for their logistic support.</t>
  </si>
  <si>
    <t>e0141742</t>
  </si>
  <si>
    <t>10.1371/journal.pone.0141742</t>
  </si>
  <si>
    <t>CV7DR</t>
  </si>
  <si>
    <t>WOS:000364433100042</t>
  </si>
  <si>
    <t>Li, ZY; Lu, HP; Yuan, XY</t>
  </si>
  <si>
    <t>Li, Zhengyang; Lu, Haipin; Yuan, Xiangyan</t>
  </si>
  <si>
    <t>Optical design for Antarctic Bright Star Survey Telescope</t>
  </si>
  <si>
    <t>CHINESE OPTICS LETTERS</t>
  </si>
  <si>
    <t>The exoplanet search is one of the most exciting research fields in astrophysics. The Antarctic Bright Star Survey Telescope (BSST), capable of continuous exoplanet observation on polar nights, is a Ritchey-Chretien telescope with a three-lens field corrector, and has a 300 mm aperture, 2.76 focal ratio, and a wavelength coverage ranging from 0.36 to 1.014 mu m. Equipped with a 4 k x 4 k and 12 mu m/pixel CCD camera, the BSST can gain a field of view of 4.8 degrees. This Letter presents the optical design, tolerance analysis, and the alignment plan for the BSST, and the test observation results.</t>
  </si>
  <si>
    <t>[Li, Zhengyang; Lu, Haipin; Yuan, Xiangyan] Chinese Acad Sci, Nanjing Inst Astron Opt &amp; Technol, Natl Astron Observ, Nanjing 210042, Jiangsu, Peoples R China; [Li, Zhengyang; Lu, Haipin; Yuan, Xiangyan] Chinese Acad Sci, Nanjing Inst Astron Opt &amp; Technol, Key Lab Astron Opt &amp; Technol, Nanjing 210042, Jiangsu, Peoples R China</t>
  </si>
  <si>
    <t>Chinese Academy of Sciences; Nanjing Institute of Astronomical Optics &amp; Technology, NAOC, CAS; National Astronomical Observatory, CAS; Chinese Academy of Sciences; Nanjing Institute of Astronomical Optics &amp; Technology, NAOC, CAS</t>
  </si>
  <si>
    <t>Li, ZY (corresponding author), Chinese Acad Sci, Nanjing Inst Astron Opt &amp; Technol, Natl Astron Observ, Nanjing 210042, Jiangsu, Peoples R China.</t>
  </si>
  <si>
    <t>zyli@niaot.ac.cn</t>
  </si>
  <si>
    <t>Polar Research Institute of China; University of Science and Technology of China; SOC program [CHINARE2012-02-03]</t>
  </si>
  <si>
    <t>Polar Research Institute of China; University of Science and Technology of China; SOC program</t>
  </si>
  <si>
    <t>The authors would like to thank Polar Research Institute of China and the University of Science and Technology of China for their support and cooperation. We appreciate the assistance of the Yunnan Observatory for the BSST test observation. The work was supported by the SOC program (CHINARE2012-02-03).</t>
  </si>
  <si>
    <t>CHINESE LASER PRESS</t>
  </si>
  <si>
    <t>SHANGHAI</t>
  </si>
  <si>
    <t>PO BOX 800-211, SHANGHAI, 201800, PEOPLES R CHINA</t>
  </si>
  <si>
    <t>1671-7694</t>
  </si>
  <si>
    <t>CHIN OPT LETT</t>
  </si>
  <si>
    <t>Chin. Opt. Lett.</t>
  </si>
  <si>
    <t>NOV 10</t>
  </si>
  <si>
    <t>10.3788/COL201513.111101</t>
  </si>
  <si>
    <t>Optics</t>
  </si>
  <si>
    <t>CV8GO</t>
  </si>
  <si>
    <t>WOS:000364520000006</t>
  </si>
  <si>
    <t>Remeslo, AV; Yakushev, MR; Laptikhovsky, V</t>
  </si>
  <si>
    <t>Remeslo, A. V.; Yakushev, M. R.; Laptikhovsky, V.</t>
  </si>
  <si>
    <t>Alien vs. Predator: interactions between the colossal squid (Mesonychoteuthis hamiltoni) and the Antarctic toothfish (Dissostichus mawsoni)</t>
  </si>
  <si>
    <t>JOURNAL OF NATURAL HISTORY</t>
  </si>
  <si>
    <t>longline; depredation; colossal squid; Antarctic toothfish; Mesonychoteuthis hamiltoni</t>
  </si>
  <si>
    <t>SOMNIOSUS-PACIFICUS; SHARKS; DIET</t>
  </si>
  <si>
    <t>Data collected onboard two South Korean longliners in 2011-2014 targeting Antarctic toothfish provided insights into trophic interactions between two Antarctic top predators: the colossal squid Mesonychoteuthis hamiltoni and the Antarctic toothfish Dissostichus mawsoni. Adults of each species opportunistically prey upon weakened representatives of the other species: squid will feed on longline-caught toothfish, and toothfish on dying and dead squid. The highest occurrence of squid attacks was recorded in the Davis Sea and Commonwealth Sea, and the lowest in the Ross Sea. Squid depredation rates were around 1% on average, though regionally they might rise to 2-3%, which is of a similar magnitude to rates caused by sperm whales and killer whales in some areas.</t>
  </si>
  <si>
    <t>[Remeslo, A. V.; Yakushev, M. R.] Atlantic Res Inst Fisheries &amp; Oceanog, Kaliningrad, Russia; [Laptikhovsky, V.] CEFAS, Lowestoft, Suffolk, England</t>
  </si>
  <si>
    <t>Research lnstitute of Fisheries &amp; Oceanography; Centre for Environment Fisheries &amp; Aquaculture Science</t>
  </si>
  <si>
    <t>Remeslo, AV (corresponding author), Atlantic Res Inst Fisheries &amp; Oceanog, Kaliningrad, Russia.</t>
  </si>
  <si>
    <t>alex_remeslo@mail.ru</t>
  </si>
  <si>
    <t>0022-2933</t>
  </si>
  <si>
    <t>1464-5262</t>
  </si>
  <si>
    <t>J NAT HIST</t>
  </si>
  <si>
    <t>J. Nat. Hist.</t>
  </si>
  <si>
    <t>41-42</t>
  </si>
  <si>
    <t>10.1080/00222933.2015.1040477</t>
  </si>
  <si>
    <t>Biodiversity Conservation; Ecology; Zoology</t>
  </si>
  <si>
    <t>Biodiversity &amp; Conservation; Environmental Sciences &amp; Ecology; Zoology</t>
  </si>
  <si>
    <t>CR7GX</t>
  </si>
  <si>
    <t>WOS:000361517700001</t>
  </si>
  <si>
    <t>Karanovic, T; Kim, K; Grygier, MJ</t>
  </si>
  <si>
    <t>Karanovic, Tomislav; Kim, Kichoon; Grygier, Mark J.</t>
  </si>
  <si>
    <t>A new species of Schizopera (Copepoda: Harpacticoida) from Japan, its phylogeny based on the mtCOI gene and comments on the genus Schizoperopsis</t>
  </si>
  <si>
    <t>ancient lakes; barcoding; phylogeny; stygofauna; taxonomy</t>
  </si>
  <si>
    <t>WESTERN-AUSTRALIA; LAKE BIWA; PILBARA REGION; N-SP; CRUSTACEA; PARASTENOCARIS; REDESCRIPTION; SENSITIVITY; DIVERSITY; EVOLUTION</t>
  </si>
  <si>
    <t>The predominantly marine genus Schizopera Sars, 1905 has only two significant inland water species-flocks, one in the ancient African Lake Tanganyika and the other in subterranean waters of Western Australia. Discovery of Schizopera abei sp. nov. from several interstitial locations in the vicinity of the ancient Lake Biwa has wider implications for the study of morphological homoplasies in the genus, as well as for the study of freshwater invasions in harpacticoid copepods. The new Schizopera species belongs to a small group of congeners with a two-segmented endopod of the fourth leg, which used to be recognised as a separate genus, Schizoperopsis Apostolov, 1982. Our reconstructed phylogenies based on the mtCOI partial sequences suggest that this character probably evolved convergently in at least some Schizopera, thus rendering the genus Schizoperopsis polyphyletic. However, almost all basal nodes in our cladograms are weakly supported, which shows limitations of a single-gene approach for reconstructing phylogenetic relationships. The new species is the first member of its genus from Japanese inland waters, and it has no close relatives among extent congeners anywhere in the world. We speculate that its ancestor may have invaded Lake Biwa, and subsequently its surrounding subterranean waters, from brackish areas around central Japan, presumably during a period of high sea water level through its major outflow river. This discovery may provide further support for the hypothesis about the role of ancient lakes as biodiversity pumps for subterranean habitats.http://zoobank.org/urn:lsid:zoobank.org:pub:1F71F7AD-B7C8-4AD3-BE44-5E1BEE4E2AA8</t>
  </si>
  <si>
    <t>[Karanovic, Tomislav] Sungkyunkwan Univ, Dept Biol Sci, Coll Sci, Suwon, South Korea; [Karanovic, Tomislav] Univ Tasmania, Inst Marine &amp; Antarctic Studies, Hobart, Tas, Australia; [Kim, Kichoon] Hanyang Univ, Dept Life Sci, Seoul 133791, South Korea; [Grygier, Mark J.] Lake Biwa Museum, Kusatsu, Japan</t>
  </si>
  <si>
    <t>Sungkyunkwan University (SKKU); University of Tasmania; Hanyang University</t>
  </si>
  <si>
    <t>Karanovic, T (corresponding author), Sungkyunkwan Univ, Dept Biol Sci, Coll Sci, Suwon, South Korea.</t>
  </si>
  <si>
    <t>Tomislav.Karanovic@utas.edu.au</t>
  </si>
  <si>
    <t>National Institute of Biological Resources (NIBR); Ministry of Environment of the Republic of Korea (NIBR) [2013-02-001]; National Research Foundation of Korea (NRF); Ministry of Education, Science and Technology of the Republic of Korea [2012R1A1A2005312]; Japanese Society for the Promotion of Science [23370042]; Grants-in-Aid for Scientific Research [23370042] Funding Source: KAKEN</t>
  </si>
  <si>
    <t>National Institute of Biological Resources (NIBR); Ministry of Environment of the Republic of Korea (NIBR)(Ministry of Environment (ME), Republic of Korea); National Research Foundation of Korea (NRF)(National Research Foundation of Korea); Ministry of Education, Science and Technology of the Republic of Korea(Ministry of Education, Science &amp; Technology (MEST), Republic of Korea); Japanese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</si>
  <si>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supported by grants from the National Institute of Biological Resources (NIBR), and funded by the Ministry of Environment of the Republic of Korea (NIBR No. 2013-02-001), the Basic Science Research Programme of the National Research Foundation of Korea (NRF) and the Ministry of Education, Science and Technology of the Republic of Korea (2012R1A1A2005312). The third author's activities were also supported by a 'Kakenhi' Grant-in-Aid for Scientific Research (B) (23370042) of the Japanese Society for the Promotion of Science.</t>
  </si>
  <si>
    <t>10.1080/00222933.2015.1028112</t>
  </si>
  <si>
    <t>CR7GZ</t>
  </si>
  <si>
    <t>WOS:000361517900001</t>
  </si>
  <si>
    <t>Fulton, EA; Bax, NJ; Bustamante, RH; Dambacher, JM; Dichmont, C; Dunstan, PK; Hayes, KR; Hobday, AJ; Pitcher, R; Plagányi, ÉE; Punt, AE; Savina-Rolland, M; Smith, ADM; Smith, DC</t>
  </si>
  <si>
    <t>Fulton, Elizabeth A.; Bax, Nicholas J.; Bustamante, Rodrigo H.; Dambacher, Jeffrey M.; Dichmont, Catherine; Dunstan, Piers K.; Hayes, Keith R.; Hobday, Alistair J.; Pitcher, Roland; Plaganyi, Eva E.; Punt, Andre E.; Savina-Rolland, Marie; Smith, Anthony D. M.; Smith, David C.</t>
  </si>
  <si>
    <t>Modelling marine protected areas: insights and hurdles</t>
  </si>
  <si>
    <t>PHILOSOPHICAL TRANSACTIONS OF THE ROYAL SOCIETY B-BIOLOGICAL SCIENCES</t>
  </si>
  <si>
    <t>spatial management; modelling; MPA; counterfactual</t>
  </si>
  <si>
    <t>MANAGEMENT STRATEGY EVALUATION; SPATIAL MANAGEMENT; BASE-LINES; CONSERVATION; FISHERIES; RESERVES; BIODIVERSITY; INDICATORS; DISPERSAL; BENEFITS</t>
  </si>
  <si>
    <t>Models provide useful insights into conservation and resource management issues and solutions. Their use to date has highlighted conditions under which no-take marine protected areas (MPAs) may help us to achieve the goals of ecosystem-based management by reducing pressures, and where they might fail to achieve desired goals. For example, static reserve designs are unlikely to achieve desired objectives when applied to mobile species or when compromised by climate-related ecosystem restructuring and range shifts. Modelling tools allow planners to explore a range of options, such as basing MPAs on the presence of dynamic oceanic features, and to evaluate the potential future impacts of alternative interventions compared with 'no-action' counterfactuals, under a range of environmental and development scenarios. The modelling environment allows the analyst to test if indicators and management strategies are robust to uncertainties in how the ecosystem (and the broader human-ecosystem combination) operates, including the direct and indirect ecological effects of protection. Moreover, modelling results can be presented at multiple spatial and temporal scales, and relative to ecological, economic and social objectives. This helps to reveal potential 'surprises', such as regime shifts, trophic cascades and bottlenecks in human responses. Using illustrative examples, this paper briefly covers the history of the use of simulation models for evaluating MPA options, and discusses their utility and limitations for informing protected area management in the marine realm.</t>
  </si>
  <si>
    <t>[Fulton, Elizabeth A.; Bax, Nicholas J.; Dunstan, Piers K.; Hobday, Alistair J.; Punt, Andre E.; Smith, Anthony D. M.; Smith, David C.] CSIRO Oceans &amp; Atmosphere, Hobart, Tas 7001, Australia; [Dambacher, Jeffrey M.; Hayes, Keith R.] CSIRO Digital Prod, Hobart, Tas 7001, Australia; [Fulton, Elizabeth A.; Dambacher, Jeffrey M.; Hobday, Alistair J.; Smith, Anthony D. M.; Smith, David C.] Univ Tasmania, Ctr Marine Socioecol, Battery Point, Tas 7004, Australia; [Bax, Nicholas J.] Univ Tasmania, Inst Marine &amp; Antarctic Studies, Battery Point, Tas 7004, Australia; [Bustamante, Rodrigo H.; Dichmont, Catherine; Pitcher, Roland; Plaganyi, Eva E.] CSIRO Oceans &amp; Atmosphere, Brisbane, Qld 4001, Australia; [Punt, Andre E.] Univ Washington, Sch Aquat &amp; Fishery Sci, Seattle, WA 98195 USA; [Savina-Rolland, Marie] Ctr Manche Mer Nord, Lab Ressources Halieut, F-62321 Boulogne Sur Mer, France</t>
  </si>
  <si>
    <t>Commonwealth Scientific &amp; Industrial Research Organisation (CSIRO); Commonwealth Scientific &amp; Industrial Research Organisation (CSIRO); University of Tasmania; University of Tasmania; Commonwealth Scientific &amp; Industrial Research Organisation (CSIRO); University of Washington; University of Washington Seattle; Ifremer</t>
  </si>
  <si>
    <t>Fulton, EA (corresponding author), CSIRO Oceans &amp; Atmosphere, GPO Box 1538, Hobart, Tas 7001, Australia.</t>
  </si>
  <si>
    <t>beth.fulton@csiro.au</t>
  </si>
  <si>
    <t>Smith, David/GQQ-8257-2022; Pitcher, C. Roland/A-2368-2012; Fulton, Beth/A-2871-2008; Fulton, Beth/AAJ-1398-2021; Hobday, Alistair/A-1460-2012; Plaganyi, Eva E/C-5130-2011; Bax, Nicholas/A-2321-2012; Hayes, Keith/A-4550-2009; Dunstan, Piers/B-7309-2016</t>
  </si>
  <si>
    <t>Fulton, Beth/0000-0002-5904-7917; Plaganyi, Eva E/0000-0002-4740-4200; Savina-Rolland, Marie/0000-0001-9762-3295; Bax, Nicholas/0000-0002-9697-4963; Hayes, Keith/0000-0003-4094-3575; Dunstan, Piers/0000-0002-2568-5945</t>
  </si>
  <si>
    <t>Commonwealth Scientific and Industrial Research Organization (CSIRO) Australia; Australian Government's National Environmental Research Programme through the Marine Biodiversity Hub; Australian Fisheries Research and Development Corporation; New South Wales Department of Primary Industries</t>
  </si>
  <si>
    <t>Commonwealth Scientific and Industrial Research Organization (CSIRO) Australia(Commonwealth Scientific &amp; Industrial Research Organisation (CSIRO)); Australian Government's National Environmental Research Programme through the Marine Biodiversity Hub(Australian Government); Australian Fisheries Research and Development Corporation; New South Wales Department of Primary Industries</t>
  </si>
  <si>
    <t>The Commonwealth Scientific and Industrial Research Organization (CSIRO) Australia has provided funds in support of all authors. Work by N.J.B., P.K.D., J.M.D., K.R.H. and R.P. included in this paper has been supported by the Australian Government's National Environmental Research Programme through the Marine Biodiversity Hub. The research by E.A.F., R.H.B., C.D., A.J.H., E.E.P., A.E.P., A.D.M.S. and D.C.S. discussed in this paper has been supported by funding from the Australian Fisheries Research and Development Corporation. Finally, the NSW based work of E.A.F. and M.S.-R. was supported by the New South Wales Department of Primary Industries.</t>
  </si>
  <si>
    <t>0962-8436</t>
  </si>
  <si>
    <t>1471-2970</t>
  </si>
  <si>
    <t>PHILOS T R SOC B</t>
  </si>
  <si>
    <t>Philos. Trans. R. Soc. B-Biol. Sci.</t>
  </si>
  <si>
    <t>NOV 5</t>
  </si>
  <si>
    <t>10.1098/rstb.2014.0278</t>
  </si>
  <si>
    <t>Biology</t>
  </si>
  <si>
    <t>Life Sciences &amp; Biomedicine - Other Topics</t>
  </si>
  <si>
    <t>CT3PX</t>
  </si>
  <si>
    <t>WOS:000362720200010</t>
  </si>
  <si>
    <t>Wu, S; Huang, ZY; Yue, JH; Liu, D; Wang, T; Ezanno, P; Ruan, CS; Zhao, XL; Lu, WW; Pan, HB</t>
  </si>
  <si>
    <t>Wu, Shuai; Huang, Zhuoyao; Yue, Jianhui; Liu, Di; Wang, Ting; Ezanno, Pierre; Ruan, Changshun; Zhao, Xiaoli; Lu, William W.; Pan, Haobo</t>
  </si>
  <si>
    <t>The efficient hemostatic effect of Antarctic krill chitosan is related to its hydration property</t>
  </si>
  <si>
    <t>CARBOHYDRATE POLYMERS</t>
  </si>
  <si>
    <t>Chitosan; Antarctic krill; Hemostatic agent</t>
  </si>
  <si>
    <t>BLOOD-CELL AGGREGATION; PLATELET-ADHESION; MOLECULAR-WEIGHT; EUPHAUSIA-SUPERBA; DRUG-DELIVERY; CHITIN; DEACETYLATION; ACTIVATION; INJURY; COAGULATION</t>
  </si>
  <si>
    <t>Antarctic krill chitosan (A-Chitosan) was first evaluated in its hemostatic effect in this study. The prepared A-Chitosan powder showed low level of crystallinity and significantly high water binding capacity as 1293% (w/w). By mice tail amputation model and blood coagulation timing experiment, it is showed that this chitosan accelerated the tail hemostasis by 55% and shortened the blood clotting time by 38%. This efficacy was better than two other commercial chitosans investigated and was corresponding to their water binding capacities. Through examining the effect of chitosan on blood components, it could be found that platelets adhesion was mainly affected by the water binding capacity, and red blood cells aggregation was dependent on their deacetylation degree. The physicochemical properties resulted in better hydration property of chitosan would improve its hemostatic effect. These results suggested that Antarctic krill chitosan is a good candidate for hemostatic application. (C) 2015 Elsevier Ltd. All rights reserved.</t>
  </si>
  <si>
    <t>[Wu, Shuai; Huang, Zhuoyao; Yue, Jianhui; Liu, Di; Wang, Ting; Ezanno, Pierre; Ruan, Changshun; Zhao, Xiaoli; Pan, Haobo] Chinese Acad Sci, Res Ctr Human Tissues &amp; Organs Degenerat, Inst Biomed &amp; Biotechnol, Shenzhen Inst Adv Technol, Shenzhen 518055, Peoples R China; [Lu, William W.] Univ Hong Kong, Dept Orthopaed &amp; Traumatol, Pokfulam 999077, Hong Kong, Peoples R China; [Liu, Di] Harbin Med Univ, Dept Pharmacol, Harbin 150081, Peoples R China; [Wu, Shuai; Yue, Jianhui; Ruan, Changshun; Zhao, Xiaoli; Pan, Haobo] Chinese Acad Sci, Shenzhen Inst Adv Technol, Shenzhen Key Lab Marine Biomed Mat, Shenzhen 518055, Peoples R China</t>
  </si>
  <si>
    <t>Chinese Academy of Sciences; Shenzhen Institute of Advanced Technology, CAS; University of Hong Kong; Harbin Medical University; Chinese Academy of Sciences; Shenzhen Institute of Advanced Technology, CAS</t>
  </si>
  <si>
    <t>Zhao, XL (corresponding author), Chinese Acad Sci, Res Ctr Human Tissues &amp; Organs Degenerat, Shenzhen Inst Adv Technol, Shenzhen 518055, Peoples R China.</t>
  </si>
  <si>
    <t>zhaoxltju@gmail.com</t>
  </si>
  <si>
    <t>Li, Zilong/JEZ-8642-2023; Jiang, Yu/JEZ-9814-2023; wang, yan/GSE-6489-2022; li, liu/JXN-7328-2024</t>
  </si>
  <si>
    <t>Yue, Jianhui/0000-0003-2370-4601; Liu, Di/0000-0002-3748-4948; Ruan, Changshun/0000-0001-6320-7189</t>
  </si>
  <si>
    <t>National Natural Science Foundation of China [81301567, 81270967]; Natural Science Foundation of Guangdong Province [S2013040014820]; Shenzhen Peacock Program [110811003586331]; Shenzhen Science and Technology Research Funding [ZDSY20130401165820356, CXZZ20140901004122089, JCYJ20140417113430623]</t>
  </si>
  <si>
    <t>National Natural Science Foundation of China(National Natural Science Foundation of China (NSFC)); Natural Science Foundation of Guangdong Province(National Natural Science Foundation of Guangdong Province); Shenzhen Peacock Program; Shenzhen Science and Technology Research Funding</t>
  </si>
  <si>
    <t>This work was made possible by National Natural Science Foundation of China (Nos. 81301567 and 81270967), Natural Science Foundation of Guangdong Province (S2013040014820), Shenzhen Peacock Program (110811003586331) and Shenzhen Science and Technology Research Funding (ZDSY20130401165820356, CXZZ20140901004122089, JCYJ20140417113430623).</t>
  </si>
  <si>
    <t>0144-8617</t>
  </si>
  <si>
    <t>1879-1344</t>
  </si>
  <si>
    <t>CARBOHYD POLYM</t>
  </si>
  <si>
    <t>Carbohydr. Polym.</t>
  </si>
  <si>
    <t>10.1016/j.carbpol.2015.06.030</t>
  </si>
  <si>
    <t>Chemistry, Applied; Chemistry, Organic; Polymer Science</t>
  </si>
  <si>
    <t>Chemistry; Polymer Science</t>
  </si>
  <si>
    <t>CR2UA</t>
  </si>
  <si>
    <t>WOS:000361184900036</t>
  </si>
  <si>
    <t>Kasparová, E; Van de Putte, AP; Marshall, C; Janko, K</t>
  </si>
  <si>
    <t>Kasparova, Eva; Van de Putte, Anton P.; Marshall, Craig; Janko, Karel</t>
  </si>
  <si>
    <t>Lifestyle and Ice: The Relationship between Ecological Specialization and Response to Pleistocene Climate Change</t>
  </si>
  <si>
    <t>ESTIMATING DEMOGRAPHIC HISTORY; HUMAN MITOCHONDRIAL-DNA; LAST GLACIAL MAXIMUM; SOUTHERN-OCEAN; POPULATION-GROWTH; NOTOTHENIOID FISHES; MOLECULAR VARIANCE; STATISTICAL-METHOD; GENETIC-STRUCTURE; ANTARCTIC FISHES</t>
  </si>
  <si>
    <t>Major climatic changes in the Pleistocene had significant effects on marine organisms and the environments in which they lived. The presence of divergent patterns of demographic history even among phylogenetically closely-related species sharing climatic changes raises questions as to the respective influence of species-specific traits on population structure. In this work we tested whether the lifestyle of Antarctic notothenioid benthic and pelagic fish species from the Southern Ocean influenced the concerted population response to Pleistocene climatic fluctuations. This was done by a comparative analysis of sequence variation at the cyt b and S7 loci in nine newly sequenced and four re-analysed species. We found that all species underwent more or less intensive changes in population size but we also found consistent differences between demographic histories of pelagic and benthic species. Contemporary pelagic populations are significantly more genetically diverse and bear traces of older demographic expansions than less diverse benthic species that show evidence of more recent population expansions. Our findings suggest that the lifestyles of different species have strong influences on their responses to the same environmental events. Our data, in conjunction with previous studies showing a constant diversification tempo of these species during the Pleistocene, support the hypothesis that Pleistocene glaciations had a smaller effect on pelagic species than on benthic species whose survival may have relied upon ephemeral refugia in shallow shelf waters. These findings suggest that the interaction between lifestyle and environmental changes should be considered in genetic analyses.</t>
  </si>
  <si>
    <t>[Kasparova, Eva; Janko, Karel] Acad Sci Czech Republic, Inst Anim Physiol &amp; Genet, Lab Fish Genet, Libechov 27721, Czech Republic; [Kasparova, Eva; Janko, Karel] Acad Sci Czech Republic, Inst Vertebrate Biol, CS-60365 Brno, Czech Republic; [Van de Putte, Anton P.] Katholieke Univ Leuven, Lab Biodivers &amp; Evolutionary Genom, B-3000 Leuven, Belgium; [Marshall, Craig] Univ Otago, Dept Biochem &amp; Genet Otago, Dunedin, New Zealand; [Janko, Karel] Univ South Bohemia Ceske Budejovice, Ctr Polar Ecol, Ceske Budejovice 37005, Czech Republic; [Janko, Karel] Univ Ostrava, Fac Nat Sci, Dept Biol &amp; Ecol, Life Sci Res Ctr, Ostrava 71000, Czech Republic</t>
  </si>
  <si>
    <t>Czech Academy of Sciences; Institute of Animal Physiology &amp; Genetics of the Czech Academy of Sciences; Czech Academy of Sciences; Institute of Vertebrate Biology of the Czech Academy of Sciences; KU Leuven; University of Otago; University of South Bohemia Ceske Budejovice; University of Ostrava</t>
  </si>
  <si>
    <t>Kasparová, E (corresponding author), Acad Sci Czech Republic, Inst Anim Physiol &amp; Genet, Lab Fish Genet, Rumburska 89, Libechov 27721, Czech Republic.</t>
  </si>
  <si>
    <t>kasparova@iapg.cas.cz; janko@iapg.cas.cz</t>
  </si>
  <si>
    <t>Kasparova, Eva/G-7184-2014; Van de Putte, Anton/S-3729-2019; Marshall, Craig J./C-6668-2009</t>
  </si>
  <si>
    <t>Van de Putte, Anton/0000-0003-1336-5554; Marshall, Craig J./0000-0003-4186-0368; Stefkova Kasparova, Eva/0000-0003-4321-8213</t>
  </si>
  <si>
    <t>Royal Belgian Institute for Natural Sciences, OD Nature, Brussels, Belgium [Vautierstraat 29, B-1000]; Grant Agency of Czech Academy of Sciences [KJB600450903]; European Centre of Ichtyoparasitology [P505/12/G112]; Ministry of Education, Youth and Sport of Czech Republic (Centre for Polar Ecology University of South Bohemia in Ceske Budejovice) [LM2010009, CZ.1.07/2.2.00/28.0190]; Belgian Science Policy (BELSPO) [BR/132/A1/vERSO]; Institute of Animal Physiology and Genetics [RVO: 67985904]</t>
  </si>
  <si>
    <t>Royal Belgian Institute for Natural Sciences, OD Nature, Brussels, Belgium; Grant Agency of Czech Academy of Sciences; European Centre of Ichtyoparasitology; Ministry of Education, Youth and Sport of Czech Republic (Centre for Polar Ecology University of South Bohemia in Ceske Budejovice); Belgian Science Policy (BELSPO)(Belgian Federal Science Policy Office); Institute of Animal Physiology and Genetics</t>
  </si>
  <si>
    <t>This work has been supported by the Royal Belgian Institute for Natural Sciences, OD Nature, Vautierstraat 29, B-1000 Brussels, Belgium. Grant Agency of the Czech Academy of Sciences (GA AS CR) (No. KJB600450903), European Centre of Ichtyoparasitology. (No. P505/12/G112), Ministry of Education, Youth and Sport of Czech Republic (Centre for Polar Ecology University of South Bohemia in Ceske Budejovice) (LM2010009, CZ.1.07/2.2.00/28.0190) and the Belgian Science Policy (BELSPO contract no BR/132/A1/vERSO). The authors' team receives continuous support from the Institute of Animal Physiology and Genetics (RVO: 67985904). The funders had no role in study design, data collection and analysis, decision to publish, or preparation of the manuscript.</t>
  </si>
  <si>
    <t>NOV 4</t>
  </si>
  <si>
    <t>e0138766</t>
  </si>
  <si>
    <t>10.1371/journal.pone.0138766</t>
  </si>
  <si>
    <t>CV5GZ</t>
  </si>
  <si>
    <t>WOS:000364298400004</t>
  </si>
  <si>
    <t>Xia, GH; Zhao, YL; Yu, Z; Tian, YY; Wang, YM; Wang, SS; Wang, JF; Xue, CH</t>
  </si>
  <si>
    <t>Xia, Guanghua; Zhao, Yanlei; Yu, Zhe; Tian, Yingying; Wang, Yiming; Wang, Shanshan; Wang, Jingfeng; Xue, Changhu</t>
  </si>
  <si>
    <t>Phosphorylated Peptides from Antarctic Krill (Euphausia superba) Prevent Estrogen Deficiency Induced Osteoporosis by Inhibiting Bone Resorption in Ovariectomized Rats</t>
  </si>
  <si>
    <t>JOURNAL OF AGRICULTURAL AND FOOD CHEMISTRY</t>
  </si>
  <si>
    <t>1st ACS-AGFD and ACSThailand Chapter Joint Symposium</t>
  </si>
  <si>
    <t>MAR 04-05, 2014</t>
  </si>
  <si>
    <t>Bangkok, THAILAND</t>
  </si>
  <si>
    <t>phosphoglated peptides; antarctic krill; bone resorption; bone mass; receptor activator of nuclear factor kappa B</t>
  </si>
  <si>
    <t>NF-KAPPA-B; BASIC-PROTEIN SUPPLEMENTATION; OSTEOCLAST DIFFERENTIATION; MINERAL DENSITY; POSTMENOPAUSAL OSTEOPOROSIS; REPLACEMENT THERAPY; BREAST-CANCER; MOUSE MODEL; IN-VIVO; RANKL</t>
  </si>
  <si>
    <t>In the current study, we investigated the improvement of phosphorylated peptides from Antarctic krill Euphausia superba (PP-AKP) on osteoporosis in ovariectomized rats. PP-AKP was supplemented to ovariectomized Sprague Dawley rats for 90 days. The results showed that PP-AKP treatment remarkably prevented the reduction of bone mass and improved cancellous bone structure and biochemical properties. PP-AKP also significantly decreased serum contents of tartrate-resistant acid phosphatase (TRACP), cathepsin K (Cath-k), matrix metalloproteinases-9 (MMP-9), deoxypyridinoline (DPD), C-terminal telopeptide of collagen I (CTX-1), Ca, and P. Mechanism investigation revealed that PP-AKP significantly increased the osteoprotegerin (OPG)/receptor activator of nuclear factor kappa B ligand (RANKL) ratio in mRNA expression, protein expression, and serum content. Further research suggested that NF-kappa B signaling pathways were inhibited by suppressing the mRNA and protein expressions of nuclear factor of activated T-cells (NFATc1) and tumor necrosis factor receptor-associated factor 6 (TRAF6), diminishing the mRNA expression and phosphorylation of nuclear factor kappa B p65 (NF-kappa B p65), three key transcription factors in NF-kappa B pathways. These results suggest that PP-AKP can improve osteoporosis by inhibiting bone resorption via suppressing the activation of osteodastogenesis related NF-kappa B pathways.</t>
  </si>
  <si>
    <t>[Xia, Guanghua; Zhao, Yanlei; Yu, Zhe; Tian, Yingying; Wang, Yiming; Wang, Shanshan; Wang, Jingfeng; Xue, Changhu] Ocean Univ China, Coll Food Sci &amp; Engn, Qingdao 266003, Shandong, Peoples R China</t>
  </si>
  <si>
    <t>Wang, JF (corresponding author), Ocean Univ China, Coll Food Sci &amp; Engn, Qingdao 266003, Shandong, Peoples R China.</t>
  </si>
  <si>
    <t>jfwang@ouc.edu.cn</t>
  </si>
  <si>
    <t>wang, jing/GRS-7509-2022; yuming, wang/K-8179-2012; Xia, Guanghua/AAN-1812-2021; wang, jing/HJA-5384-2022; Wang, Shanshan/D-2283-2014</t>
  </si>
  <si>
    <t>Xia, Guanghua/0000-0001-7269-5751;</t>
  </si>
  <si>
    <t>National Natural Science Foundation of China [31371876, 31471684, U1406402, 31571771]</t>
  </si>
  <si>
    <t>This study is financially supported by National Natural Science Foundation of China (No. 31371876, No. 31471684, No. U1406402, and No. 31571771).</t>
  </si>
  <si>
    <t>0021-8561</t>
  </si>
  <si>
    <t>1520-5118</t>
  </si>
  <si>
    <t>J AGR FOOD CHEM</t>
  </si>
  <si>
    <t>J. Agric. Food Chem.</t>
  </si>
  <si>
    <t>10.1021/acs.jafc.5b04263</t>
  </si>
  <si>
    <t>Agriculture, Multidisciplinary; Chemistry, Applied; Food Science &amp; Technology</t>
  </si>
  <si>
    <t>Agriculture; Chemistry; Food Science &amp; Technology</t>
  </si>
  <si>
    <t>CV6BM</t>
  </si>
  <si>
    <t>WOS:000364355700022</t>
  </si>
  <si>
    <t>Lamy, F; Arz, HW; Kilianc, R; Lange, CB; Lembke-Jene, L; Wengler, M; Kaiser, J; Baeza-Urrea, O; Hall, IR; Harada, N; Tiedemann, R</t>
  </si>
  <si>
    <t>Lamy, Frank; Arz, Helge W.; Kilianc, Rolf; Lange, Carina B.; Lembke-Jene, Lester; Wengler, Marc; Kaiser, Jerome; Baeza-Urrea, Oscar; Hall, Ian R.; Harada, Naomi; Tiedemann, Ralf</t>
  </si>
  <si>
    <t>Glacial reduction and millennial-scale variations in Drake Passage throughflow</t>
  </si>
  <si>
    <t>paleoceanography; Drake Passage; Antarctic Circumpolar Current; glacial-interglacial changes; sedimentology</t>
  </si>
  <si>
    <t>ANTARCTIC CIRCUMPOLAR CURRENT; SEA-SURFACE TEMPERATURE; WESTERLY WIND CHANGES; PATAGONIAN ICE-SHEET; SOUTHERN-OCEAN; CHRONOLOGY AICC2012; INTERMEDIATE WATER; HOLOCENE CHANGES; SORTABLE SILT; CENTRAL CHILE</t>
  </si>
  <si>
    <t>The Drake Passage (DP) is the major geographic constriction for the Antarctic Circumpolar Current (ACC) and exerts a strong control on the exchange of physical, chemical, and biological properties between the Atlantic, Pacific, and Indian Ocean basins. Resolving changes in the flow of circumpolar water masses through this gateway is, therefore, crucial for advancing our understanding of the Southern Ocean's role in global ocean and climate variability. Here, we reconstruct changes in DP throughflow dynamics over the past 65,000 y based on grain size and geochemical properties of sediment records from the southernmost continental margin of South America. Combined with published sediment records from the Scotia Sea, we argue for a considerable total reduction of DP transport and reveal an up to similar to 40% decrease in flow speed along the northernmost ACC pathway entering the DP during glacial times. Superimposed on this long-term decrease are high-amplitude, millennial-scale variations, which parallel Southern Ocean and Antarctic temperature patterns. The glacial intervals of strong weakening of the ACC entering the DP imply an enhanced export of northern ACC surface and intermediate waters into the South Pacific Gyre and reduced Pacific-Atlantic exchange through the DP (cold water route). We conclude that changes in DP throughflow play a critical role for the global meridional overturning circulation and interbasin exchange in the Southern Ocean, most likely regulated by variations in the westerly wind field and changes in Antarctic sea ice extent.</t>
  </si>
  <si>
    <t>[Lamy, Frank; Lembke-Jene, Lester; Wengler, Marc; Tiedemann, Ralf] Helmholtz Zentrum Polar &amp; Meeresforsch, Alfred Wegener Inst, Marine Geol Sect, D-27570 Bremerhaven, Germany; [Arz, Helge W.; Kaiser, Jerome] Leibniz Inst Balt Sea Res, Dept Marine Geol, D-18119 Rostock, Germany; [Kilianc, Rolf; Baeza-Urrea, Oscar] Univ Trier, Geol Fachbereich Raum &amp; Umweltwissensch, D-54286 Trier, Germany; [Kilianc, Rolf] Univ Magallanes, Inst Patagonia, Punta Arenas 6200000, Chile; [Lange, Carina B.] Univ Concepcion, Dept Oceanog, Concepcion 4030000, Chile; [Lange, Carina B.] Univ Concepcion, COPAS Sur Austral Program, Ctr Oceanog Res Eastern South Pacific COPAS, Concepcion 4030000, Chile; [Hall, Ian R.] Cardiff Univ, Sch Earth &amp; Ocean Sci, Cardiff CF10 3AT, S Glam, Wales; [Harada, Naomi] Japan Agcy Marine Earth Sci &amp; Technol, Res &amp; Dev Ctr Global Change, Yokosuka, Kanagawa 2370061, Japan</t>
  </si>
  <si>
    <t>Helmholtz Association; Alfred Wegener Institute, Helmholtz Centre for Polar &amp; Marine Research; Leibniz Institut fur Ostseeforschung Warnemunde; Universitat Trier; Universidad de Magallanes; Universidad de Concepcion; Universidad de Concepcion; Cardiff University; Japan Agency for Marine-Earth Science &amp; Technology (JAMSTEC)</t>
  </si>
  <si>
    <t>Lamy, F (corresponding author), Helmholtz Zentrum Polar &amp; Meeresforsch, Alfred Wegener Inst, Marine Geol Sect, D-27570 Bremerhaven, Germany.</t>
  </si>
  <si>
    <t>Frank.Lamy@awi.de</t>
  </si>
  <si>
    <t>Lembke-Jene, Lester/ABC-6275-2020; Lange, Carina/AHC-2015-2022; Arz, Helge W/A-6659-2013; Hall, Ian/C-2755-2009; Lembke-Jene, Lester/F-5084-2013; Lamy, Frank/H-3611-2014</t>
  </si>
  <si>
    <t>Lange, Carina/0000-0002-2916-4207; Hall, Ian/0000-0001-6960-1419; Lembke-Jene, Lester/0000-0002-6873-8533; Tiedemann, Ralf/0000-0001-7211-8049; Arz, Helge Wolfgang/0000-0002-1997-1718; Lamy, Frank/0000-0001-5952-1765</t>
  </si>
  <si>
    <t>AWI Helmholtz-Zentrum fur Polar-und Meeresforschung; Center for Marine Environmental Sciences; Deutsche Forschungsgemeinschaft [LA 1273/3-2, LA1273/5-1, KI-456/9-1]; Helmholtz Network Regional Climate Change; Hanse-Wissenschaftskolleg; European Commission 7th Framework Marie Curie People Programme Initial Training Network GATEWAYS Grant [238512]</t>
  </si>
  <si>
    <t>AWI Helmholtz-Zentrum fur Polar-und Meeresforschung; Center for Marine Environmental Sciences; Deutsche Forschungsgemeinschaft(German Research Foundation (DFG)); Helmholtz Network Regional Climate Change; Hanse-Wissenschaftskolleg; European Commission 7th Framework Marie Curie People Programme Initial Training Network GATEWAYS Grant</t>
  </si>
  <si>
    <t>We thank the captain, crew, and scientific party of The International Marine Past Global Change Study R/V Marion Dufresne cruise MD159/PACHIDERME. We also thank V. Benz, C. Kissel, G. Knorr, G. Kuhn, N. McCave, and C. Purcell for discussions. We thank two anonymous reviewers for constructive comments. R. Ahi, R. Frohlking, and S. Wiebe provided technical support at Alfred-Wegener-Institut (AWI). Financial support for this work was through the AWI Helmholtz-Zentrum fur Polar-und Meeresforschung; the Center for Marine Environmental Sciences; Deutsche Forschungsgemeinschaft Grants LA 1273/3-2, LA1273/5-1, and KI-456/9-1; and the Helmholtz Network Regional Climate Change. C.B.L. received a 2014 fellowship from the Hanse-Wissenschaftskolleg. I.R.H. received funding from European Commission 7th Framework Marie Curie People Programme Initial Training Network GATEWAYS Grant 238512.</t>
  </si>
  <si>
    <t>NOV 3</t>
  </si>
  <si>
    <t>10.1073/pnas.1509203112</t>
  </si>
  <si>
    <t>CV3NC</t>
  </si>
  <si>
    <t>Green Submitted, hybrid, Green Published, Green Accepted</t>
  </si>
  <si>
    <t>WOS:000364164900044</t>
  </si>
  <si>
    <t>Strauss, BH; Kulp, S; Levermann, A</t>
  </si>
  <si>
    <t>Strauss, Benjamin H.; Kulp, Scott; Levermann, Anders</t>
  </si>
  <si>
    <t>Carbon choices determine US cities committed to futures below sea level</t>
  </si>
  <si>
    <t>climate change; climate impacts; sea-level rise</t>
  </si>
  <si>
    <t>PINE ISLAND; MASS-LOSS; RISE; ACCELERATION; PROJECTIONS; ANTARCTICA; COLLAPSE; THWAITES; SHELF</t>
  </si>
  <si>
    <t>Anthropogenic carbon emissions lock in long-term sea-level rise that greatly exceeds projections for this century, posing profound challenges for coastal development and cultural legacies. Analysis based on previously published relationships linking emissions to warming and warming to rise indicates that unabated carbon emissions up to the year 2100 would commit an eventual global sea-level rise of 4.3-9.9 m. Based on detailed topographic and population data, local high tide lines, and regional long-term sea-level commitment for different carbon emissions and ice sheet stability scenarios, we compute the current population living on endangered land at municipal, state, and national levels within the United States. For unabated climate change, we find that land that is home to more than 20 million people is implicated and is widely distributed among different states and coasts. The total area includes 1,185-1,825 municipalities where land that is home to more than half of the current population would be affected, among them at least 21 cities exceeding 100,000 residents. Under aggressive carbon cuts, more than half of these municipalities would avoid this commitment if the West Antarctic Ice Sheet remains stable. Similarly, more than half of the US population-weighted area under threat could be spared. We provide lists of implicated cities and state populations for different emissions scenarios and with and without a certain collapse of the West Antarctic Ice Sheet. Although past anthropogenic emissions already have caused sea-level commitment that will force coastal cities to adapt, future emissions will determine which areas we can continue to occupy or may have to abandon.</t>
  </si>
  <si>
    <t>[Strauss, Benjamin H.; Kulp, Scott] Climate Cent, Princeton, NJ 08542 USA; [Levermann, Anders] Potsdam Inst Climate Impact Res, D-14473 Potsdam, Germany; [Levermann, Anders] Univ Potsdam, Phys Inst, D-14476 Potsdam, Germany</t>
  </si>
  <si>
    <t>Strauss, BH (corresponding author), Climate Cent, Princeton, NJ 08542 USA.</t>
  </si>
  <si>
    <t>bstrauss@climatecentral.org</t>
  </si>
  <si>
    <t>Levermann, Anders/0000-0003-4432-4704; Strauss, Benjamin/0000-0002-6856-6575</t>
  </si>
  <si>
    <t>Kresge Foundation; Rockefeller Foundation; Schmidt Family Foundation; V. Kann Rasmussen Foundation; European Union Seventh Framework Programme FP7 [603864]</t>
  </si>
  <si>
    <t>Kresge Foundation; Rockefeller Foundation; Schmidt Family Foundation; V. Kann Rasmussen Foundation; European Union Seventh Framework Programme FP7</t>
  </si>
  <si>
    <t>We thank Claudia Tebaldi for statistical advice; Stanley Jacobs for discussion of Southern Ocean circulation; Nathan Gillett for guidance on the transient climate response to emissions; Mark Merrifield for tidal modeling applied to the Alaskan coast; and Michael Oppenheimer for thoughtful comments on the manuscript. The research leading to these results received funding from the Kresge Foundation, the Rockefeller Foundation, the Schmidt Family Foundation, the V. Kann Rasmussen Foundation, and the European Union Seventh Framework Programme FP7/2007-2013 under Grant Agreement 603864.</t>
  </si>
  <si>
    <t>1091-6490</t>
  </si>
  <si>
    <t>10.1073/pnas.1511186112</t>
  </si>
  <si>
    <t>WOS:000364164900046</t>
  </si>
  <si>
    <t>Statham, TM; Mumford, KA; Stark, SC; Gore, DB; Stevens, GW</t>
  </si>
  <si>
    <t>Statham, Tom M.; Mumford, Kathryn A.; Stark, Scott C.; Gore, Damian B.; Stevens, Geoffrey W.</t>
  </si>
  <si>
    <t>Removal of Copper and Zinc from Ground Water by Granular Zero-Valent Iron: A Mechanistic Study</t>
  </si>
  <si>
    <t>SEPARATION SCIENCE AND TECHNOLOGY</t>
  </si>
  <si>
    <t>heavy metals; contamination; PRB; PhreePlot; ground water remediation</t>
  </si>
  <si>
    <t>PERMEABLE REACTIVE BARRIER; IN-SITU REMEDIATION; CONTAMINANT REMOVAL; ZEROVALENT IRON; HEAVY-METALS; KINETICS; FERRIHYDRITE; PERFORMANCE; ADSORPTION; CORROSION</t>
  </si>
  <si>
    <t>Designing water treatment systems with contaminant removal based on zero-valent iron (ZVI) requires an understanding of the formation of a series of iron oxyhydroxides produced during corrosion of the thermodynamically unstable ZVI core. X-ray diffractometry (XRD) and geochemical modelling were used to investigate the mechanisms of copper and zinc removal and the formation of iron oxyhydroxides in batch experiments at 4 and 25 degrees C, over a period of 349 days. Copper removal was predominantly associated with a mineral product, which was unstable in an aerobic environment. Zinc and some copper were sequestered into the iron oxyhydroxide structure and did not redissolve when the pH was reduced. X-ray diffractometry and geochemical modelling suggest that ZVI reacted to form magnetite and lepidocrocite, with lepidocrocite being the most stable mineral observed under the experimental conditions. However, XRD analysis did not allow the identification of poorly crystalline intermediate or substituted products which were most likely also present.Capsule AbstractDuring zero-valent iron treatment heavy metal contaminants are sequestered into iron oxyhydroxide structures formed during corrosion.</t>
  </si>
  <si>
    <t>[Statham, Tom M.; Mumford, Kathryn A.; Stevens, Geoffrey W.] Univ Melbourne, Dept Chem &amp; Biomol Engn, Particulate Fluids Proc Ctr, Melbourne, Vic 3010, Australia; [Stark, Scott C.] Australian Antarctic Div, Dept Environm, Kingston, Tas, Australia; [Gore, Damian B.] Macquarie Univ, Dept Environm Sci, N Ryde, NSW 2109, Australia</t>
  </si>
  <si>
    <t>University of Melbourne; Melbourne Bioinformatics; Australian Antarctic Division; Macquarie University</t>
  </si>
  <si>
    <t>Mumford, KA (corresponding author), Univ Melbourne, Dept Chem &amp; Biomol Engn, Particulate Fluids Proc Ctr, Melbourne, Vic 3010, Australia.</t>
  </si>
  <si>
    <t>mumfordk@unimelb.edu.au</t>
  </si>
  <si>
    <t>Mumford, Kathryn A/M-6566-2015</t>
  </si>
  <si>
    <t>Gore, Damian/0000-0002-0377-8518; Stevens, Geoffrey/0000-0002-5788-4682</t>
  </si>
  <si>
    <t>Australian Antarctic Division [4029]; Australian Postgraduate Award</t>
  </si>
  <si>
    <t>Australian Antarctic Division; Australian Postgraduate Award(Australian Government)</t>
  </si>
  <si>
    <t>The Australian Antarctic Division (Grant 4029) is gratefully acknowledged for financial support. T.S. also acknowledges the support of an Australian Postgraduate Award.</t>
  </si>
  <si>
    <t>0149-6395</t>
  </si>
  <si>
    <t>1520-5754</t>
  </si>
  <si>
    <t>SEP SCI TECHNOL</t>
  </si>
  <si>
    <t>Sep. Sci. Technol.</t>
  </si>
  <si>
    <t>NOV 2</t>
  </si>
  <si>
    <t>10.1080/01496395.2015.1058822</t>
  </si>
  <si>
    <t>Chemistry, Multidisciplinary; Engineering, Chemical</t>
  </si>
  <si>
    <t>Chemistry; Engineering</t>
  </si>
  <si>
    <t>CT3PH</t>
  </si>
  <si>
    <t>WOS:000362718500001</t>
  </si>
  <si>
    <t>Cox, M; Kawaguchi, S; King, R; Dholakia, K; Brown, CTA</t>
  </si>
  <si>
    <t>Cox, Martin; Kawaguchi, So; King, Robert; Dholakia, Kishan; Brown, Christian T. A.</t>
  </si>
  <si>
    <t>Internal physiology of live krill revealed using new aquaria techniques and mixed optical microscopy and optical coherence tomography ( OCT) imaging techniques</t>
  </si>
  <si>
    <t>MARINE AND FRESHWATER BEHAVIOUR AND PHYSIOLOGY</t>
  </si>
  <si>
    <t>krill trap; live animal; morphological observations; optical coherence tomography; optical imaging</t>
  </si>
  <si>
    <t>ANTARCTIC KRILL; EUPHAUSIA-SUPERBA; RATES</t>
  </si>
  <si>
    <t>The accurate observation of physiological changes on in vivo samples of important animal species such as Euphausia superba (Antarctic krill) is an important goal in helping to understand how environmental changes can affect animal development. Using a custom made krill trap', live un-anaesthetized krill were confined for seven hours, during which three hours of optical imaging were obtained and no subsequent ill effects observed. The trap enabled two imaging methods to be employed: optical coherence tomography (OCT) and microscopy. OCT enabled internal structure and tissues to be imaged to a depth of approximately 2mm and resolution of approximately 12m. Microscopy was used to observe heart rate. During our experiments, we imaged a range of internal structures in live animals including the heart and gastric areas. The trap design enables a new generation of mixed modality imaging of these animals in vivo. These techniques will enable detailed studies of the internal physiology of live krill to be undertaken under a wide range of environmental conditions and have the potential to highlight important variations in behaviour and animal development.</t>
  </si>
  <si>
    <t>[Cox, Martin; Kawaguchi, So; King, Robert] Australian Antarctic Div, Sci Branch, Kingston, Tas, Australia; [Dholakia, Kishan; Brown, Christian T. A.] Univ St Andrews, SUPA, Sch Phys &amp; Astron, St Andrews, Fife, Scotland</t>
  </si>
  <si>
    <t>Australian Antarctic Division; University of St Andrews</t>
  </si>
  <si>
    <t>Cox, M (corresponding author), Australian Antarctic Div, Sci Branch, Kingston, Tas, Australia.</t>
  </si>
  <si>
    <t>martin.cox@aad.gov.au</t>
  </si>
  <si>
    <t>King, Robert/0000-0002-4650-2335; Brown, Christian Thomas Alcuin/0000-0002-4405-6677; Kawaguchi, So/0000-0002-2042-5095; Dholakia, Kishan/0000-0001-6534-9009</t>
  </si>
  <si>
    <t>Australian Antarctic Division Science Programme [4037, 4050]; Australian Research Council [FS110200057]; United Kingdom Engineering and Physical Sciences Research Council [EP/M000869/1]; Australian Research Council [FS110200057] Funding Source: Australian Research Council; EPSRC [EP/M000869/1, EP/J01771X/1] Funding Source: UKRI; Engineering and Physical Sciences Research Council [EP/J01771X/1, EP/M000869/1] Funding Source: researchfish</t>
  </si>
  <si>
    <t>Australian Antarctic Division Science Programme; Australian Research Council(Australian Research Council); United Kingdom Engineering and Physical Sciences Research Council(UK Research &amp; Innovation (UKRI)Engineering &amp; Physical Sciences Research Council (EPSRC)); Australian Research Council(Australian Research Council); EPSRC(UK Research &amp; Innovation (UKRI)Engineering &amp; Physical Sciences Research Council (EPSRC)); Engineering and Physical Sciences Research Council(UK Research &amp; Innovation (UKRI)Engineering &amp; Physical Sciences Research Council (EPSRC))</t>
  </si>
  <si>
    <t>This work was supported by the Australian Antarctic Division Science Programme [project 4037], [project 4050]; Australian Research Council [grant FS110200057]; United Kingdom Engineering and Physical Sciences Research Council [grant EP/M000869/1].</t>
  </si>
  <si>
    <t>1023-6244</t>
  </si>
  <si>
    <t>1029-0362</t>
  </si>
  <si>
    <t>MAR FRESHW BEHAV PHY</t>
  </si>
  <si>
    <t>Mar. Freshw. Behav. Physiol.</t>
  </si>
  <si>
    <t>10.1080/10236244.2015.1073455</t>
  </si>
  <si>
    <t>CT7TR</t>
  </si>
  <si>
    <t>WOS:000363017900001</t>
  </si>
  <si>
    <t>Taylor, PD; Waeschenbach, A; Smith, AM; Gordon, DP</t>
  </si>
  <si>
    <t>Taylor, Paul D.; Waeschenbach, Andrea; Smith, Abigail M.; Gordon, Dennis P.</t>
  </si>
  <si>
    <t>In search of phylogenetic congruence between molecular and morphological data in bryozoans with extreme adult skeletal heteromorphy</t>
  </si>
  <si>
    <t>SYSTEMATICS AND BIODIVERSITY</t>
  </si>
  <si>
    <t>Bryozoa; Cyclostomata; early astogeny; molecular phylogeny; morphology; New Zealand; taxonomy</t>
  </si>
  <si>
    <t>CYCLOSTOME BRYOZOANS; NEW-ZEALAND; DIVERGENCE; ULTRASTRUCTURE; CHEILOSTOMATA; INFERENCE; TAXONOMY; DEPTH</t>
  </si>
  <si>
    <t>The taxonomy of cyclostome bryozoans, both recent and fossil, is founded almost entirely on characters of the mineralized skeleton. However, the adequacy of these characters is now being questioned by molecular sequence data. In this study we construct a molecular tree using ssrDNA and lsrDNA sequences and identify a clade of New Zealand cyclostomes containing species exhibiting widely different morphologies. In particular, Diaperoecia purpurascens (Hutton), a species assigned to the suborder Tubuliporina on the basis of adult skeletal morphology, is shown to be closely related to New Zealand species assigned to Heteropora, including H. neozelanica (Busk), which has a very different adult skeleton and is traditionally placed in the suborder Cerioporina. A new species resembling the Antarctic genus Hastingsia, H'. whitteni sp. nov., from North Island, New Zealand, is found to belong to the same clade, despite being placed conventionally in a different family (Hastingsiidae) from both Diaperoecia (Diaperoeciidae) and Heteropora (Cerioporidae). These results challenge the utility of adult skeletal morphology in cyclostome taxonomy. In contrast to the striking dissimilarity between the adult skeletons of D. purpurascens and Hastingsia' whitteni compared with New Zealand species of Heteropora, morphological similarities in early colony development, as well as possibly the presence of a gizzard, corroborate the molecular interpretation of their close relationships. Greater attention should be paid in the future to early astogenetic characters in cyclostome taxonomy.http://zoobank.org/urn:lsid:zoobank.org:pub:CE81CE34-DE0F-43B6-A46E-E086F3F5E76D</t>
  </si>
  <si>
    <t>[Taylor, Paul D.] Nat Hist Museum, Dept Earth Sci, London SW7 5BD, England; [Waeschenbach, Andrea] Nat Hist Museum, Dept Life Sci, London SW7 5BD, England; [Smith, Abigail M.] Univ Otago, Dept Marine Sci, Dunedin 9054, New Zealand; [Gordon, Dennis P.] Natl Inst Water &amp; Atmospher Res, Wellington, New Zealand</t>
  </si>
  <si>
    <t>Natural History Museum London; Natural History Museum London; University of Otago; National Institute of Water &amp; Atmospheric Research (NIWA) - New Zealand</t>
  </si>
  <si>
    <t>Taylor, PD (corresponding author), Nat Hist Museum, Dept Earth Sci, Cromwell Rd, London SW7 5BD, England.</t>
  </si>
  <si>
    <t>p.taylor@nhm.ac.uk</t>
  </si>
  <si>
    <t>Smith, Abigail M/F-7714-2011</t>
  </si>
  <si>
    <t>Waeschenbach, Andrea/0000-0001-8571-9345; Taylor, Paul/0000-0002-3127-080X</t>
  </si>
  <si>
    <t>British Council; NERC [NE/E015298/1]; NIWA [COBR1502]; Natural Environment Research Council [NE/E015298/1] Funding Source: researchfish; NERC [NE/E015298/1] Funding Source: UKRI</t>
  </si>
  <si>
    <t>British Council(The British Council in India); NERC(UK Research &amp; Innovation (UKRI)Natural Environment Research Council (NERC)); NIWA; Natural Environment Research Council(UK Research &amp; Innovation (UKRI)Natural Environment Research Council (NERC)); NERC(UK Research &amp; Innovation (UKRI)Natural Environment Research Council (NERC))</t>
  </si>
  <si>
    <t>Research on cyclostome bryozoans from New Zealand was commenced during the tenure of a British Council Link Programme Grant in the mid-1990s, and continued during NERC Grant (NE/E015298/1; October 2007-October 2010). DPG's research was supported by NIWA through Coasts and Oceans Research Programme 2 (Marine Biological Resources) taxonomy project COBR1502.</t>
  </si>
  <si>
    <t>1477-2000</t>
  </si>
  <si>
    <t>1478-0933</t>
  </si>
  <si>
    <t>SYST BIODIVERS</t>
  </si>
  <si>
    <t>Syst. Biodivers.</t>
  </si>
  <si>
    <t>10.1080/14772000.2015.1049673</t>
  </si>
  <si>
    <t>Biodiversity Conservation; Biology</t>
  </si>
  <si>
    <t>Biodiversity &amp; Conservation; Life Sciences &amp; Biomedicine - Other Topics</t>
  </si>
  <si>
    <t>CX4NE</t>
  </si>
  <si>
    <t>WOS:000365676800002</t>
  </si>
  <si>
    <t>Pandit, D</t>
  </si>
  <si>
    <t>Pandit, Dinesh</t>
  </si>
  <si>
    <t>Thermodynamic model for hydrothermal sulfide deposition in the paleoproterozoic granite ore system at Malanjkhand, India</t>
  </si>
  <si>
    <t>INDIAN JOURNAL OF GEO-MARINE SCIENCES</t>
  </si>
  <si>
    <t>Hydrothermal sulfide; Granite ore system; Thermodynamic; Oxygen fugacity; Sulfur fugacity</t>
  </si>
  <si>
    <t>COPPER-MOLYBDENUM MINERALIZATION; CU-FE-S; AU DEPOSIT; OXIDATION; PYRITE; MINERALS; FLUID; CONSTRAINTS; SOLUBILITY; EVOLUTION</t>
  </si>
  <si>
    <t>Malanjkhand fossil hydrothermal deposit is a Paleoproterozoic metallogeny associated with the Malanjkhand Granitoid represents an ideal granite ore system. It is formed by mixing of two distinct compositions of hydrothermal fluids in variable proportion derived from two different sources and results in the deposition of primary sulfide ores which comprises of chalcopyrite + pyrite +/- bomite. Primary sulfide ores alters to secondary sulfides (chalcocite + chovellite) and oxides (cuprite + tenorite) ores because of extensive hydrothermal activities. Occurrence of two distinct varieties of ore assemblages (primary and secondary ores) indicates broadly two stages of sulfide deposition. Thermodynamic modeling suggests that hydrothermal alteration brings change in the physico-chemical environment from reduced to oxidized zone in the Malanjkhand granite ore system. The primary sulfide ores occurs in reduction zone whereas secondary ores found in the oxidation zone which forms of a cap on the primary ores. Change in the physico-chemical environment caused change in the composition of the ore minerals which favors enrichment in Cu along with the depletion of Fe and S content.</t>
  </si>
  <si>
    <t>[Pandit, Dinesh] Banaras Hindu Univ, Ctr Adv Study, Dept Geol, Varanasi 221005, Uttar Pradesh, India; [Pandit, Dinesh] Natl Ctr Antarctic &amp; Ocean Res, Vasco Da Gama 403804, Goa, India</t>
  </si>
  <si>
    <t>Banaras Hindu University (BHU); Ministry of Earth Sciences (MoES) - India; National Centre for Polar and Ocean Research (NCPOR)</t>
  </si>
  <si>
    <t>Pandit, D (corresponding author), Banaras Hindu Univ, Ctr Adv Study, Dept Geol, Varanasi 221005, Uttar Pradesh, India.</t>
  </si>
  <si>
    <t>dpandit@hotmail.com</t>
  </si>
  <si>
    <t>Pandit, Dinesh/AAM-6990-2021</t>
  </si>
  <si>
    <t>Pandit, Dinesh/0000-0003-1722-6586</t>
  </si>
  <si>
    <t>Council of Scientific and Industrial Research (CISR), New Delhi</t>
  </si>
  <si>
    <t>Author is grateful to Director, National Centre for An Research, Goa for permission to Dr. S. Rajan, tarctic and Ocean publish this paper which contains some part of author's Ph. D. thesis. The Council of Scientific and Industrial Research (CISR), New Delhi is acknowledged for financial support in terms of research fellowship.</t>
  </si>
  <si>
    <t>NATL INST SCIENCE COMMUNICATION-NISCAIR</t>
  </si>
  <si>
    <t>NEW DELHI</t>
  </si>
  <si>
    <t>DR K S KRISHNAN MARG, PUSA CAMPUS, NEW DELHI 110 012, INDIA</t>
  </si>
  <si>
    <t>0379-5136</t>
  </si>
  <si>
    <t>0975-1033</t>
  </si>
  <si>
    <t>INDIAN J GEO-MAR SCI</t>
  </si>
  <si>
    <t>Indian J. Geo-Mar. Sci.</t>
  </si>
  <si>
    <t>NOV</t>
  </si>
  <si>
    <t>DR4QO</t>
  </si>
  <si>
    <t>WOS:000379887500005</t>
  </si>
  <si>
    <t>Lough, AC; Barcheck, CG; Wiens, DA; Nyblade, A; Anandakrishnan, S</t>
  </si>
  <si>
    <t>Lough, Amanda C.; Barcheck, C. Grace; Wiens, Douglas A.; Nyblade, Andrew; Anandakrishnan, Sridhar</t>
  </si>
  <si>
    <t>A previously unreported type of seismic source in the firn layer of the East Antarctic Ice Sheet</t>
  </si>
  <si>
    <t>JOURNAL OF GEOPHYSICAL RESEARCH-EARTH SURFACE</t>
  </si>
  <si>
    <t>STICK-SLIP MOTION; GLACIAL EARTHQUAKES; ALPINE GLACIER; MOUNT-RAINIER; ICEQUAKES; STREAM; GREENLAND; GORNERGLETSCHER; SWITZERLAND; SNOW</t>
  </si>
  <si>
    <t>We identify a unique type of seismic source in the uppermost part of the East Antarctic Ice Sheet recorded by temporary broadband seismic arrays in East Antarctica. These sources, termed firnquakes, are characterized by dispersed surface wave trains with frequencies of 1-10 Hz detectable at distances up to 1000 km. Events show strong dispersed Rayleigh wave trains and an absence of observable body wave arrivals; most events also show weaker Love waves. Initial events were discovered by standard detection schemes; additional events were then detected with a correlation scanner using the initial arrivals as templates. We locate sources by determining the L2 misfit for a grid of potential source locations using Rayleigh wave arrival times and polarization directions. We then perform a multiple-filter analysis to calculate the Rayleigh wave group velocity dispersion and invert the group velocity for shear velocity structure. The resulting velocity structure is used as an input model to calculate synthetic seismograms. Inverting the dispersion curves yields ice velocity structures consistent with a low-velocity firn layer similar to 100m thick and show that velocity structure is laterally variable. The absence of observable body wave phases and the relative amplitudes of Rayleigh waves and noise constrain the source depth to be less than 20m. The presence of Love waves for most events suggests the source is not isotropic. We propose the events are linked to the formation of small crevasses in the firn, and several events correlate with shallow crevasse fields mapped in satellite imagery.</t>
  </si>
  <si>
    <t>[Lough, Amanda C.; Barcheck, C. Grace; Wiens, Douglas A.] Washington Univ, Dept Earth &amp; Planetary Sci, St Louis, MO 63130 USA; [Nyblade, Andrew; Anandakrishnan, Sridhar] Penn State Univ, Dept Geosci, University Pk, PA 16802 USA</t>
  </si>
  <si>
    <t>Washington University (WUSTL); Pennsylvania Commonwealth System of Higher Education (PCSHE); Pennsylvania State University; Pennsylvania State University - University Park</t>
  </si>
  <si>
    <t>Lough, AC (corresponding author), Carnegie Inst Sci, Dept Terr Magnetism, Washington, DE USA.</t>
  </si>
  <si>
    <t>alough@dtm.ciw.edu</t>
  </si>
  <si>
    <t>Anandakrishnan, Sridhar/JCN-5026-2023; Wiens, Douglas/J-9259-2016</t>
  </si>
  <si>
    <t>Wiens, Douglas/0000-0002-5169-4386</t>
  </si>
  <si>
    <t>National Science Foundation [ANT-0537597, ANT-0838934, PLR-1246712]</t>
  </si>
  <si>
    <t>Data used in this study were collected as part of the GAMSEIS and TAMSEIS deployments and is available via the IRIS data management center (http://ds.iris.edu/ds/nodes/dmc). We would like to thank all members of the GAMSEIS and TAMSEIS field teams who collected the data used here as well as the IRIS data management center for maintaining the archived data. Instruments for both experiments were provided by IRIS/PASSCAL instrument center in Socorro, NM. We also want to thank Dan Bartz and Zihe Zhang for their work on initial identification of potential events. This work has been supported by National Science Foundation grants ANT-0537597, ANT-0838934, and PLR-1246712.</t>
  </si>
  <si>
    <t>2169-9003</t>
  </si>
  <si>
    <t>2169-9011</t>
  </si>
  <si>
    <t>J GEOPHYS RES-EARTH</t>
  </si>
  <si>
    <t>J. Geophys. Res.-Earth Surf.</t>
  </si>
  <si>
    <t>10.1002/2015JF003658</t>
  </si>
  <si>
    <t>DD5EB</t>
  </si>
  <si>
    <t>WOS:000369944300001</t>
  </si>
  <si>
    <t>Liu, TT; Wang, ZM; Huang, X; Cao, LQ; Niu, MY; Tian, ZX</t>
  </si>
  <si>
    <t>Liu, Tingting; Wang, Zemin; Huang, Xin; Cao, Liqin; Niu, Muye; Tian, Zhongxiang</t>
  </si>
  <si>
    <t>An Effective Antarctic Ice Surface Temperature Retrieval Method for MODIS</t>
  </si>
  <si>
    <t>PHOTOGRAMMETRIC ENGINEERING AND REMOTE SENSING</t>
  </si>
  <si>
    <t>SPLIT-WINDOW ALGORITHM; WATER-VAPOR; CLOUD DETECTION; LAND; SATELLITE; GREENLAND; SNOW; EMISSIVITY; MELT; CLIMATE</t>
  </si>
  <si>
    <t>Given the close relationship between surface melt in polar areas and ice surface temperature (IST), it is important to develop an effective IST retrieval method. However, the studies concerning this topic are relatively limited. In this context, this paper proposes an effective approach to retrieve IST in the Antarctic area by presenting a modified split-window algorithm (SWA) and introducing a polynomial fitting for atmospheric transmittance simulation. The effectiveness was quantitatively validated by a comparative study with a Moderate Resolution Imaging Spectroradiometer (MODIS) IST product (MOD29) and automatic weather station (AWS) data. The comparisons indicated that the proposed method shows a robust performance in Antarctic IST retrieval for MODIS data: the bias was -0.61 K and the root-mean-square error (RMSE) was 1.32 K for the Zhongshan Station data set; the bias was -1.62 K and the RMSE was 2.34 K for the Ross Ice Shelf data set.</t>
  </si>
  <si>
    <t>[Liu, Tingting; Wang, Zemin; Niu, Muye] Wuhan Univ, Chinese Antarctic Ctr Surveying &amp; Mapping, 129 Luoyu Rd, Wuhan 430072, Peoples R China; [Huang, Xin] Wuhan Univ, State Key Lab Informat Engn Surveying Mapping &amp; R, Wuhan 430072, Peoples R China; [Cao, Liqin] Wuhan Univ, Sch Printing &amp; Packaging, Wuhan 430072, Peoples R China; [Tian, Zhongxiang] Natl Marine Environm Forecasting Ctr, 8 Dahuisi Rd, Beijing, Peoples R China</t>
  </si>
  <si>
    <t>Wuhan University; Wuhan University; Wuhan University; National Marine Environmental Forecasting Center</t>
  </si>
  <si>
    <t>Liu, TT (corresponding author), Wuhan Univ, Chinese Antarctic Ctr Surveying &amp; Mapping, 129 Luoyu Rd, Wuhan 430072, Peoples R China.</t>
  </si>
  <si>
    <t>zmwang@whu.edu.cn</t>
  </si>
  <si>
    <t>ZeMin, Wang/AAU-3422-2020; Liu, Tingting/HCH-2239-2022; Huang, Xin/C-8355-2014</t>
  </si>
  <si>
    <t>Huang, Xin/0000-0002-5625-0338</t>
  </si>
  <si>
    <t>National Natural Science Foundation of China [41206177, 91338111]; National High Technology Research and Development Program of China (863 Program) [2012AA12A304, 2013AA12A301]; Fundamental Research Funds for the Central Universities [2042014kf0293]</t>
  </si>
  <si>
    <t>National Natural Science Foundation of China(National Natural Science Foundation of China (NSFC)); National High Technology Research and Development Program of China (863 Program)(National High Technology Research and Development Program of China); Fundamental Research Funds for the Central Universities(Fundamental Research Funds for the Central Universities)</t>
  </si>
  <si>
    <t>This research was supported by the projects: the National Natural Science Foundation of China (41206177 and 91338111); the National High Technology Research and Development Program of China (863 Program) (2012AA12A304, 2013AA12A301); and the Fundamental Research Funds for the Central Universities (2042014kf0293).</t>
  </si>
  <si>
    <t>AMER SOC PHOTOGRAMMETRY</t>
  </si>
  <si>
    <t>BETHESDA</t>
  </si>
  <si>
    <t>5410 GROSVENOR LANE SUITE 210, BETHESDA, MD 20814-2160 USA</t>
  </si>
  <si>
    <t>0099-1112</t>
  </si>
  <si>
    <t>2374-8079</t>
  </si>
  <si>
    <t>PHOTOGRAMM ENG REM S</t>
  </si>
  <si>
    <t>Photogramm. Eng. Remote Sens.</t>
  </si>
  <si>
    <t>10.14358/PERS.81.11.861</t>
  </si>
  <si>
    <t>DD2UU</t>
  </si>
  <si>
    <t>WOS:000369778500006</t>
  </si>
  <si>
    <t>Fripiat, F; Elskens, M; Trull, TW; Blain, S; Cavagna, AJ; Fernandez, C; Fonseca-Batista, D; Planchon, F; Raimbault, P; Roukaerts, A; Dehairs, F</t>
  </si>
  <si>
    <t>Fripiat, F.; Elskens, M.; Trull, T. W.; Blain, S.; Cavagna, A. -J.; Fernandez, C.; Fonseca-Batista, D.; Planchon, F.; Raimbault, P.; Roukaerts, A.; Dehairs, F.</t>
  </si>
  <si>
    <t>Significant mixed layer nitrification in a natural iron-fertilized bloom of the Southern Ocean</t>
  </si>
  <si>
    <t>GLOBAL BIOGEOCHEMICAL CYCLES</t>
  </si>
  <si>
    <t>OXYGEN ISOTOPIC COMPOSITION; NITROUS-OXIDE PRODUCTION; KERGUELEN PLATEAU; PHYTOPLANKTON BLOOM; ORGANIC-CARBON; STABLE-ISOTOPES; BIOGENIC SILICA; NITRATE; RATES; FRACTIONATION</t>
  </si>
  <si>
    <t>Nitrification, the microbially mediated oxidation of ammonium into nitrate, is generally expected to be low in the Southern Ocean mixed layer. This paradigm assumes that nitrate is mainly provided through vertical mixing and assimilated during the vegetative season, supporting the concept that nitrate uptake is equivalent to the new primary production (i.e., primary production which is potentially available for export). Here we show that nitrification is significant (similar to 40-80% of the seasonal nitrate uptake) in the naturally iron-fertilized bloom over the southeast Kerguelen Plateau. Hence, a large fraction of the nitrate-based primary production is regenerated, instead of being exported. It appears that nitrate assimilation (light dependent) and nitrification (partly light inhibited) are spatially separated between the upper and lower parts, respectively, of the deep surface mixed layers. These deep mixed layers, extending well below the euphotic layer, allow nitrifiers to compete with phytoplankton for the assimilation of ammonium. The high contributions of nitrification to nitrate uptake are in agreement with both low export efficiency (i.e., the percentage of primary production that is exported) and low seasonal nitrate drawdown despite high nitrate assimilation.</t>
  </si>
  <si>
    <t>[Fripiat, F.; Elskens, M.; Cavagna, A. -J.; Fonseca-Batista, D.; Roukaerts, A.; Dehairs, F.] Vrije Univ Brussel, Earth Sci Res Grp, Analyt Environm &amp; Geochem, Brussels, Belgium; [Trull, T. W.] Univ Tasmania, Antarctic Climate &amp; Ecosyst Cooperat Res Ctr, Hobart, Tas, Australia; [Trull, T. W.] CSIRO Oceans &amp; Atmosphere Flagship, Hobart, Tas, Australia; [Blain, S.; Fernandez, C.] Univ Paris 06, Sorbonne Univ, CNRS, Lab Oceanog Microbienne,Observ Oceanol, Banyuls Sur Mer, France; [Planchon, F.] Inst Europeen Mer, Lab Sci Environm Marin, Plouzane, France; [Raimbault, P.] Aix Marseille Univ, CNRS INSU, IRD, Mediterranean Inst Oceanog UMR 7294, Marseille, France</t>
  </si>
  <si>
    <t>Vrije Universiteit Brussel; University of Tasmania; Antarctic Climate &amp; Ecosystems Cooperative Research Centre (ACE CRC); Commonwealth Scientific &amp; Industrial Research Organisation (CSIRO); Sorbonne Universite; Centre National de la Recherche Scientifique (CNRS); Centre National de la Recherche Scientifique (CNRS); Ifremer; Institut de Recherche pour le Developpement (IRD); Universite de Bretagne Occidentale; Institut Universitaire Europeen de la Mer (IUEM); Aix-Marseille Universite; Institut de Recherche pour le Developpement (IRD); Centre National de la Recherche Scientifique (CNRS); CNRS - National Institute for Earth Sciences &amp; Astronomy (INSU)</t>
  </si>
  <si>
    <t>Fripiat, F (corresponding author), Vrije Univ Brussel, Earth Sci Res Grp, Analyt Environm &amp; Geochem, Brussels, Belgium.</t>
  </si>
  <si>
    <t>ffripiat@vub.ac.be</t>
  </si>
  <si>
    <t>Frederic, Planchon A.M./A-8651-2010; Fripiat, François/ABB-8918-2021; blain, stephane/F-6917-2010</t>
  </si>
  <si>
    <t>Fripiat, Francois/0000-0002-2591-6301; /0000-0002-8492-5881; blain, stephane/0000-0002-5234-2446; Planchon, Frederic/0000-0003-1288-9698; Fonseca Pereira Batista, Debany/0000-0002-0785-5269; Elskens, Marc/0000-0002-8862-9422; Roukaerts, Arnout/0000-0002-3939-7119</t>
  </si>
  <si>
    <t>Belgian Science Policy [SD/CA/05A]; Flanders Research Foundation (FWO) [G071512N]; Vrije Universiteit Brussel (Strategic Research Plan); Antarctic Climate and Ecosystem Cooperative Research Center</t>
  </si>
  <si>
    <t>Belgian Science Policy(Belgian Federal Science Policy Office); Flanders Research Foundation (FWO)(FWO); Vrije Universiteit Brussel (Strategic Research Plan); Antarctic Climate and Ecosystem Cooperative Research Center</t>
  </si>
  <si>
    <t>Data are available as in the data repositories of both KEOPS 1 (http://www.obs-vlfr.fr/proof/vt/op/ec/keops/keo.htm) and KEOPS 2 (http://www.obs-vlfr.fr/proof/php/keops2/x_datalist_1.php?xxop=keops2&amp;xxcamp=keops2). We thank the Captain and the crew of Marion-Dufresne as well as KEOPS 1 and 2 chief scientists B. Queguiner and S. Blain for their assistance and help during the cruises. We are grateful to the Institut Paul Emile Victor for having granted us access to the Marion-Dufresne. The research was conducted with grants from (Belgian Science Policy, grant SD/CA/05A), Flanders Research Foundation (FWO; grant G071512N); Vrije Universiteit Brussel (Strategic Research Plan); and the Antarctic Climate and Ecosystem Cooperative Research Center. F. Fripiat is currently a postdoctoral fellow at FWO, Flanders Research Foundation. The interpretation of the data was greatly aided by expertise F. Fripiat learned during his time in the Sigman laboratory at Princeton University.</t>
  </si>
  <si>
    <t>0886-6236</t>
  </si>
  <si>
    <t>1944-9224</t>
  </si>
  <si>
    <t>GLOBAL BIOGEOCHEM CY</t>
  </si>
  <si>
    <t>Glob. Biogeochem. Cycle</t>
  </si>
  <si>
    <t>10.1002/2014GB005051</t>
  </si>
  <si>
    <t>Environmental Sciences; Geosciences, Multidisciplinary; Meteorology &amp; Atmospheric Sciences</t>
  </si>
  <si>
    <t>Environmental Sciences &amp; Ecology; Geology; Meteorology &amp; Atmospheric Sciences</t>
  </si>
  <si>
    <t>DC0LA</t>
  </si>
  <si>
    <t>Green Accepted, Green Published, Green Submitted, Bronze</t>
  </si>
  <si>
    <t>WOS:000368907500005</t>
  </si>
  <si>
    <t>Wang, SL; Elliott, S; Maltrud, M; Cameron-Smith, P</t>
  </si>
  <si>
    <t>Wang, Shanlin; Elliott, Scott; Maltrud, Mathew; Cameron-Smith, Philip</t>
  </si>
  <si>
    <t>Influence of explicit Phaeocystis parameterizations on the global distribution of marine dimethyl sulfide</t>
  </si>
  <si>
    <t>JOURNAL OF GEOPHYSICAL RESEARCH-BIOGEOSCIENCES</t>
  </si>
  <si>
    <t>2nd International Conference on Arctic Research Planning</t>
  </si>
  <si>
    <t>NOV 10-12, 2005</t>
  </si>
  <si>
    <t>ATMOSPHERIC CARBONYL SULFIDE; CLOUD CONDENSATION NUCLEI; EMILIANIA-HUXLEYI; OCEANIC PHYTOPLANKTON; SULFUR EMISSIONS; ARCTIC-OCEAN; ROSS SEA; ECOSYSTEM MODEL; PACIFIC-OCEAN; GAS-EXCHANGE</t>
  </si>
  <si>
    <t>Dimethyl sulfide (DMS) is a biogenic organosulfur compound which contributes strongly to marine aerosol mass and the determination of cloud condensation nuclei over the remote oceans. Since uncertainties in DMS flux to the atmosphere lead to large variations in climate forcing, the global DMS distribution has been the subject of increasingly complex dynamic simulations. DMS concentrations are directly controlled by marine ecosystems. Phaeocystis is a major DMS producer but is often omitted from global reduced sulfur mechanisms. Here we incorporate this phytoplankton group into the marine ecosystem-biogeochemical module of the Community Earth System Model. To examine its role in the ocean sulfur cycle, an earlier DMS model has been enhanced to include new knowledge gained over the last few years. Results from the baseline run show that simulated Phaeocystis biomass generally agrees with observations, with high concentrations near the Antarctic continent and between 50 degrees and 60 degrees north. Given the new explicit Phaeocystis representation, the DMS distribution shows significant improvements, especially regarding the amplitude and location of high-latitude peaks. The simulated global mean surface DMS value is 2.26 nM, comparable to an estimate of 2.34 nM from the latest climatology extrapolated based on observations. The total oceanic DMS source to the atmosphere is 20.4 Tg S/yr, on the low side of previous estimates. Comparisons with and without Phaeocystis show that the group dominates DMS distributions in temperate and cold waters, contributing 13% of the global flux. The proportion may increase as sea ice declines and should be considered in climate projections.</t>
  </si>
  <si>
    <t>[Wang, Shanlin; Elliott, Scott; Maltrud, Mathew] Los Alamos Natl Lab, Climate Ocean &amp; Sea Ice Modeling Grp, Los Alamos, NM USA; [Cameron-Smith, Philip] Lawrence Livermore Natl Lab, Atmospher Earth &amp; Energy Div, Livermore, CA USA</t>
  </si>
  <si>
    <t>United States Department of Energy (DOE); Los Alamos National Laboratory; United States Department of Energy (DOE); Lawrence Livermore National Laboratory</t>
  </si>
  <si>
    <t>Wang, SL (corresponding author), Los Alamos Natl Lab, Climate Ocean &amp; Sea Ice Modeling Grp, Los Alamos, NM USA.</t>
  </si>
  <si>
    <t>shanlinw@lanl.gov</t>
  </si>
  <si>
    <t>Cameron-Smith, Philip/E-2468-2011; Wang, Shanlin/A-2576-2017</t>
  </si>
  <si>
    <t>Cameron-Smith, Philip/0000-0002-8802-8627; Wang, Shanlin/0000-0002-7677-4745</t>
  </si>
  <si>
    <t>U.S. Department of Energy Office of Biological and Environmental Research (DOE OBER); U.S. Department of Energy by Lawrence Livermore National Laboratory [DE-AC52-07NA27344]; National Science Foundation</t>
  </si>
  <si>
    <t>U.S. Department of Energy Office of Biological and Environmental Research (DOE OBER)(United States Department of Energy (DOE)); U.S. Department of Energy by Lawrence Livermore National Laboratory(United States Department of Energy (DOE)); National Science Foundation(National Science Foundation (NSF))</t>
  </si>
  <si>
    <t>We thank Vogt and coworkers for their compilation of the Phaeocystis biomass shown in Figure 2 (available at http://doi.pangaea.de/10.1594/PANGAEA.779101). We also thank Lana and coworkers for the DMS concentration climatology products (available at http://www.bodc.ac.uk/solas_integration). This research has been supported by several grants from the U.S. Department of Energy Office of Biological and Environmental Research (DOE OBER). These include a Regional and Global Climate Modeling Science Focus Area project (RGCM SFA) administered by COSIM (Climate Ocean Sea Ice Modeling) at Los Alamos National Laboratory and the SciDAC (Scientific Discovery through Advanced Computing) study ACES4BGC (Applying Computationally Efficient Schemes for Biogeochemical Cycles). The work by P. Cameron-Smith was performed under the auspices of the U.S. Department of Energy by Lawrence Livermore National Laboratory under contract DE-AC52-07NA27344. Computational facilities for some of this work have been provided by the Climate Simulation Laboratory, which is managed by Computational and Information Systems Laboratory at NCAR. NCAR is sponsored by the National Science Foundation. Additional computational facilities were provided by Institutional Computing resources at Los Alamos National Laboratory.</t>
  </si>
  <si>
    <t>2169-8953</t>
  </si>
  <si>
    <t>2169-8961</t>
  </si>
  <si>
    <t>J GEOPHYS RES-BIOGEO</t>
  </si>
  <si>
    <t>J. Geophys. Res.-Biogeosci.</t>
  </si>
  <si>
    <t>10.1002/2015JG003017</t>
  </si>
  <si>
    <t>Environmental Sciences; Geosciences, Multidisciplinary</t>
  </si>
  <si>
    <t>DC0LM</t>
  </si>
  <si>
    <t>WOS:000368908700004</t>
  </si>
  <si>
    <t>Emery, TJ; Tisdell, J; Green, BS; Hartmann, K; Gardner, C; León, R</t>
  </si>
  <si>
    <t>Emery, Timothy J.; Tisdell, John; Green, Bridget S.; Hartmann, Klaas; Gardner, Caleb; Leon, Rafael</t>
  </si>
  <si>
    <t>Experimental analysis of the use of fishery closures and cooperatives to reduce economic rent dissipation caused by assignment problems</t>
  </si>
  <si>
    <t>behaviour; cooperatives; experimental economics; fisheries management; fishery closures; ITQ; quota</t>
  </si>
  <si>
    <t>INDIVIDUAL TRANSFERABLE QUOTAS; LONGITUDINAL DATA-ANALYSIS; MAINE LOBSTER; SOCIAL PREFERENCES; MANAGEMENT; BEHAVIOR; TRAGEDY; RESOURCE; MODEL; INDICATORS</t>
  </si>
  <si>
    <t>Assignment problems in quota-managed fisheries are caused by spatial and temporal heterogeneity in the productivity of the stock. If the quota management system is not fully delineated (e.g. harvest rights assigned to particular areas) then fishers will compete with each other and overexploit parts of the fishery where or when the quota unit value is highest (i.e. fishing costs low and/or market price high), leading to economic rent dissipation. This study used experimental economics to assess the effectiveness of fishery temporal closures and income-sharing fishery cooperatives in resolving assignment problems across three different fisheries with varying levels of fisher heterogeneity (i.e. numbers of quota owners and lease quota fishers). While most fisheries were successful in reducing economic rent dissipation under the fishery closure management structure relative to their baseline(s), fisheries characterized by a greater number of lease quota fishers were less effective. This was due to the differential values that lease quota fishers place on the resource relative to quota owners, due to having insecurity of tenure and diminished wealth in having to bid for a quota package and pay for it using their revenue from fishing. Conversely, income-sharing fishery cooperatives were equally successful across all three fisheries in reducing assignment problems relative to their baseline(s). This was because income-sharing created an incentive to coordinate fishing effort, particularly among heterogeneous groups. While requiring further exposition in the field, these experimental results represent a first step in identifying management institutions that may assist fishers under quota management to resolve assignment problems in a dynamic environment.</t>
  </si>
  <si>
    <t>[Emery, Timothy J.; Green, Bridget S.; Hartmann, Klaas; Gardner, Caleb; Leon, Rafael] Univ Tasmania, Inst Marine &amp; Antarctic Studies, Hobart, Tas 7001, Australia; [Tisdell, John] Univ Tasmania, Sch Econ &amp; Finance, Hobart, Tas 7001, Australia</t>
  </si>
  <si>
    <t>Emery, TJ (corresponding author), Univ Tasmania, Inst Marine &amp; Antarctic Studies, Private Bag 49, Hobart, Tas 7001, Australia.</t>
  </si>
  <si>
    <t>timothy.emery@utas.edu.au</t>
  </si>
  <si>
    <t>Green, Bridget S/G-3368-2014; León, Rafael I/N-6510-2014; Hartmann, Klaas/B-3991-2008; Gardner, Caleb/I-7086-2013</t>
  </si>
  <si>
    <t>Emery, Timothy/0000-0002-4203-671X; Gardner, Caleb/0000-0003-0324-4337</t>
  </si>
  <si>
    <t>University of Tasmania; Australian Seafood Cooperative Research Centre</t>
  </si>
  <si>
    <t>University of Tasmania; Australian Seafood Cooperative Research Centre(Australian GovernmentDepartment of Industry, Innovation and ScienceCooperative Research Centres (CRC) Programme)</t>
  </si>
  <si>
    <t>This research was funded through postgraduate scholarships from the University of Tasmania and the Australian Seafood Cooperative Research Centre. The authors would like to thank Angus Scheibner for providing technical assistance during experimental sessions.</t>
  </si>
  <si>
    <t>NOV-DEC</t>
  </si>
  <si>
    <t>10.1093/icesjms/fsv148</t>
  </si>
  <si>
    <t>DB1FF</t>
  </si>
  <si>
    <t>WOS:000368252700013</t>
  </si>
  <si>
    <t>Oliver, ECJ; O'Kane, TJ; Holbrook, NJ</t>
  </si>
  <si>
    <t>Oliver, Eric C. J.; O'Kane, Terence J.; Holbrook, Neil J.</t>
  </si>
  <si>
    <t>Projected changes to Tasman Sea eddies in a future climate</t>
  </si>
  <si>
    <t>EAST AUSTRALIAN CURRENT; SOUTHERN-OCEAN RESPONSE; TUNA THUNNUS-ALBACARES; MESOSCALE EDDIES; VARIABILITY; SEPARATION; ANATOMY; SYSTEM; ENERGY</t>
  </si>
  <si>
    <t>The Tasman Sea is a hot spot of ocean warming, that is linked to the increased poleward influence of the East Australian Current (EAC) over recent decades. Specifically, the EAC produces mesoscale eddies which have significant impacts on the physical, chemical, and biological properties of the Tasman Sea. To effectively consider and explain potential eddy changes in the next 50 years, we use high-resolution dynamically downscaled climate change simulations to characterize the projected future marine climate and mesoscale eddies in the Tasman Sea through the 2060s. We assess changes in the marine climate and the eddy field using bulk statistics and by detecting and tracking individual eddies. We find that the eddy kinetic energy is projected to increase along southeast Australia. In addition, we find that eddies in the projected future climate are composed of a higher proportion of anticyclonic eddies in this region and that these eddies are longer lived and more stable. This amounts to nearly a doubling of eddy-related southward temperature transport in the upper 200 m of the Tasman Sea. These changes are concurrent with increases in baroclinic and barotropic instabilities focused around the EAC separation point. This poleward transport and increase in eddy activity would be expected to also increase the frequency of sudden warming events, including ocean temperature extremes, with potential impacts on marine fisheries, aquaculture, and biodiversity off Tasmania's east coast, through direct warming or competition/predation from invasive migrating species.</t>
  </si>
  <si>
    <t>[Oliver, Eric C. J.; Holbrook, Neil J.] Univ Tasmania, Inst Marine &amp; Antarctic Studies, Hobart, Tas, Australia; [Oliver, Eric C. J.; Holbrook, Neil J.] Australian Res Council, Ctr Excellence Climate Syst Sci, Hobart, Tas, Australia; [O'Kane, Terence J.] CSIRO Oceans &amp; Atmosphere, Hobart, Tas, Australia</t>
  </si>
  <si>
    <t>Oliver, ECJ (corresponding author), Univ Tasmania, Inst Marine &amp; Antarctic Studies, Hobart, Tas, Australia.</t>
  </si>
  <si>
    <t>O'Kane, Terence J/B-1655-2009; O'Kane, Terence/AAV-1123-2021; Oliver, Eric/G-5118-2014; Holbrook, Neil/M-7544-2013</t>
  </si>
  <si>
    <t>O'Kane, Terence J/0000-0002-2137-5915; O'Kane, Terence/0000-0002-2137-5915; Oliver, Eric/0000-0002-4006-2826; Holbrook, Neil/0000-0002-3523-6254</t>
  </si>
  <si>
    <t>Australian Research Council (ARC) [FS110200029]; ARC Centre of Excellence for Climate System Science [CE110001028]; ARC Future Fellowship [FT120100008]; Australian Research Council [FS110200029, FT120100008] Funding Source: Australian Research Council</t>
  </si>
  <si>
    <t>Australian Research Council (ARC)(Australian Research Council); ARC Centre of Excellence for Climate System Science(Australian Research Council); ARC Future Fellowship(Australian Research Council); Australian Research Council(Australian Research Council)</t>
  </si>
  <si>
    <t>E.C.J.O. and N.J.H. would like to acknowledge funding from the Australian Research Council (ARC) Super Science Fellowship (grant FS110200029) and the ARC Centre of Excellence for Climate System Science (grant CE110001028); T.J.O. would like to acknowledge funding for his ARC Future Fellowship (grant FT120100008). The authors would like to acknowledge Richard Matear and Matthew Chamberlain of CSIRO Marine and Atmospheric Research (Hobart, Australia) for helpful discussions and for providing the OFAM model output; the authors would also like to acknowledge Andrew Kiss of the University of New South Wales, Australian Defence Force Academy for helpful discussions. Finally, the authors would like to acknowledge the valuable comments from two anonymous reviewers, who helped to substantially improve the manuscript. The OFAM downscaling model was supported by the Western Australian Marine Science Institution (WAMSI) I Node 2 Climate processes, predictability and impacts in a warming Indian Ocean. This paper makes a contribution to the objectives of the ARC Centre of Excellence for Climate System Science and the CLIVAR-endorsed Southwest Pacific Ocean Circulation and Climate Experiment (SPICE). E.C.J.O. would also like to acknowledge the ARCCSS 2014 Scientific Paper Writing Workshop by Peter Rothlisberg (CSIRO), including discussions with Byju Pakkandy (Monash University) and Ailie Gallant (Monash University), which helped to improve and finish this paper. All data used in the development of the manuscript were generated from the model data described by Chamberlain et al. [2012]; computer code for eddy detection, tracking, and calculating eddy properties is publicly available online (https://github.com/ecjoliver/eddyTracking).</t>
  </si>
  <si>
    <t>10.1002/2015JC010993</t>
  </si>
  <si>
    <t>DA3GZ</t>
  </si>
  <si>
    <t>WOS:000367686500002</t>
  </si>
  <si>
    <t>Brunnabend, SE; Schröter, J; Rietbroek, R; Kusche, J</t>
  </si>
  <si>
    <t>Brunnabend, S. -E.; Schroeter, J.; Rietbroek, R.; Kusche, J.</t>
  </si>
  <si>
    <t>Regional sea level change in response to ice mass loss in Greenland, the West Antarctic and Alaska</t>
  </si>
  <si>
    <t>OCEAN MODEL; GLACIERS; RISE; CIRCULATION; BALANCE; SHEET; ADJUSTMENT; TRENDS; IMPACT</t>
  </si>
  <si>
    <t>Besides the warming of the ocean, sea level is mainly rising due to land ice mass loss of the major ice sheets in Greenland, the West Antarctic, and the Alaskan Glaciers. However, it is not clear yet how these land ice mass losses influence regional sea level. Here, we use the global Finite Element Sea-ice Ocean Model (FESOM) to simulate sea surface height (SSH) changes caused by these ice mass losses and combine it with the passive ocean response to varying surface loading using the sea level equation. We prescribe rates of fresh water inflow, not only around Greenland, but also around the West Antarctic Ice Sheet and the mountain glaciers in Alaska with approximately present-day amplitudes of 200, 100, and 50 Gt/yr, respectively. Perturbations in sea level and in freshwater distribution with respect to a reference simulation are computed for each source separately and in their combination. The ocean mass change shows an almost globally uniform behavior. In the North Atlantic and Arctic Ocean, mass is redistributed toward coastal regions. Steric sea level change varies locally in the order of several centimeters on advective time-scales of decades. Steric effects to local sea level differ significantly in different coastal locations, e.g., at North American coastal regions the steric effects may have the same order of magnitude as the mass driven effect, whereas at the European coast, steric effects remain small during the simulation period.</t>
  </si>
  <si>
    <t>[Brunnabend, S. -E.; Schroeter, J.] Helmholtz Zentrum Polar &amp; Meeresforsch, Alfred Wegener Inst, Climate Sci Dept, Div Climate Dynam, Bremerhaven, Germany; [Brunnabend, S. -E.; Rietbroek, R.; Kusche, J.] Univ Bonn, Inst Geodesy &amp; Geoinformat, Dept APMG, Bonn, Germany</t>
  </si>
  <si>
    <t>Helmholtz Association; Alfred Wegener Institute, Helmholtz Centre for Polar &amp; Marine Research; University of Bonn</t>
  </si>
  <si>
    <t>Brunnabend, SE (corresponding author), Helmholtz Zentrum Polar &amp; Meeresforsch, Alfred Wegener Inst, Climate Sci Dept, Div Climate Dynam, Bremerhaven, Germany.</t>
  </si>
  <si>
    <t>brunnabend@geod.uni-bonn.de</t>
  </si>
  <si>
    <t>Rietbroek, Roelof/AAE-8820-2020; Schröter, Jens G/H-8806-2016; Kusche, Jurgen/E-9805-2014</t>
  </si>
  <si>
    <t>Rietbroek, Roelof/0000-0001-5276-5943; Schröter, Jens G/0000-0002-9240-5798; Kusche, Jurgen/0000-0001-7069-021X; Brunnabend, Sandra-Esther/0000-0001-7837-5820</t>
  </si>
  <si>
    <t>German Research Foundation (DFG) within the Special Priority Program [KU 1207/9-1, SCHR779/6-1, SPP 1257]</t>
  </si>
  <si>
    <t>German Research Foundation (DFG) within the Special Priority Program(German Research Foundation (DFG))</t>
  </si>
  <si>
    <t>The authors acknowledge support provided by the German Research Foundation (DFG) under grants KU 1207/9-1 and SCHR779/6-1 within the Special Priority Program SPP 1257 Mass Transport and Mass Distribution in the System Earth. We would like to thank the NOAA Climate Diagnostics Center, Boulder, for providing the NCEP/NCAR reanalyzes online at http://www.cdc.noaa.gov. In addition, we would like to thank Robert Dill for providing river runoff from the LSDM model. We thank Dmitry Sidorenko for providing the script to compute the AMOC.</t>
  </si>
  <si>
    <t>10.1002/2015JC011244</t>
  </si>
  <si>
    <t>WOS:000367686500013</t>
  </si>
  <si>
    <t>Carns, RC; Brandt, RE; Warren, SG</t>
  </si>
  <si>
    <t>Carns, Regina C.; Brandt, Richard E.; Warren, Stephen G.</t>
  </si>
  <si>
    <t>Salt precipitation in sea ice and its effect on albedo, with application to Snowball Earth</t>
  </si>
  <si>
    <t>OPTICAL-PROPERTIES; TEMPERATURE; MICROSTRUCTURE; SALINITY; CLIMATE; SIMULATIONS; ABSORPTION; PROFILE; GROWTH; MODEL</t>
  </si>
  <si>
    <t>During the initial freezing of the tropical ocean on Snowball Earth, the first ice to form would be sea ice, which contains salt within inclusions of liquid brine. At temperatures below -23 degrees C, significant amounts of the salt begin to crystallize, with the most abundant salt being hydrohalite (NaCl center dot 2H(2)O). These crystals scatter light, increasing the ice albedo. In this paper, we present field measurements of the albedo of cold sea ice and laboratory measurements of hydrohalite precipitation. Precipitation of salt within brine inclusions was observed on windswept bare ice of McMurdo Sound at the coast of Antarctica (78 degrees S) in early austral spring. Salinity and temperature were measured in ice cores. Spectral albedo was measured on several occasions during September and October. The albedo showed a gradual increase with decreasing temperature, consistent with salt precipitation. Laboratory examination of thin sections from the ice cores showed that the precipitation process exhibits hysteresis, with hydrohalite precipitating over a range of temperatures between -28 degrees C and -35 degrees C but dissolving at about -23 degrees C. The causes of the hysteresis were investigated in experiments on laboratory-grown sea ice with different solute mixtures. All mixtures showed hysteresis, suggesting that it may be an inherent property of hydrohalite precipitation within brine inclusions rather than being due to biological macromolecules or interactions between various salts in seawater.</t>
  </si>
  <si>
    <t>[Carns, Regina C.; Warren, Stephen G.] Univ Washington, Dept Earth &amp; Space Sci, Seattle, WA 98195 USA; [Carns, Regina C.; Warren, Stephen G.] Univ Washington, Astrobiol Program, Seattle, WA 98195 USA; [Brandt, Richard E.] SUNY Albany, Atmospher Sci Res Ctr, Wilmington, NY USA</t>
  </si>
  <si>
    <t>University of Washington; University of Washington Seattle; University of Washington; University of Washington Seattle; State University of New York (SUNY) System; State University of New York (SUNY) Albany</t>
  </si>
  <si>
    <t>Carns, RC (corresponding author), Univ Washington, Dept Earth &amp; Space Sci, Seattle, WA 98195 USA.</t>
  </si>
  <si>
    <t>rcarns@uw.edu</t>
  </si>
  <si>
    <t>NSF [ANT-07-39779, ANT-11-42963]; Office of Polar Programs (OPP); Directorate For Geosciences [1142963] Funding Source: National Science Foundation</t>
  </si>
  <si>
    <t>NSF(National Science Foundation (NSF)); Office of Polar Programs (OPP); Directorate For Geosciences(National Science Foundation (NSF)NSF - Directorate for Geosciences (GEO))</t>
  </si>
  <si>
    <t>This research was supported by NSF grants ANT-07-39779 and ANT-11-42963. We thank the staff of McMurdo Station for their assistance in supporting our field campaign. We also thank Andrew Mahoney and Alex Gough (New Zealand Antarctic Programme) for their winter observations of McMurdo sea ice and assistance with preparing thin sections using their microtome at Scott Base. We acknowledge Hajo Eicken and Bonnie Light for helpful discussion. Helpful comments on the manuscript were provided by Jody Deming, Bonnie Light, and two anonymous reviewers. The data used to generate the figures in this paper may be found at http://dx.doi.org/10.6084/m9.figshare.1258839.</t>
  </si>
  <si>
    <t>10.1002/2015JC011119</t>
  </si>
  <si>
    <t>WOS:000367686500018</t>
  </si>
  <si>
    <t>Tully, SR</t>
  </si>
  <si>
    <t>Tully, Stephen R.</t>
  </si>
  <si>
    <t>'Objective Reasonableness' as a Standard for International Judicial Review</t>
  </si>
  <si>
    <t>JOURNAL OF INTERNATIONAL DISPUTE SETTLEMENT</t>
  </si>
  <si>
    <t>ADJUDICATION; COURT</t>
  </si>
  <si>
    <t>In Whaling in the Antarctic (Australia v Japan, New Zealand intervening), the International Court of Justice concluded that the design and implementation of Japan's whaling programme was not reasonable in relation to achieving its stated objectives. The Court posited a test of objective reasonableness as the applicable standard of review. This article contends that this standard is not and should not be a regular feature of dispute settlement by that Court. Like the margin of appreciation doctrine, an objective reasonableness test is a mechanism for demonstrating judicial deference. However, such a test merely substitutes the subjective intentions of litigants with judicial subjectivity. For the Court to employ this standard of review would subvert its judicial function, exceed authority and take it beyond its expertise. The judgment is distinguishable on its facts, in its terms and by reference to the parties' submissions. The approach should not be used to resolve future disputes.</t>
  </si>
  <si>
    <t>[Tully, Stephen R.] St James Hall Chambers, 6th Floor, Sydney, NSW, Australia; [Tully, Stephen R.] Univ Sydney, Fac Law, Sydney, NSW 2006, Australia</t>
  </si>
  <si>
    <t>University of Sydney</t>
  </si>
  <si>
    <t>Tully, SR (corresponding author), St James Hall Chambers, 6th Floor, Sydney, NSW, Australia.</t>
  </si>
  <si>
    <t>stully@stjames.net.au</t>
  </si>
  <si>
    <t>2040-3593</t>
  </si>
  <si>
    <t>2040-3585</t>
  </si>
  <si>
    <t>J INT DISPUT SETTL</t>
  </si>
  <si>
    <t>J. Internat. Dispute Settlement</t>
  </si>
  <si>
    <t>10.1093/jnlids/idv019</t>
  </si>
  <si>
    <t>DA4BT</t>
  </si>
  <si>
    <t>WOS:000367745800005</t>
  </si>
  <si>
    <t>Gros, G</t>
  </si>
  <si>
    <t>Gros, Guillaume</t>
  </si>
  <si>
    <t>The ICJ's Handling of Science in the Whaling in the Antarctic Case: A Whale of a Case?</t>
  </si>
  <si>
    <t>COURT</t>
  </si>
  <si>
    <t>In the whaling in the Antarctic case, the International Court of Justice was confronted with a highly technical issue requiring the appraisal of scientific elements. The Court evaluated the claim of Australia who considered that Japan with its whaling programme 'JARPA II' was hiding commercial purposes behind 'false' scientific research. The question arose at an interesting moment, increasing attention being paid in the international agenda to the relationship between law and science. The Court had the opportunity to take a stance on this issue after coming under criticism for its handling of technical cases. Questions have arisen as to its ability to rule on disputes involving factual complexity in a sound way. Basically, the Court had to avoid two main hurdles : limiting its assessment to legal aspects or becoming a judge of science by itself performing the technical analyses. Both are criticized positions taken by the Court in former instances. In this respect, this article advocates that the Court initiated an original approach by elaborating a comprehensive methodology, some elements of which may appear at first sight inspired by the WTO practice. In addition to adopting an active attitude during the cross-examination of experts, the Court explicitly articulated a standard of review characterized as 'objective' and involving the use of a reasonableness test. However, the solution is not without substantial ambiguities, if not inconsistencies, that somehow limit the scope of the method.</t>
  </si>
  <si>
    <t>[Gros, Guillaume] Univ Geneva, CH-1211 Geneva 4, Switzerland</t>
  </si>
  <si>
    <t>University of Geneva</t>
  </si>
  <si>
    <t>Gros, G (corresponding author), Univ Geneva, CH-1211 Geneva 4, Switzerland.</t>
  </si>
  <si>
    <t>guillaume.gros@unige.ch</t>
  </si>
  <si>
    <t>10.1093/jnlids/idv024</t>
  </si>
  <si>
    <t>WOS:000367745800007</t>
  </si>
  <si>
    <t>Lima, LC</t>
  </si>
  <si>
    <t>Lima, Lucas Carlos</t>
  </si>
  <si>
    <t>The Evidential Weight of Experts before the ICJ: Reflections on the Whaling in the Antarctic Case</t>
  </si>
  <si>
    <t>The International Court of Justice has increasingly been called upon to deal with disputes which require the assessment of complex scientific evidence. At the same time, the Court is increasingly paying attention to defining general criteria for weighing the evidence adduced before it. These two tendencies converge in the Whaling in the Antarctic case. Despite not establishing general criteria for weighing the evidential value of party-appointed experts, the judgment raises a number of interesting issues in this respect. The purpose of this work is to offer some reflections on the criteria, if any, adopted by the Court to evaluate the expert evidence presented by the parties in the case. In particular, it is suggested that the criteria previously developed by the Court to weigh witness testimony corresponds, to a certain extent, to the criteria used to weigh experts.</t>
  </si>
  <si>
    <t>[Lima, Lucas Carlos] Univ Macerata, Int Law &amp; European Union Law, Macerata, MC, Italy</t>
  </si>
  <si>
    <t>University of Macerata</t>
  </si>
  <si>
    <t>Lima, LC (corresponding author), Univ Macerata, Int Law &amp; European Union Law, Macerata, MC, Italy.</t>
  </si>
  <si>
    <t>Lima, Lucas Carlos/0000-0002-8643-6547</t>
  </si>
  <si>
    <t>10.1093/jnlids/idv022</t>
  </si>
  <si>
    <t>WOS:000367745800008</t>
  </si>
  <si>
    <t>Rybak, OO; Volodin, EM</t>
  </si>
  <si>
    <t>Rybak, O. O.; Volodin, E. M.</t>
  </si>
  <si>
    <t>Applying the Energy- and Water Balance Model for Incorporation of the Cryospheric Component into a Climate Model. Part I. Description of the Model and Computed Climatic Fields of Surface Air Temperature and Precipitation Rate</t>
  </si>
  <si>
    <t>Greenland; ice sheet; climate model; model coupling; temperature; precipitation</t>
  </si>
  <si>
    <t>To elaborate a complete model of the Earth system, it is necessary to include the model of dynamics of Greenland and Antarctic ice sheets into the General Circulation Model (GCM). The problem is that spatial and temporal scales of ice sheet dynamics, on one hand, and the dynamics of atmosphere and the ocean, on the other hand, differ considerably. In order to unite them in one model, implementation of one or another downscaling procedure is required. For this purpose we elaborated an energy-and water balance model of the Greenland ice sheet (EWBM-G) serving as a buffer between the GCM INMCM and the ice sheet model. EWBM-G describes heat and water vapor diffusion in a limited domain with the boundary conditions transferred from the INMCM. This paper describes the model and set-up of the numerical experiments aiming at calculation surface air temperature and annual precipitation amount in Greenland in accordance with the simulated pre-industrial climate. The results of calculations are compared with observations and reconstructions.</t>
  </si>
  <si>
    <t>[Rybak, O. O.; Volodin, E. M.] RAS, Inst Numer Math, Moscow 119333, Russia; [Rybak, O. O.] Branch Inst Nat &amp; Tech Syst, Soci 354024, Russia</t>
  </si>
  <si>
    <t>Russian Academy of Sciences; Russian Academy of Sciences; Institute of Natural &amp; Technical Systems of the RAS</t>
  </si>
  <si>
    <t>Rybak, OO (corresponding author), RAS, Inst Numer Math, Ul Gubkina 8, Moscow 119333, Russia.</t>
  </si>
  <si>
    <t>orybak@vub.ac.be</t>
  </si>
  <si>
    <t>Rybak, Oleg/AAQ-8467-2020; \\volodin, Evgeny/F-9571-2013</t>
  </si>
  <si>
    <t>Rybak, Oleg/0000-0002-7234-0544;</t>
  </si>
  <si>
    <t>Russian Scientific Foundation [14-27-00126]</t>
  </si>
  <si>
    <t>Russian Scientific Foundation(Russian Science Foundation (RSF))</t>
  </si>
  <si>
    <t>The research was carried out in the Institute of Numerical Mathematics of RAS and was supported by the Russian Scientific Foundation (Project No. 14-27-00126 Study of the Earth's Climate with the Next Generation Earth System Model).</t>
  </si>
  <si>
    <t>10.3103/S1068373915110035</t>
  </si>
  <si>
    <t>DA1GK</t>
  </si>
  <si>
    <t>WOS:000367544100003</t>
  </si>
  <si>
    <t>Kotlyakov, VM; Vasiliev, LN; Kachalin, AB; Moskalevsky, MY; Tyuflin, AS</t>
  </si>
  <si>
    <t>Kotlyakov, V. M.; Vasiliev, L. N.; Kachalin, A. B.; Moskalevsky, M. Yu.; Tyuflin, A. S.</t>
  </si>
  <si>
    <t>Fractals in fluctuations of Antarctic ice sheet surface elevation</t>
  </si>
  <si>
    <t>DOKLADY EARTH SCIENCES</t>
  </si>
  <si>
    <t>Progress in reconstructing the mechanism of the influence of drifting snow on changes in the ice surface elevation, when it moves with velocity of 2-5 m/year, was achieved owing to space-based laser altimetry and the discovery of fractal patterns of the elevation fluctuations. They consist in the growth of variance of elevation changes by an increased lag. The variance grows in the power law dependence in the scaling range of 70 km. The wavelet analysis revealed a wide spectrum of spatial frequencies and demonstrated that they occur in the range of 1.4-22.5 km(-1). The discovered properties of changes in the surface elevation subordinate to the Gaussian distribution with zero mean indicate dynamic equilibrium of the present-day Antarctic ice sheet.</t>
  </si>
  <si>
    <t>[Kotlyakov, V. M.; Vasiliev, L. N.; Kachalin, A. B.; Moskalevsky, M. Yu.; Tyuflin, A. S.] Russian Acad Sci, Inst Geog, Moscow V71, Russia</t>
  </si>
  <si>
    <t>Russian Academy of Sciences</t>
  </si>
  <si>
    <t>Kotlyakov, VM (corresponding author), Russian Acad Sci, Inst Geog, Moscow V71, Russia.</t>
  </si>
  <si>
    <t>leonid-vasiliev@yandex.ru</t>
  </si>
  <si>
    <t>Andrey, Kachalin/0000-0002-1238-4115</t>
  </si>
  <si>
    <t>Federal targeted program World Ocean (subprogram Antarctica Investigation); Presidium of the Russian Academy of Sciences [4]; Russian Foundation for Basic Research [12-05-00107a]</t>
  </si>
  <si>
    <t>Federal targeted program World Ocean (subprogram Antarctica Investigation); Presidium of the Russian Academy of Sciences(Russian Academy of Sciences); Russian Foundation for Basic Research(Russian Foundation for Basic Research (RFBR)Spanish Government)</t>
  </si>
  <si>
    <t>This work was supported by the Federal targeted program World Ocean (subprogram Antarctica Investigation), Presidium of the Russian Academy of Sciences (program of basic research no. 4), and the Russian Foundation for Basic Research (project no. 12-05-00107a). Data of ICESat measurements were kindly donated by the National Snow and Ice Data Center (United States).</t>
  </si>
  <si>
    <t>1028-334X</t>
  </si>
  <si>
    <t>1531-8354</t>
  </si>
  <si>
    <t>DOKL EARTH SCI</t>
  </si>
  <si>
    <t>Dokl. Earth Sci.</t>
  </si>
  <si>
    <t>10.1134/S1028334X15110100</t>
  </si>
  <si>
    <t>CZ7IM</t>
  </si>
  <si>
    <t>WOS:000367273100016</t>
  </si>
  <si>
    <t>Morozov, EG; Tarakanov, RY; Makarenko, NI</t>
  </si>
  <si>
    <t>Morozov, E. G.; Tarakanov, R. Yu.; Makarenko, N. I.</t>
  </si>
  <si>
    <t>Flows of Antarctic bottom water through fractures in the southern part of the North Mid-Atlantic Ridge</t>
  </si>
  <si>
    <t>ZONE; TRANSPORT; OCEAN</t>
  </si>
  <si>
    <t>We study the flows of bottom waters of the Antarctic origin in deep fracture zones of the southern part of the North Mid-Atlantic Ridge. In the autumn of 2014, an expedition onboard the RV Akademik Sergey Vavilov carried out measurements of current velocities and thermohaline properties of bottom water in several quasi-zonal fractures in the southern part of the Northern Mid-Atlantic Ridge, which connect the deep basins of the West and East Atlantic, the Vema Fracture Zone (FZ) (10A degrees 50' N) and a group of sub-equatorial fractures: Doldrums (8A degrees 15' N), Vernadsky (7A degrees 40' N), and a nameless fracture at 7A degrees 30' N. The estimates of bottom water (theta &lt; 2.0A degrees C) transport through this group based on measurements from 2014 are approximately 0.28 Sv (1 Sv = 10(6) m(3)/s), which is close to 25% of the transport estimate through the Vema FZ (1.20 Sv) obtained in the same expedition. The coldest bottom water temperatures among the investigated fractures were recorded in the Vema FZ.</t>
  </si>
  <si>
    <t>[Morozov, E. G.; Tarakanov, R. Yu.] Russian Acad Sci, PP Shirshov Oceanol Inst, Moscow, Russia; [Makarenko, N. I.] Russian Acad Sci, Lavrentiev Inst Hydrodynam, Siberian Branch, Novosibirsk, Russia</t>
  </si>
  <si>
    <t>Russian Academy of Sciences; Shirshov Institute of Oceanology; Russian Academy of Sciences; Lavrentyev Institute of Hydrodynamics</t>
  </si>
  <si>
    <t>Morozov, EG (corresponding author), Russian Acad Sci, PP Shirshov Oceanol Inst, Moscow, Russia.</t>
  </si>
  <si>
    <t>egmorozov@mail.ru</t>
  </si>
  <si>
    <t>Tarakanov, Roman/R-3325-2016; Makarenko, Nikolay/L-1713-2017; Morozov, Eugene G/L-3023-2018</t>
  </si>
  <si>
    <t>Tarakanov, Roman/0000-0002-8711-1859; Morozov, Eugene/0000-0002-0251-3454</t>
  </si>
  <si>
    <t>Russian Scientific Foundation [14-50-00095]</t>
  </si>
  <si>
    <t>This work (analysis and data interpretation) was supported by the Russian Scientific Foundation (project no. 14-50-00095).</t>
  </si>
  <si>
    <t>10.1134/S0001437015060120</t>
  </si>
  <si>
    <t>CZ7UW</t>
  </si>
  <si>
    <t>WOS:000367306600002</t>
  </si>
  <si>
    <t>Sergienko, OV</t>
  </si>
  <si>
    <t>Sergienko, O. V.</t>
  </si>
  <si>
    <t>Order in Antarctic ice streams</t>
  </si>
  <si>
    <t>SURFACE; SHEET; FLOW</t>
  </si>
  <si>
    <t>[Sergienko, O. V.] Princeton Univ, Program Atmospher &amp; Ocean Sci, Princeton, NJ 08540 USA</t>
  </si>
  <si>
    <t>Princeton University; National Oceanic Atmospheric Admin (NOAA) - USA</t>
  </si>
  <si>
    <t>Sergienko, OV (corresponding author), Princeton Univ, Program Atmospher &amp; Ocean Sci, 201 Forrestal Rd, Princeton, NJ 08540 USA.</t>
  </si>
  <si>
    <t>osergien@princeton.edu</t>
  </si>
  <si>
    <t>Sergienko, Olga/HII-8500-2022</t>
  </si>
  <si>
    <t>Sergienko, Olga/0000-0002-5764-8815</t>
  </si>
  <si>
    <t>10.1038/ngeo2536</t>
  </si>
  <si>
    <t>CZ6GU</t>
  </si>
  <si>
    <t>WOS:000367200000007</t>
  </si>
  <si>
    <t>Ng, FSL</t>
  </si>
  <si>
    <t>Ng, Felix S. L.</t>
  </si>
  <si>
    <t>Spatial complexity of ice flow across the Antarctic Ice Sheet</t>
  </si>
  <si>
    <t>STREAM-B; SURFACE; BENEATH; RADAR; BED; GEOSTATISTICS; VARIABILITY; STABILITY</t>
  </si>
  <si>
    <t>Fast-flowing ice streams carry ice from the interior of the Antarctic Ice Sheet towards the coast. Understanding how ice-stream tributaries operate and how networks of them evolve is essential for developing reliable models of the ice sheet's response to climate change1-6. A particular challenge is to unravel the spatial complexity of flow within and across tributary networks. Here I define a measure of planimetric flow convergence, which can be calculated from satellite measurements of the ice sheet's surface velocity, to explore this complexity. The convergence map of Antarctica clarifies how tributaries draw ice from its interior. The map also reveals curvilinear zones of convergence along lateral shear margins of streaming, and abundant ripples associated with nonlinear ice rheology and changes in bed topography and friction. Convergence on ice-stream tributaries and their feeding zones is uneven and interspersed with divergence. For individual drainage basins, as well as the ice sheet as a whole, fast flow cannot converge or diverge as much as slow flow. I therefore deduce that flowin the ice-stream networks is subject to mechanical regulation that limits flow-orthonormal strain rates. These findings provide targets for ice-sheet simulations and motivate more research into the origin and dynamics of tributarization.</t>
  </si>
  <si>
    <t>[Ng, Felix S. L.] Univ Sheffield, Dept Geog, Sheffield S10 2TN, S Yorkshire, England</t>
  </si>
  <si>
    <t>University of Sheffield</t>
  </si>
  <si>
    <t>Ng, FSL (corresponding author), Univ Sheffield, Dept Geog, Sheffield S10 2TN, S Yorkshire, England.</t>
  </si>
  <si>
    <t>f.ng@sheffeld.ac.uk</t>
  </si>
  <si>
    <t>Ng, Felix/0000-0001-6352-0351</t>
  </si>
  <si>
    <t>10.1038/NGEO2532</t>
  </si>
  <si>
    <t>WOS:000367200000016</t>
  </si>
  <si>
    <t>Zhao, JT; Li, J; Cai, F; Wei, HL; Hu, BQ; Dou, YG; Wang, LB; Xiang, R; Cheng, HW; Dong, L; Zhang, CL</t>
  </si>
  <si>
    <t>Zhao, Jingtao; Li, Jun; Cai, Feng; Wei, Helong; Hu, Bangqi; Dou, Yanguang; Wang, Libo; Xiang, Rong; Cheng, Hongwei; Dong, Liang; Zhang, Chuanlun L.</t>
  </si>
  <si>
    <t>Sea surface temperature variation during the last deglaciation in the southern Okinawa Trough: Modulation of high latitude teleconnections and the Kuroshio Current</t>
  </si>
  <si>
    <t>PROGRESS IN OCEANOGRAPHY</t>
  </si>
  <si>
    <t>EAST CHINA SEA; TETRAETHER MEMBRANE-LIPIDS; TEX86 PALEOTHERMOMETRY; SINKING PARTICLES; WESTERN PACIFIC; OXYGEN-ISOTOPE; CURRENT SYSTEM; CLIMATE; WATER; VARIABILITY</t>
  </si>
  <si>
    <t>Three paleotemperature records (foraminiferal Mg/Ca, TEX86 and U-37(K') were generated for the past 17.3 ka in the southern Okinawa Trough (OT) using a sediment core (OKT-3) taken at a water depth of 1792 m. Temperature estimates based on the inorganic and organic indices for the OKT-3 core top sample approximated modern sea surface temperature (SST) and extended to the mixed layer (&lt;50 m) in warmer seasons. Reconstructed SSTs from OKT-3 gradually increased towards the top of the core with lower values occurring during Heinrich Stadial 1 (HS1) and the Younger Dryas (YD). These values coincided with the glacial-interglacial cycles established by the Globigerinoides ruber delta O-18 curve. Notably, SSTs decreased during the (B-A) but warming occurred before and after the B-A, from approximately 16 to 14 ka and 12.5 to 10 ka. The SST cooling during the B-A corresponded to the timing of the Antarctic Cold Reversal (ACR), which is thought to be connected with melt water pulse la (MWP1a). The cooling was also concurrent with the spread of millennial-scale cold signals to the OT during the HS1 and YD periods, when widespread melt and collapse of Northern Hemisphere ice sheets occurred along with reduced Atlantic Meridional Overturning Circulation (AMOC) and a southward shift of the Intertropical Convergence Zone (ITCZ). The last deglaciation, which began approximately 16-15 ka BP in the OT, might mark the time when the Kuroshio Current (KC) began to strengthen. (C) 2015 Elsevier Ltd. All rights reserved.</t>
  </si>
  <si>
    <t>[Zhao, Jingtao; Li, Jun; Cai, Feng; Wei, Helong; Hu, Bangqi; Dou, Yanguang; Wang, Libo] Qingdao Inst Marine Geol, Key Lab Marine Hydrocarbon Resource &amp; Geol, Minist Land &amp; Resources, Qingdao 266071, Peoples R China; [Xiang, Rong] Chinese Acad Sci, Key Lab Marginal Sea Geol, Guangzhou 510301, Guangdong, Peoples R China; [Cheng, Hongwei; Dong, Liang; Zhang, Chuanlun L.] Tongji Univ, State Key Lab Marine Geol, Shanghai 200092, Peoples R China</t>
  </si>
  <si>
    <t>China Geological Survey; Qingdao Institute of Marine Geology (QIMG); Ministry of Natural Resources of the People's Republic of China; Chinese Academy of Sciences; Tongji University</t>
  </si>
  <si>
    <t>Li, J (corresponding author), Qingdao Inst Marine Geol, Key Lab Marine Hydrocarbon Resource &amp; Geol, Minist Land &amp; Resources, Qingdao 266071, Peoples R China.</t>
  </si>
  <si>
    <t>qdlijun@yahoo.com; archaeazhang_1@tongji.edu.cn</t>
  </si>
  <si>
    <t>Dong, Liang/JZD-4605-2024; Wang, Libo/GLR-5763-2022; Dong, Liang/IAR-4638-2023</t>
  </si>
  <si>
    <t>Hu, Bangqi/0000-0001-9397-7213</t>
  </si>
  <si>
    <t>Ministry of Land and Resources of China [GZH201100302]; National Natural Science Foundation of China (NSFC) [40906033, 41476052, 41106058, 41406074]; Open Foundation of the Key Laboratory of Marine Hydrocarbon Resources and Environmental Geology [MRE201405]; NSFC [91028005, 91428308]; National Thousand Talents Program at the State Key Laboratory of Marine Geology of Tongji University</t>
  </si>
  <si>
    <t>Ministry of Land and Resources of China; National Natural Science Foundation of China (NSFC)(National Natural Science Foundation of China (NSFC)); Open Foundation of the Key Laboratory of Marine Hydrocarbon Resources and Environmental Geology; NSFC(National Natural Science Foundation of China (NSFC)); National Thousand Talents Program at the State Key Laboratory of Marine Geology of Tongji University</t>
  </si>
  <si>
    <t>This research received financial support from the Ministry of Land and Resources of China (Grant no. GZH201100302), the National Natural Science Foundation of China (NSFC grant nos. 40906033, 41476052, 41106058 and 41406074), and the Open Foundation of the Key Laboratory of Marine Hydrocarbon Resources and Environmental Geology (Grant no. MRE201405). Chuanlun L. Zhang was supported by NSFC grant nos. 91028005 and 91428308 and the National Thousand Talents Program at the State Key Laboratory of Marine Geology of Tongji University. Finally, we thank Dr. Francisco E. Werner and two anonymous reviewers for valuable and constructive comments that improved this manuscript.</t>
  </si>
  <si>
    <t>0079-6611</t>
  </si>
  <si>
    <t>PROG OCEANOGR</t>
  </si>
  <si>
    <t>Prog. Oceanogr.</t>
  </si>
  <si>
    <t>10.1016/j.pocean.2015.06.008</t>
  </si>
  <si>
    <t>CZ4XR</t>
  </si>
  <si>
    <t>WOS:000367106900015</t>
  </si>
  <si>
    <t>Dorman, JG; Sydeman, WJ; Bograd, SJ; Powell, TM</t>
  </si>
  <si>
    <t>Dorman, Jeffrey G.; Sydeman, William J.; Bograd, Steven J.; Powell, Thomas M.</t>
  </si>
  <si>
    <t>An individual-based model of the krill Euphausia pacifica in the California Current</t>
  </si>
  <si>
    <t>DIEL VERTICAL MIGRATION; HYAS-ARANEUS DECAPODA; POPULATION BIOLOGY; LARVAL DEVELOPMENT; ECOSYSTEM MODEL; ANTARCTIC KRILL; CENTRAL OREGON; BROOD SIZE; GROWTH; CARBON</t>
  </si>
  <si>
    <t>Euphausia pacifica is an abundant and important prey resource for numerous predators of the California Current and elsewhere in the North Pacific. We developed an individual-based model (IBM) for E. pacifica to study its bioenergetics (growth, stage development, reproduction, and mortality) under constant/ideal conditions as well as under varying ocean conditions and food resources. To model E. pacifica under varying conditions, we coupled the IBM to an oceanographic-ecosystem model over the period 2000-2008 (9 years). Model results under constant/ideal food conditions compare favorably with experimental studies conducted under food unlimited conditions. Under more realistic variable oceanographic conditions, mean growth rates over the continental shelf were positive only when individuals migrated diurnally to the depth of maximum phytoplankton layer during nighttime feeding. Our model only used phytoplankton as prey and coastal growth rates were lower than expected (0.01 mm d(-1)), suggesting that a diverse prey base (zooplankton, protists, marine snow) may be required to facilitate growth and survival of modeled E. pacifica in the coastal environment. This coupled IBM-ROMS modeling framework and its parameters provides a tool for understanding the biology and ecology of E. pacifica and could be developed to further the understanding of climatic effects on this key prey species and enhance an ecosystem approach to fisheries and wildlife management in this region. (C) 2015 Elsevier Ltd. All rights reserved.</t>
  </si>
  <si>
    <t>[Dorman, Jeffrey G.; Powell, Thomas M.] Univ Calif Berkeley, Berkeley, CA 94720 USA; [Dorman, Jeffrey G.; Sydeman, William J.] Farallon Inst Adv Ecosyst Res, Petaluma, CA 94952 USA; [Bograd, Steven J.] NOAA, SW Fisheries Sci Ctr, Washington, DC USA</t>
  </si>
  <si>
    <t>University of California System; University of California Berkeley; National Oceanic Atmospheric Admin (NOAA) - USA</t>
  </si>
  <si>
    <t>Dorman, JG (corresponding author), Farallon Inst Adv Ecosyst Res, Petaluma, CA 94952 USA.</t>
  </si>
  <si>
    <t>jdorman@faralloninstitute.org</t>
  </si>
  <si>
    <t>Bograd, Steven/AAA-4824-2021; Dorman, Jeffrey/JGE-0267-2023</t>
  </si>
  <si>
    <t>California Sea Grant Project [R/OPCENV-07, R/ENV-220]; Directorate For Geosciences; Division Of Ocean Sciences [1026607] Funding Source: National Science Foundation</t>
  </si>
  <si>
    <t>California Sea Grant Project; Directorate For Geosciences; Division Of Ocean Sciences(National Science Foundation (NSF)NSF - Directorate for Geosciences (GEO))</t>
  </si>
  <si>
    <t>We gratefully thank the many communities that provide data to make a modeling project such as this possible: National Centers for Environmental Prediction, Asia-Pacific Data Research Center, National Oceanographic Data Center, NOAA-National Data Buoy Center, Bodega Ocean Observing Node, NASA-Goddard Space Flight Center. Model development by the ROMS community and by Dr. Hal Batchelder have also been instrumental in this work. This research was supported by California Sea Grant Project R/OPCENV-07 and Project R/ENV-220.</t>
  </si>
  <si>
    <t>1873-4472</t>
  </si>
  <si>
    <t>10.1016/j.pocean.2015.02.006</t>
  </si>
  <si>
    <t>CZ4XS</t>
  </si>
  <si>
    <t>WOS:000367107000013</t>
  </si>
  <si>
    <t>Woodworth-Jefcoats, PA; Polovina, JJ; Howell, EA; Blanchard, JL</t>
  </si>
  <si>
    <t>Woodworth-Jefcoats, Phoebe A.; Polovina, Jeffrey J.; Howell, Evan A.; Blanchard, Julia L.</t>
  </si>
  <si>
    <t>Two takes on the ecosystem impacts of climate change and fishing: Comparing a size-based and a species-based ecosystem model in the central North Pacific</t>
  </si>
  <si>
    <t>EASTERN TROPICAL PACIFIC; MARLIN MAKAIRA-NIGRICANS; YELLOWFIN TUNA; GLOBAL OCEAN; BODY-SIZE; MARINE; SCALE; BIOMASS; COMMUNITY; DYNAMICS</t>
  </si>
  <si>
    <t>We compare two ecosystem model projections of 21st century climate change and fishing impacts in the central North Pacific. Both a species-based and a size-based ecosystem modeling approach are examined. While both models project a decline in biomass across all sizes in response to climate change and a decline in large fish biomass in response to increased fishing mortality, the models vary significantly in their handling of climate and fishing scenarios. For example, based on the same climate forcing the species-based model projects a 15% decline in catch by the end of the century while the size-based model projects a 30% decline. Disparities in the models' output highlight the limitations of each approach by showing the influence model structure can have on model output. The aspects of bottom-up change to which each model is most sensitive appear linked to model structure, as does the propagation of inter-annual variability through the food web and the relative impact of combined top-down and bottom-up change. Incorporating integrated size- and species-based ecosystem modeling approaches into future ensemble studies may help separate the influence of model structure from robust projections of ecosystem change. Published by Elsevier Ltd.</t>
  </si>
  <si>
    <t>[Woodworth-Jefcoats, Phoebe A.; Polovina, Jeffrey J.; Howell, Evan A.] NOAA Fisheries, Pacific Isl Fisheries Sci Ctr, Honolulu, HI 96818 USA; [Woodworth-Jefcoats, Phoebe A.] Univ Hawaii Manoa, Marine Biol Grad Program, Coll Nat Sci, Honolulu, HI 96822 USA; [Woodworth-Jefcoats, Phoebe A.] Univ Hawaii Manoa, Sch Ocean &amp; Earth Sci &amp; Technol, Honolulu, HI 96822 USA; [Blanchard, Julia L.] Univ Sheffield, Dept Plant &amp; Anim Sci, Sheffield S10 2TN, S Yorkshire, England; [Blanchard, Julia L.] Univ Tasmania, Inst Marine &amp; Antarctic Studies, Hobart, Tas, Australia; [Blanchard, Julia L.] Univ Tasmania, Ctr Marine Socioecol, Hobart, Tas, Australia</t>
  </si>
  <si>
    <t>National Oceanic Atmospheric Admin (NOAA) - USA; University of Hawaii System; University of Hawaii Manoa; University of Hawaii System; University of Hawaii Manoa; University of Sheffield; University of Tasmania; University of Tasmania</t>
  </si>
  <si>
    <t>Woodworth-Jefcoats, PA (corresponding author), NOAA Fisheries, Pacific Isl Fisheries Sci Ctr, 1845 Wasp Blvd, Honolulu, HI 96818 USA.</t>
  </si>
  <si>
    <t>Woodworth-Jefcoats, Phoebe/0000-0001-9353-923X; Howell, Evan/0000-0001-9904-4633; Blanchard, Julia/0000-0003-0532-4824</t>
  </si>
  <si>
    <t>UK NERC Marine Ecosystems Research Program</t>
  </si>
  <si>
    <t>We thank Jeff Drazen and members of the Drazen lab for fruitful discussion of an early version of this comparison. Melanie Abecassis and three anonymous reviewers provided comments that substantially improved this paper. J.L.B. was supported by the UK NERC Marine Ecosystems Research Program. This is SOEST contribution number 9298.</t>
  </si>
  <si>
    <t>10.1016/j.pocean.2015.04.004</t>
  </si>
  <si>
    <t>WOS:000367107000015</t>
  </si>
  <si>
    <t>Socheleau, FX; Leroy, E; Pecci, AC; Samaran, F; Bonnel, J; Royer, JY</t>
  </si>
  <si>
    <t>Socheleau, Francois-Xavier; Leroy, Emmanuelle; Pecci, Andres Carvallo; Samaran, Flore; Bonnel, Julien; Royer, Jean-Yves</t>
  </si>
  <si>
    <t>Automated detection of Antarctic blue whale calls</t>
  </si>
  <si>
    <t>JOURNAL OF THE ACOUSTICAL SOCIETY OF AMERICA</t>
  </si>
  <si>
    <t>SUBSPACE; FREQUENCY; LATITUDES; SOUNDS; RATIOS</t>
  </si>
  <si>
    <t>This paper addresses the problem of automated detection of Z-calls emitted by Antarctic blue whales (B. m. intermedia). The proposed solution is based on a subspace detector of sigmoidal-frequency signals with unknown time-varying amplitude. This detection strategy takes into account frequency variations of blue whale calls as well as the presence of other transient sounds that can interfere with Z-calls (such as airguns or other whale calls). The proposed method has been tested on more than 105 h of acoustic data containing about 2200 Z-calls (as found by an experienced human operator). This method is shown to have a correct-detection rate of up to more than 15% better than the extensible bioacoustic tool package, a spectrogram-based correlation detector commonly used to study blue whales. Because the proposed method relies on subspace detection, it does not suffer from some drawbacks of correlation-based detectors. In particular, it does not require the choice of an a priori fixed and subjective template. The analytic expression of the detection performance is also derived, which provides crucial information for higher level analyses such as animal density estimation from acoustic data. Finally, the detection threshold automatically adapts to the soundscape in order not to violate a user-specified false alarm rate. (C) 2015 Acoustical Society of America.</t>
  </si>
  <si>
    <t>[Socheleau, Francois-Xavier; Pecci, Andres Carvallo] Ctr Natl Rech Sci 6285, Inst Mines Telecom, Telecom Bretagne, Unites Mixtes Rech,Lab Sci &amp; Tech Informat Commun, F-29238 Brest, France; [Leroy, Emmanuelle; Royer, Jean-Yves] Univ Brest, CNRS, Lab Domaines Ocean, Inst Univ Europeen Mer, F-29280 Plouzane, France; [Samaran, Flore] Ecole Natl Super Tech Avancees Bretagne, F-29806 Brest 9, France; [Bonnel, Julien] Ctr Natl Rech Sci 6285, Ecole Natl Super Tech Avancees Bretagne, Unites Mixtes Rech, Lab Sci &amp; Tech Informat Commun &amp; Connaissance, F-29806 Brest 9, France</t>
  </si>
  <si>
    <t>IMT - Institut Mines-Telecom; IMT Atlantique; Universite de Bretagne Occidentale; Institut Universitaire Europeen de la Mer (IUEM); Centre National de la Recherche Scientifique (CNRS); ENSTA Bretagne; ENSTA Bretagne</t>
  </si>
  <si>
    <t>Socheleau, FX (corresponding author), Ctr Natl Rech Sci 6285, Inst Mines Telecom, Telecom Bretagne, Unites Mixtes Rech,Lab Sci &amp; Tech Informat Commun, Technopole Brest Iroise,CS 83818, F-29238 Brest, France.</t>
  </si>
  <si>
    <t>fx.socheleau@telecom-bretagne.eu</t>
  </si>
  <si>
    <t>Royer, Jean-Yves/B-4312-2010</t>
  </si>
  <si>
    <t>Royer, Jean-Yves/0000-0002-7653-7715</t>
  </si>
  <si>
    <t>ACOUSTICAL SOC AMER AMER INST PHYSICS</t>
  </si>
  <si>
    <t>STE 1 NO 1, 2 HUNTINGTON QUADRANGLE, MELVILLE, NY 11747-4502 USA</t>
  </si>
  <si>
    <t>0001-4966</t>
  </si>
  <si>
    <t>1520-8524</t>
  </si>
  <si>
    <t>J ACOUST SOC AM</t>
  </si>
  <si>
    <t>J. Acoust. Soc. Am.</t>
  </si>
  <si>
    <t>10.1121/1.4934271</t>
  </si>
  <si>
    <t>Acoustics; Audiology &amp; Speech-Language Pathology</t>
  </si>
  <si>
    <t>CY3ON</t>
  </si>
  <si>
    <t>WOS:000366319200051</t>
  </si>
  <si>
    <t>Chen, D; Hale, RC; La Guardia, MJ; Luellen, D; Kim, S; Geisz, HN</t>
  </si>
  <si>
    <t>Chen, Da; Hale, Robert C.; La Guardia, Mark J.; Luellen, Drew; Kim, Stacy; Geisz, Heidi N.</t>
  </si>
  <si>
    <t>Hexabromocyclododecane flame retardant in Antarctica: Research stations as sources</t>
  </si>
  <si>
    <t>ENVIRONMENTAL POLLUTION</t>
  </si>
  <si>
    <t>Hexabromocyclododecane; Flame retardant; Antarctica; Research station</t>
  </si>
  <si>
    <t>POLYBROMINATED DIPHENYL ETHERS; MCMURDO-STATION; HOUSE-DUST; FATE; HBCD; ENVIRONMENT; PBDES; PATTERNS; ISOMERS; TBBPA</t>
  </si>
  <si>
    <t>Historical persistent organic pollutants (POPs) are banned from Antarctica under international treaty; but contemporary-use POPs can enter as additives within polymer and textile products. Over their useful lives these products may release additives in-situ. Indeed, we observed 226 and 109 ng/g dry weight (dw) of the total concentrations of alpha-, beta- and gamma-hexabromocyclododecane (HBCD) in indoor dust from McMurdo Station (U.S.) and Scott Station (New Zealand), respectively. Sewage sludge collected from wastewater treatment facilities at these stations exhibited Sigma HBCD of 45 and 69 ng/g dw, respectively. Contaminants originally within the bases may exit to the local outdoor environment via wastewaters. Near McMurdo, maximum Sigma HBCD levels in surficial marine sediments and aquatic biota (invertebrates and fish) were 2350 ng/g (total organic carbon basis) and 554 ng/g lipid weight, respectively. Levels declined with distance from McMurdo. Our results illustrate that Antarctic research stations serve as local HBCD sources to the pristine Antarctic environment. (C) 2015 Elsevier Ltd. All rights reserved.</t>
  </si>
  <si>
    <t>[Chen, Da] So Illinois Univ, Cooperat Wildlife Res Lab, Carbondale, IL 62901 USA; [Chen, Da] So Illinois Univ, Dept Zool, Carbondale, IL 62901 USA; [Hale, Robert C.; La Guardia, Mark J.; Luellen, Drew; Geisz, Heidi N.] Virginia Inst Marine Sci, Coll William &amp; Mary, Gloucester Point, VA 23062 USA; [Kim, Stacy] Moss Landing Marine Labs, Moss Landing, CA 95039 USA</t>
  </si>
  <si>
    <t>Southern Illinois University System; Southern Illinois University; Southern Illinois University System; Southern Illinois University; William &amp; Mary; Virginia Institute of Marine Science; Moss Landing Marine Laboratories</t>
  </si>
  <si>
    <t>Chen, D (corresponding author), So Illinois Univ, Cooperat Wildlife Res Lab, Carbondale, IL 62901 USA.</t>
  </si>
  <si>
    <t>dachen@siu.edu</t>
  </si>
  <si>
    <t>Hale, Robert C/D-7601-2013; Chen, Da/F-5821-2014</t>
  </si>
  <si>
    <t>Chen, Da/0000-0001-5563-0091; La Guardia, Mark/0000-0003-4866-4992; Hale, Robert/0000-0002-3066-8891</t>
  </si>
  <si>
    <t>NSF OPP award [0823101]</t>
  </si>
  <si>
    <t>NSF OPP award</t>
  </si>
  <si>
    <t>The authors acknowledge the Virginia Institute of Marine Science and the Cooperative Wildlife Research Laboratory and Department of Zoology at the Southern Illinois University Carbondale. Our study was also supported in part by NSF OPP award 0823101 to Hugh Ducklow (Palmer Long Term Ecological Research Project) with particular gratitude to William R. Fraser under whose permits the penguins were collected for different projects, but subsampled for this work.</t>
  </si>
  <si>
    <t>0269-7491</t>
  </si>
  <si>
    <t>1873-6424</t>
  </si>
  <si>
    <t>ENVIRON POLLUT</t>
  </si>
  <si>
    <t>Environ. Pollut.</t>
  </si>
  <si>
    <t>10.1016/j.envpol.2015.08.024</t>
  </si>
  <si>
    <t>CY2JV</t>
  </si>
  <si>
    <t>WOS:000366235700075</t>
  </si>
  <si>
    <t>Gomez, N; Pollard, D; Holland, D</t>
  </si>
  <si>
    <t>Gomez, Natalya; Pollard, David; Holland, David</t>
  </si>
  <si>
    <t>Sea-level feedback lowers projections of future Antarctic Ice-Sheet mass loss</t>
  </si>
  <si>
    <t>MANTLE VISCOSITY; THWAITES GLACIER; MODEL; TOPOGRAPHY; BALANCE; RETREAT; BENEATH; BED</t>
  </si>
  <si>
    <t>The stability of marine sectors of the Antarctic Ice Sheet (AIS) in a warming climate has been identified as the largest source of uncertainty in projections of future sea-level rise. Sea-level fall near the grounding line of a retreating marine ice sheet has a stabilizing influence on the ice sheets, and previous studies have established the importance of this feedback on ice age AIS evolution. Here we use a coupled ice sheet-sea-level model to investigate the impact of the feedback mechanism on future AIS retreat over centennial and millennial timescales for a range of emission scenarios. We show that the combination of bedrock uplift and sea-surface drop associated with ice-sheet retreat significantly reduces AIS mass loss relative to a simulation without these effects included. Sensitivity analyses show that the stabilization tends to be greatest for lower emission scenarios and Earth models characterized by a thin elastic lithosphere and low-viscosity upper mantle, as is the case for West Antarctica.</t>
  </si>
  <si>
    <t>[Gomez, Natalya; Holland, David] NYU, Courant Inst Math Sci, Ctr Atmosphere Ocean Sci, New York, NY 10012 USA; [Gomez, Natalya] McGill Univ, Dept Earth &amp; Planetary Sci, Montreal, PQ H3A 0E8, Canada; [Pollard, David] Penn State Univ, Earth &amp; Environm Syst Inst, University Pk, PA 16801 USA</t>
  </si>
  <si>
    <t>New York University; McGill University; Pennsylvania Commonwealth System of Higher Education (PCSHE); Pennsylvania State University; Pennsylvania State University - University Park</t>
  </si>
  <si>
    <t>Gomez, N (corresponding author), NYU, Courant Inst Math Sci, Ctr Atmosphere Ocean Sci, 251 Mercer St, New York, NY 10012 USA.</t>
  </si>
  <si>
    <t>natalya.gomez@mcgill.ca</t>
  </si>
  <si>
    <t>Gomez, Natalya/AAU-4323-2020</t>
  </si>
  <si>
    <t>Gomez, Natalya/0000-0002-2463-7917</t>
  </si>
  <si>
    <t>NSF [DMS-0940241, ANT-0732869]; McGill University; National Science Foundation [OCE-1202632, OPP-1341394]; National Oceanic and Atmospheric Administration [NA13OAR4310100]; NYU Abu Dhabi [G1204]; Division Of Mathematical Sciences; Direct For Mathematical &amp; Physical Scien [0940241] Funding Source: National Science Foundation; Office of Polar Programs (OPP); Directorate For Geosciences [1341394] Funding Source: National Science Foundation</t>
  </si>
  <si>
    <t>NSF(National Science Foundation (NSF)); McGill University; National Science Foundation(National Science Foundation (NSF)); National Oceanic and Atmospheric Administration(National Oceanic Atmospheric Admin (NOAA) - USA); NYU Abu Dhabi; Division Of Mathematical Sciences; Direct For Mathematical &amp; Physical Scien(National Science Foundation (NSF)NSF - Directorate for Mathematical &amp; Physical Sciences (MPS)); Office of Polar Programs (OPP); Directorate For Geosciences(National Science Foundation (NSF)NSF - Directorate for Geosciences (GEO))</t>
  </si>
  <si>
    <t>We thank Matt King and two anonymous referees for the their constructive feedback that helped to improve the manuscript. N.G. was supported by NSF grant DMS-0940241 and McGill University. D.P. was supported by National Science Foundation grants OCE-1202632 and OPP-1341394, and by National Oceanic and Atmospheric Administration grant NA13OAR4310100. D.H. was supported by NYU Abu Dhabi G1204 and NSF ANT-0732869.</t>
  </si>
  <si>
    <t>10.1038/ncomms9798</t>
  </si>
  <si>
    <t>CY3FV</t>
  </si>
  <si>
    <t>WOS:000366295000002</t>
  </si>
  <si>
    <t>Jones, RS; Mackintosh, AN; Norton, KP; Golledge, NR; Fogwill, CJ; Kubik, PW; Christl, M; Greenwood, SL</t>
  </si>
  <si>
    <t>Jones, R. S.; Mackintosh, A. N.; Norton, K. P.; Golledge, N. R.; Fogwill, C. J.; Kubik, P. W.; Christl, M.; Greenwood, S. L.</t>
  </si>
  <si>
    <t>Rapid Holocene thinning of an East Antarctic outlet glacier driven by marine ice sheet instability</t>
  </si>
  <si>
    <t>PINE ISLAND GLACIER; SEA-LEVEL; JAKOBSHAVN ISBRAE; ROSS-SEA; COSMOGENIC BE-10; VICTORIA LAND; SCOTT COAST; GREENLAND; RETREAT; FLOW</t>
  </si>
  <si>
    <t>Outlet glaciers grounded on a bed that deepens inland and extends below sea level are potentially vulnerable to 'marine ice sheet instability'. This instability, which may lead to runaway ice loss, has been simulated in models, but its consequences have not been directly observed in geological records. Here we provide new surface-exposure ages from an outlet of the East Antarctic Ice Sheet that reveal rapid glacier thinning occurred approximately 7,000 years ago, in the absence of large environmental changes. Glacier thinning persisted for more than two and a half centuries, resulting in hundreds of metres of ice loss. Numerical simulations indicate that ice surface drawdown accelerated when the otherwise steadily retreating glacier encountered a bedrock trough. Together, the geological reconstruction and numerical simulations suggest that centennial-scale glacier thinning arose from unstable grounding line retreat. Capturing these instability processes in ice sheet models is important for predicting Antarctica's future contribution to sea level change.</t>
  </si>
  <si>
    <t>[Jones, R. S.; Mackintosh, A. N.; Golledge, N. R.] Victoria Univ Wellington, Antarctic Res Ctr, Wellington 6012, New Zealand; [Jones, R. S.; Mackintosh, A. N.; Norton, K. P.] Victoria Univ ofWellington, Sch Geog Environm &amp; Earth Sci, Wellington 6012, New Zealand; [Golledge, N. R.] GNS Sci, Lower Hutt 5011, New Zealand; [Fogwill, C. J.] Univ New S Wales, Climate Change Res Ctr, Sydney, NSW 2052, Australia; [Kubik, P. W.; Christl, M.] ETH, Dept Phys, Lab Ion Beam Phys, CH-8093 Zurich, Switzerland; [Greenwood, S. L.] Stockholm Univ, Dept Geol Sci, S-10691 Stockholm, Sweden</t>
  </si>
  <si>
    <t>Victoria University Wellington; GNS Science - New Zealand; University of New South Wales Sydney; Swiss Federal Institutes of Technology Domain; ETH Zurich; Stockholm University</t>
  </si>
  <si>
    <t>Jones, RS (corresponding author), Victoria Univ Wellington, Antarctic Res Ctr, Wellington 6012, New Zealand.</t>
  </si>
  <si>
    <t>Richard.S.Jones@vuw.ac.nz</t>
  </si>
  <si>
    <t>Norton, Kevin/CAF-1290-2022; Fogwill, Chris/AAW-3502-2021; Fogwill, Christopher/HPF-1150-2023; Christl, Marcus/J-4769-2016; Jones, Richard Selwyn/AAJ-3949-2021</t>
  </si>
  <si>
    <t>Norton, Kevin/0000-0002-7995-6464; Fogwill, Chris/0000-0002-6471-1106; Christl, Marcus/0000-0002-3131-6652; Jones, Richard Selwyn/0000-0003-2988-0999; Golledge, Nicholas/0000-0001-7676-8970; Greenwood, Sarah/0000-0003-3048-7916; Mackintosh, Andrew/0000-0002-6430-4711</t>
  </si>
  <si>
    <t>VUW Victoria Doctoral Scholarship; New Zealand Government (MBIE) Past Antarctic Climate and Future Implications program; Antarctic Research Centre's Endowed Development Fund; School of Geography, Environment and Earth Sciences; Australian Research Council; Swedish Research Council grant</t>
  </si>
  <si>
    <t>VUW Victoria Doctoral Scholarship; New Zealand Government (MBIE) Past Antarctic Climate and Future Implications program(New Zealand Ministry of Business, Innovation and Employment (MBIE)); Antarctic Research Centre's Endowed Development Fund; School of Geography, Environment and Earth Sciences; Australian Research Council(Australian Research Council); Swedish Research Council grant(Swedish Research Council)</t>
  </si>
  <si>
    <t>We acknowledge field support from Antarctica New Zealand. R.S.J. was supported by a VUW Victoria Doctoral Scholarship. A.N.M. and N.R.G. were supported by the New Zealand Government (MBIE) Past Antarctic Climate and Future Implications program. Sample preparation and measurement were supported by the Antarctic Research Centre's Endowed Development Fund and School of Geography, Environment and Earth Sciences (VUW). C.J.F. is supported by the Australian Research Council. S.L.G. is supported by a Swedish Research Council grant. We thank E.G.C. Smith for assistance with regression analysis, D.A. Young for airborne radar data (ICECAP), R.M. McKay for critical discussions and three anonymous reviewers who helped to improve the manuscript.</t>
  </si>
  <si>
    <t>10.1038/ncomms9910</t>
  </si>
  <si>
    <t>CY4LF</t>
  </si>
  <si>
    <t>WOS:000366378900012</t>
  </si>
  <si>
    <t>Moline, MA; Benoit-Bird, K; O'Gorman, D; Robbins, IC</t>
  </si>
  <si>
    <t>Moline, Mark A.; Benoit-Bird, Kelly; O'Gorman, David; Robbins, Ian C.</t>
  </si>
  <si>
    <t>Integration of Scientific Echo Sounders with an Adaptable Autonomous Vehicle to Extend Our Understanding of Animals from the Surface to the Bathypelagic</t>
  </si>
  <si>
    <t>Observational techniques and algorithms; Acoustic measurements; effects; In situ oceanic observations; Instrumentation; sensors; Sampling; Applications; Animal studies; Ecosystem effects</t>
  </si>
  <si>
    <t>UNDERWATER VEHICLE; FISHERIES ACOUSTICS; ANTARCTIC KRILL; FISH; OCEANOGRAPHY; TRANSDUCER; PLATFORMS; FUTURE; OCEAN; AUV</t>
  </si>
  <si>
    <t>Acoustic echo sounders designed to map and discriminate organisms in the water column have primarily been deployed on ships. Because of acoustic attenuation of higher frequencies used to detect and discriminate micronekton and nekton, this has effectively restricted the range of this information to the upper water column. In an effort to overcome these range limitations by reducing the distance between the transducer and the targets of interest, dual-frequency (38 and 120 kHz) split-beam echo sounders were integrated into a Remote Environmental Monitoring Units (REMUS) 600 autonomous underwater vehicle (AUV), effectively doubling the range of quantitative acoustic data into the mesopelagic zone (600-1200 m). Data from the first set of missions in a range of conditions revealed that the AUV provided a stable platform for the echo sounders and improved vertical and horizontal positional accuracy over echo sounders towed by ships. In comparison to hull-mounted echo sounders, elimination of ship noise and surface bubbles provided a 17- and 19-dBW decrease in the noise floor for the 38- and 120-kHz echo sounders, respectively, effectively increasing the sampling range by 30%-40%. The extended depth range also increased the resolution of the acoustic horizontal footprint from 37-40 to 0.6-3.7 m, enabling discrimination of individual targets at depth. Also developed here is novel onboard echo sounder data processing and autonomy to allow sampling not feasible in a surface ship or towed configuration. Taken together, these data demonstrate an effective new tool for examining the biology of animals in the mesopelagic zone (600-1200 m) in ways previously only possible in the upper ocean.</t>
  </si>
  <si>
    <t>[Moline, Mark A.] Univ Delaware, Sch Marine Sci &amp; Policy, Lewes, DE 19958 USA; [Benoit-Bird, Kelly; O'Gorman, David] Oregon State Univ, Coll Earth Ocean &amp; Atmospher Sci, Corvallis, OR 97331 USA; [Robbins, Ian C.] Calif Polytech State Univ San Luis Obispo, Ctr Coastal Marine Sci, San Luis Obispo, CA 93407 USA</t>
  </si>
  <si>
    <t>University of Delaware; Oregon State University; California State University System; California Polytechnic State University San Luis Obispo</t>
  </si>
  <si>
    <t>Moline, MA (corresponding author), Univ Delaware, Sch Marine Sci &amp; Policy, 700 Pilottown Rd, Lewes, DE 19958 USA.</t>
  </si>
  <si>
    <t>mmoline@udel.edu</t>
  </si>
  <si>
    <t>Strategic Environmental Research and Development Program (SERDP)</t>
  </si>
  <si>
    <t>We thank our collaborator, Brandon Southall, for coordination and access to study areas. Excellent field support was provided by Chad Waluk, David Cade, Megan Cimino, Danielle Haulsee, Marnie Jo Zirbel, John Calambokidas, and Ari Friedlander. We thank Marnie Jo Zirbel for laboratory analysis. The captain and crew of the R/V New Horizon and staff of the SIO Nimitz Marine Facility are thanked for their efforts in supporting the AUV operations and target validation studies. Kongsberg Hydroid Inc., especially Chris von Alt, Kongsberg Simrad, and Jeff Condiotty, are thanked for their partnership in echo sounder integration into the AUV. Matthew Wilson, David Millington, Briony Hutton, and Toby Jarvis from Echoview were creative and supportive partners in developing the internal data analysis process. Funding was provided by the Strategic Environmental Research and Development Program (SERDP). We thank SERDP program manager John Hall for the encouragement and support, and we appreciate the guidance provided by the SERDP RC Technical Committee.</t>
  </si>
  <si>
    <t>10.1175/JTECH-D-15-0035.1</t>
  </si>
  <si>
    <t>CX3MO</t>
  </si>
  <si>
    <t>WOS:000365603300014</t>
  </si>
  <si>
    <t>Krivolutsky, AA; Cherepanova, LA; Dement'eva, AV; Repnev, AI; Klyuchnikova, AV</t>
  </si>
  <si>
    <t>Krivolutsky, A. A.; Cherepanova, L. A.; Dement'eva, A. V.; Repnev, A. I.; Klyuchnikova, A. V.</t>
  </si>
  <si>
    <t>Global circulation of the Earth's atmosphere at altitudes from 0 to 135 Km simulated with the ARM model. Consideration of the solar activity contribution</t>
  </si>
  <si>
    <t>GENERAL-CIRCULATION; MIDDLE ATMOSPHERE; PARTICLE-PRECIPITATION; PROTON EVENT; GRAVITY-WAVE; PARAMETERIZATION; TIDES; CYCLE</t>
  </si>
  <si>
    <t>The results of simulations of the global circulation and temperature regime in the altitude range from the lower tropospheric layers to 135 km are presented. They were obtained with the Atmospheric Research Model (ARM), an advanced modification of a version of the Cologne Middle Atmosphere Model (COMMA). The ARM is characterized by higher spatial resolution and better parameterizations of the radiation sources and heat sinks. At the lower boundary of the model, wavy sources of perturbations, which are caused by internal gravity waves and planetary waves, are specified. The results of the modeling of the global temperature and wind fields for the mean solar activity level are presented, and their changes, which are caused by variations of the UV-radiation fluxes in the solar activity cycle and by solar proton flares, are also considered.</t>
  </si>
  <si>
    <t>[Krivolutsky, A. A.; Cherepanova, L. A.; Dement'eva, A. V.; Repnev, A. I.; Klyuchnikova, A. V.] Cent Aerol Observ Rosgidromet, Dolgoprudnyi 141700, Moscow Oblast, Russia</t>
  </si>
  <si>
    <t>Krivolutsky, AA (corresponding author), Cent Aerol Observ Rosgidromet, Ul Pervomayskaya 3, Dolgoprudnyi 141700, Moscow Oblast, Russia.</t>
  </si>
  <si>
    <t>alexei.krivolutsky@rambler.ru</t>
  </si>
  <si>
    <t>Cherepanova, Lyubov/AAG-4951-2020</t>
  </si>
  <si>
    <t>Cherepanova, Lyubov/0000-0002-3983-8922</t>
  </si>
  <si>
    <t>Russian Foundation for Basic Research [97-05-6605a, 03-05-64675a, 06-05-64434a, 09-05-0702d, 09-05-00949a, 13-05-0105213a]; subprogram Investigations and Studies of Antarctic of the Federal Special-Purpose Program Global Ocean</t>
  </si>
  <si>
    <t>Russian Foundation for Basic Research(Russian Foundation for Basic Research (RFBR)Spanish Government); subprogram Investigations and Studies of Antarctic of the Federal Special-Purpose Program Global Ocean</t>
  </si>
  <si>
    <t>The cycle of the papers on three-dimensional simulations of the influence of the solar activity factors on the ozonosphere performed by this research group from the Laboratory of Atmospheric Chemistry and Dynamics of CAO has been supported for many years by the Russian Foundation for Basic Research (project nos. 97-05-6605a, 03-05-64675a, 06-05-64434a, 09-05-0702d, 09-05-00949a, and 13-05-0105213a). The studies on the modeling of the impact of energetic particles on the polar regions of the Earth carried out by this research group were supported by the subprogram Investigations and Studies of Antarctic of the Federal Special-Purpose Program Global Ocean. The three-dimensional models were developed, advanced, and used in different problems of hydrometeorology and solar physics within the framework of scientific projects of the Roshydromet research activity.</t>
  </si>
  <si>
    <t>10.1134/S0016793215060067</t>
  </si>
  <si>
    <t>CW8UB</t>
  </si>
  <si>
    <t>WOS:000365273700009</t>
  </si>
  <si>
    <t>Datt, P; Gusain, HS; Das, RK</t>
  </si>
  <si>
    <t>Datt, Prem; Gusain, H. S.; Das, R. K.</t>
  </si>
  <si>
    <t>Measurements of net subsurface heat flux in snow and ice media in Dronning Maud Land, Antarctica</t>
  </si>
  <si>
    <t>JOURNAL OF THE GEOLOGICAL SOCIETY OF INDIA</t>
  </si>
  <si>
    <t>Subsurface heat flux; Snow and ice media; Radiation penetration; Surface energy balance; Antarctica</t>
  </si>
  <si>
    <t>TURBULENT ENERGY FLUXES; SURFACE-ENERGY; BALANCE; SHEET; EDGE; SUMMER</t>
  </si>
  <si>
    <t>Sub-surface heat flux plays an important role in the energy balance of snow cover, glaciers and ice sheets, and varies with the density of snow/ice media. In this paper, we report experimental observations of the sub-surface heat flux conducted in different snow and ice media in Antarctica. Experiments were conducted on low density fresh snowpack, wind compacted high density snowpack, and blue ice area in east Dronning Maud Land, Antarctica, in a radius of 10 km from Indian research station Maitri (70A degrees 46'03.98aEuro(3) S and 11A degrees 41'40.72aEuro(3) E). Direct measurements of net subsurface heat flux were carried out using an experimental setup consisting of heat flux plates. Two heat flux plates along with two temperature sensors were placed horizontally inside the snowpack / ice sheet at a depth of approximately 10 cm from the surface during summer season between December 2011and February 2012. The mean diurnal net subsurface heat fluxes for low density snow (location 1), high density wind compacted snow (location 2), and blue ice area (location 3) observed were 7.36 +/- 9.39 W m(-2), -0.12 +/- 7.6 W m(-2) and 3.20 +/- 13.32 W m(-2), respectively, during the measurements periods. The amplitudes of the mean diurnal variations of net sub-surface heat flux were 14.23 W m(-2), 11.42W m(-2) and 18.55 W m(-2) at location 1, location 2 and location 3, respectively. Mean net sub-surface heat flux was observed to be comparatively lower for wind compacted high density snow.</t>
  </si>
  <si>
    <t>[Datt, Prem; Gusain, H. S.; Das, R. K.] Snow &amp; Avalanche Study Estab, Ctr Res &amp; Dev, Chandigrah 160036, India</t>
  </si>
  <si>
    <t>Defence Research &amp; Development Organisation (DRDO); Snow &amp; Avalanche Study Establishment (SASE)</t>
  </si>
  <si>
    <t>Datt, P (corresponding author), Snow &amp; Avalanche Study Estab, Ctr Res &amp; Dev, Sect 37 A, Chandigrah 160036, India.</t>
  </si>
  <si>
    <t>datt_prem@rediffmail.com</t>
  </si>
  <si>
    <t>GUSAIN, HEMENDRA SINGH/I-8599-2019</t>
  </si>
  <si>
    <t>GUSAIN, HEMENDRA SINGH/0000-0001-8562-731X</t>
  </si>
  <si>
    <t>National Centre for Antarctic and Ocean Research (NCAOR), Goa</t>
  </si>
  <si>
    <t>Authors would like to thank Shri Ashwagosha Ganju, Director, Snow and Avalanche Study Establishment (SASE), for encouraging to carry out this study during 31st Indian Scientific Expedition to Antarctica (ISEA). Authors are thankful to Dr P K Satyawali and Dr V D Mishra for all the support during the expedition period. Special thanks to Shri Bhupinder Kumar for dedicated field assistance in data collection. We are also thankful to Shri Uttam Chand and all members of 31st ISEA for providing logistic support. We also thank National Centre for Antarctic and Ocean Research (NCAOR), Goa for all the support.</t>
  </si>
  <si>
    <t>SPRINGER INDIA</t>
  </si>
  <si>
    <t>7TH FLOOR, VIJAYA BUILDING, 17, BARAKHAMBA ROAD, NEW DELHI, 110 001, INDIA</t>
  </si>
  <si>
    <t>0016-7622</t>
  </si>
  <si>
    <t>0974-6889</t>
  </si>
  <si>
    <t>J GEOL SOC INDIA</t>
  </si>
  <si>
    <t>J. Geol. Soc. India</t>
  </si>
  <si>
    <t>10.1007/s12594-015-0352-y</t>
  </si>
  <si>
    <t>CW8SZ</t>
  </si>
  <si>
    <t>WOS:000365270900013</t>
  </si>
  <si>
    <t>Piyanova, SV; Filippova, OP; Zuevskiy, SE</t>
  </si>
  <si>
    <t>Piyanova, S. V.; Filippova, O. P.; Zuevskiy, S. E.</t>
  </si>
  <si>
    <t>Oogenesis of bester hybrids (female Huso huso (Linnaeus, 1758)xmale Acipenser ruthenus (Linnaeus, 1758) during the inter-spawning period while cultured in a recycling system</t>
  </si>
  <si>
    <t>JOURNAL OF APPLIED ICHTHYOLOGY</t>
  </si>
  <si>
    <t>2nd Workshop on Diversification in Inland Finfish Aquaculture (DIFA-II)</t>
  </si>
  <si>
    <t>SEP 24-26, 2013</t>
  </si>
  <si>
    <t>Vodnany, CZECH REPUBLIC</t>
  </si>
  <si>
    <t>OVARIAN STAGE; STURGEON</t>
  </si>
  <si>
    <t>The study aims were to determine the dynamic changes in oocyte characteristics in the ovaries of two hybrids of beluga and sterlet under controlled conditions. The study was carried out between 2010 and 2012, with fish approaching their maturation period in captivity. Duration of the inter-spawning period lasted from 10 to 12months for the two hybrids raised at temperatures of 20-21 degrees C. The oocyte envelopes and their characteristics were studied using histology. The oocyte envelope layers showed inter-hybrid differences in growth and structural characteristics. The bester eggs can be determined by their envelope thickness compared to most other sturgeon eggs. Duration of various stages of the individual oogenetic development and envelope formation is described in bester hybrids. These were similar to the oogenesis for both of the other hybrid forms and those observed in the pure sturgeon species.</t>
  </si>
  <si>
    <t>[Piyanova, S. V.] Russian Fed Res Inst Fisheries &amp; Oceanog VNIRO, Lab Arctic &amp; Antarctic, Moscow, Russia; [Filippova, O. P.; Zuevskiy, S. E.] Russian Fed Res Inst Fisheries &amp; Oceanog VNIRO, Lab Regulatory &amp; Technol Dev Aquaculture, Moscow, Russia</t>
  </si>
  <si>
    <t>Research lnstitute of Fisheries &amp; Oceanography; Research lnstitute of Fisheries &amp; Oceanography</t>
  </si>
  <si>
    <t>Piyanova, SV (corresponding author), Russian Fed Res Inst Fisheries &amp; Oceanog, V FSUE VNIRO, Lab Arctic &amp; Antarctic, Krasnoselskaya 17, Moscow 107140, Russia.</t>
  </si>
  <si>
    <t>pjanova@vniro.ru</t>
  </si>
  <si>
    <t>Filippova, Ol'ga/0009-0001-4603-5669; Zuevskii, Sergei/0009-0007-7744-6149</t>
  </si>
  <si>
    <t>Russian Federal Agency for Fisheries (Moscow, Russian Federation) [7-01]</t>
  </si>
  <si>
    <t>Russian Federal Agency for Fisheries (Moscow, Russian Federation)</t>
  </si>
  <si>
    <t>We wish to thank the staff of the Aquaculture laboratory of VNIRO (Moscow, Russian Federation) for their assistance in the experimental work in the aquaria complex. This work was supported by the State Contract No. 7-01 with Russian Federal Agency for Fisheries (Moscow, Russian Federation). We are also grateful to the editor of the Journal of Applied Ichthyology for valuable comments and recommendations.</t>
  </si>
  <si>
    <t>0175-8659</t>
  </si>
  <si>
    <t>1439-0426</t>
  </si>
  <si>
    <t>J APPL ICHTHYOL</t>
  </si>
  <si>
    <t>J. Appl. Ichthyol.</t>
  </si>
  <si>
    <t>10.1111/jai.12897</t>
  </si>
  <si>
    <t>CV9FM</t>
  </si>
  <si>
    <t>WOS:000364592800011</t>
  </si>
  <si>
    <t>Morioka, Y; Engelbrecht, F; Behera, SK</t>
  </si>
  <si>
    <t>Morioka, Yushi; Engelbrecht, Francois; Behera, Swadhin K.</t>
  </si>
  <si>
    <t>Potential Sources of Decadal Climate Variability over Southern Africa</t>
  </si>
  <si>
    <t>Geographic location; entity; Africa; Indian Ocean; South Atlantic Ocean; Circulation; Dynamics; Atmosphere-ocean interaction; Models and modeling; General circulation models; Variability; Decadal variability</t>
  </si>
  <si>
    <t>INDIAN-OCEAN; HEAT-BALANCE; EL-NINO; RAINFALL; PACIFIC; ENSO; OSCILLATION; MODEL; IMPACTS; SYSTEM</t>
  </si>
  <si>
    <t>Potential sources of decadal climate variability over southern Africa are examined by conducting in-depth analysis of available datasets and coupled general circulation model (CGCM) experiments. The observational data in recent decades show a bidecadal variability noticeable in the southern African rainfall with its positive phase of peak during 1999/2000. It is found that the rainfall variability is related to anomalous moisture advection from the southwestern Indian Ocean, where the anomalous sea level pressure (SLP) develops. The SLP anomaly is accompanied by anomalous sea surface temperature (SST). Both SLP and SST anomalies slowly propagate eastward from the South Atlantic to the southwestern Indian Ocean. The analysis of mixed layer temperature tendency reveals that the SST anomaly in the southwestern Indian Ocean is mainly due to eastward advection of the SST anomaly by the Antarctic Circumpolar Current. The eastward propagation of SLP and SST anomalies are also confirmed in the 270-yr outputs of the CGCM control experiment. However, in a sensitivity experiment where the SST anomalies in the South Atlantic are suppressed by the model climatology, the eastward propagation of the SLP anomaly from the South Atlantic disappears. These results suggest that the local air-sea coupling in the South Atlantic may be important for the eastward propagation of the SLP anomaly from the South Atlantic to the southwestern Indian Ocean. Although remote influences from the tropical Pacific and Antarctica were widely discussed, this study provides new evidence for the potential role of local air-sea coupling in the South Atlantic for the decadal climate variability over southern Africa.</t>
  </si>
  <si>
    <t>[Morioka, Yushi; Behera, Swadhin K.] Japan Agcy Marine Earth Sci &amp; Technol, Applicat Lab, Yokohama, Kanagawa, Japan; [Engelbrecht, Francois] CSIR, Climate Studies Modelling &amp; Environm Hlth, Nat Resources &amp; Environm, ZA-0001 Pretoria, South Africa</t>
  </si>
  <si>
    <t>Japan Agency for Marine-Earth Science &amp; Technology (JAMSTEC); Council for Scientific &amp; Industrial Research (CSIR) - South Africa</t>
  </si>
  <si>
    <t>Morioka, Y (corresponding author), JAMSTEC, Applicat Lab, Kanazawa Ku, 3173-25 Showamachi, Yokohama, Kanagawa 2360001, Japan.</t>
  </si>
  <si>
    <t>morioka@jamstec.go.jp</t>
  </si>
  <si>
    <t>Behera, Swadhin K./B-7839-2009; Morioka, Yushi/G-3431-2014</t>
  </si>
  <si>
    <t>Behera, Swadhin K./0000-0001-8692-2388; Morioka, Yushi/0000-0002-2709-4911</t>
  </si>
  <si>
    <t>JSPS KAKENHI [15K17768]; Japan Science and Technology Agency/Japan Agency for Medical Research and Development through Science and Technology Research Partnership for Sustainable Development (SATREPS); Environment Research and Technology Development Fund of the Ministry of the Environment, Japan [2-1405]; Applied Centre for Climate and Earth System Studies (ACCESS) in South Africa; Grants-in-Aid for Scientific Research [15K17768] Funding Source: KAKEN</t>
  </si>
  <si>
    <t>JSPS KAKENHI(Ministry of Education, Culture, Sports, Science and Technology, Japan (MEXT)Japan Society for the Promotion of ScienceGrants-in-Aid for Scientific Research (KAKENHI)); Japan Science and Technology Agency/Japan Agency for Medical Research and Development through Science and Technology Research Partnership for Sustainable Development (SATREPS)(Japan Agency for Medical Research and Development (AMED)); Environment Research and Technology Development Fund of the Ministry of the Environment, Japan(Ministry of the Environment, Japan); Applied Centre for Climate and Earth System Studies (ACCESS) in South Africa; Grants-in-Aid for Scientific Research(Ministry of Education, Culture, Sports, Science and Technology, Japan (MEXT)Japan Society for the Promotion of ScienceGrants-in-Aid for Scientific Research (KAKENHI))</t>
  </si>
  <si>
    <t>The SINTEX-F2 was run on the Earth Simulator at the Japan Agency for Marine-Earth Science and Technology (JAMSTEC). Constructive comments from Drs. Toshio Yamagata, Yukio Masumoto, and Masami Nonaka helped improve the original manuscript. The authors are also grateful to three anonymous reviewers providing helpful comments to revise the manuscript. The present research is supported by JSPS KAKENHI Grant 15K17768, the Japan Science and Technology Agency/Japan Agency for Medical Research and Development through the Science and Technology Research Partnership for Sustainable Development (SATREPS), the Environment Research and Technology Development Fund (2-1405) of the Ministry of the Environment, Japan, and the Applied Centre for Climate and Earth System Studies (ACCESS) in South Africa.</t>
  </si>
  <si>
    <t>10.1175/JCLI-D-15-0201.1</t>
  </si>
  <si>
    <t>CV9TM</t>
  </si>
  <si>
    <t>WOS:000364629500003</t>
  </si>
  <si>
    <t>Hochet, A; Huck, T; de Verdière, AC</t>
  </si>
  <si>
    <t>Hochet, Antoine; Huck, Thierry; de Verdiere, Alain Colin</t>
  </si>
  <si>
    <t>Large-Scale Baroclinic Instability of the Mean Oceanic Circulation: A Local Approach</t>
  </si>
  <si>
    <t>ROSSBY WAVES; PLANETARY-WAVES; VERTICAL STRUCTURE; FLOW; SPEED; MODES</t>
  </si>
  <si>
    <t>Large-scale baroclinic instability is investigated as a potential source of Rossby waves and large-scale variability in the ocean. This baroclinic instability is first reviewed in a 2.5-layer model. As already noticed by several authors, the instability arises in westward surface mean flow when the phase velocities of the two vertical modes are made equal by mean flow influence. This large-scale instability is stronger at low latitudes and thus is likely to happen in the westward return flow of the subtropical gyres. Further investigations with a continuous stratification quasigeostrophic model show that the instability is stronger where the mean flow projects negatively on the second baroclinic mode (imposing positive vertical modes at the surface). The linear stability calculation is then performed on Argo-derived mean flow along with mean stratification data. The results show that the unstable regions are situated at low latitudes in every oceanic basin, in western boundary currents, and in some part of the Antarctic Circumpolar Current. The location of these unstable regions is well correlated with the region of negative projection of the mean flow on the second baroclinic mode. Given that the unstable mode growth times are generally smaller than 6 months at low latitudes, these unstable modes are likely to be observable in satellite altimetry. Therefore, results of the present article suggest that the large-scale instability is indeed a source of large-scale variability at low latitudes.</t>
  </si>
  <si>
    <t>[Hochet, Antoine; Huck, Thierry; de Verdiere, Alain Colin] Lab Phys Oceans, Brest, France</t>
  </si>
  <si>
    <t>Centre National de la Recherche Scientifique (CNRS); Ifremer; Institut de Recherche pour le Developpement (IRD)</t>
  </si>
  <si>
    <t>Hochet, A (corresponding author), UBO UFR Sci &amp; Tech, Lab Phys Oceans, UMR 6523, 6 Ave Gorgeu, F-29200 Brest, France.</t>
  </si>
  <si>
    <t>antoine.hochet@univ-brest.fr</t>
  </si>
  <si>
    <t>Huck, Thierry/L-5549-2015</t>
  </si>
  <si>
    <t>Huck, Thierry/0000-0002-2885-5153</t>
  </si>
  <si>
    <t>10.1175/JPO-D-15-0084.1</t>
  </si>
  <si>
    <t>CV6WI</t>
  </si>
  <si>
    <t>WOS:000364412100003</t>
  </si>
  <si>
    <t>Zanowski, H; Hallberg, R; Sarmiento, JL</t>
  </si>
  <si>
    <t>Zanowski, Hannah; Hallberg, Robert; Sarmiento, Jorge L.</t>
  </si>
  <si>
    <t>Abyssal Ocean Warming and Salinification after Weddell Polynyas in the GFDL CM2G Coupled Climate Model</t>
  </si>
  <si>
    <t>TOTAL GEOSTROPHIC CIRCULATION; ANTARCTIC BOTTOM WATER; WESTERN SOUTH-ATLANTIC; SEA-LEVEL RISE; FLOW PATTERNS; INDIAN-OCEAN; MAUD RISE; PACIFIC-OCEAN; DEEP-WATER; GLOBAL ABYSSAL</t>
  </si>
  <si>
    <t>The role of Weddell Sea polynyas in establishing deep-ocean properties is explored in the NOAA Geophysical Fluid Dynamics Laboratory's (GFDL) coupled climate model CM2G. Using statistical composite analysis of over 30 polynya events that occur in a 2000-yr-long preindustrial control run, the temperature, salinity, and water mass changes associated with the composite event are quantified. For the time period following the composite polynya cessation, termed the recovery, warming between 0.002 degrees and 0.019 degrees C decade(-1) occurs below 4200 m in the Southern Ocean basins. Temperature and salinity changes are strongest in the Southern Ocean and the South Atlantic near the polynya formation region. Comparison of the model results with abyssal temperature observations reveals that the 1970s Weddell Polynya recovery could account for 10% +/- 8% of the recent warming in the abyssal Southern Ocean. For individual Southern Ocean basins, this percentage is as little as 6% +/- 11% or as much as 34% +/- 13%.</t>
  </si>
  <si>
    <t>[Zanowski, Hannah; Sarmiento, Jorge L.] Princeton Univ, Program Atmospher &amp; Ocean Sci, Princeton, NJ 08544 USA; [Hallberg, Robert] NOAA, Geophys Fluid Dynam Lab, Princeton, NJ USA</t>
  </si>
  <si>
    <t>National Oceanic Atmospheric Admin (NOAA) - USA; Princeton University; National Oceanic Atmospheric Admin (NOAA) - USA</t>
  </si>
  <si>
    <t>Zanowski, H (corresponding author), Program Atmospher &amp; Ocean Sci, Sayre Hall,300 Forrestal Rd, Princeton, NJ 08544 USA.</t>
  </si>
  <si>
    <t>zanowski@princeton.edu</t>
  </si>
  <si>
    <t>Zanowski, Hannah/0000-0002-4086-2583</t>
  </si>
  <si>
    <t>National Oceanic and Atmospheric Administration, U.S. Department of Commerce [NA08OAR4320752, NA14OAR4320106]</t>
  </si>
  <si>
    <t>National Oceanic and Atmospheric Administration, U.S. Department of Commerce(National Oceanic Atmospheric Admin (NOAA) - USA)</t>
  </si>
  <si>
    <t>The authors thank Sonya Legg, Adele Morrison, Stephen Griffies, Robert Key, and two anonymous reviewers for providing valuable feedback that greatly improved this manuscript. We thank Sarah G. Purkey for providing observed basin-mean temperature rates on isobars and basin boundary coordinates, which facilitated comparison between our model and the observations. Figures were created using Python's Matplotlib plotting package. Hannah Zanowski was supported under Awards NA08OAR4320752 and NA14OAR4320106 from the National Oceanic and Atmospheric Administration, U.S. Department of Commerce. The statements, findings, conclusions, and recommendations are those of the author(s) and do not necessarily reflect the views of NOAA or the U.S. Department of Commerce.</t>
  </si>
  <si>
    <t>10.1175/JPO-D-15-0109.1</t>
  </si>
  <si>
    <t>WOS:000364412100004</t>
  </si>
  <si>
    <t>Kidd, IM; Fischer, A; Chai, SH; Davis, JA</t>
  </si>
  <si>
    <t>Kidd, Ian M.; Fischer, Andrew; Chai, Shuhong; Davis, Jenny A.</t>
  </si>
  <si>
    <t>A scenario-based approach to evaluating potential environmental impacts following a tidal barrage installation</t>
  </si>
  <si>
    <t>OCEAN &amp; COASTAL MANAGEMENT</t>
  </si>
  <si>
    <t>Total exclusion barrage; Remnant estuary; Tidal prism; Bathymetry; Migratory species; Morphology</t>
  </si>
  <si>
    <t>BIODIVERSITY OFFSETS; ESTUARINE MORPHOLOGY; TAMAR ESTUARY; CONSERVATION; CONTAMINANTS; RESTORATION; PREDICTION; SEDIMENT; DYNAMICS; TASMANIA</t>
  </si>
  <si>
    <t>Total exclusion barrages have a high impact on estuarine systems as they are permanent barriers to tidal flow. The environmental impacts of five putative barrages in various locations within the Tamar River estuary in northern Tasmania, Australia were assessed by considering likely hydrological, morphological and ecological outcomes. We found that all hypothetical barrages would produce downstream silt accretion, some to the point where a major port would become unusable without ongoing dredging. The closer a barrage was located to the mouth of the estuary, the greater the loss of tidal prism, the lower the effect of flushing by floodwaters, and the greater the loss of estuarine biodiversity. Eradication of invasive rice grass (Spartina anglica) in the mid estuary is potentially a positive outcome, whilst constant head-pond surface heights could cause bank erosion and subsidence. Loss of tidal wetlands would contravene the international treaties protecting the migratory waterbirds which use these habitats. Installation of a barrage at the uppermost location appears to represent the best trade-off between adverse impacts and increased recreational and visual amenity. Unfortunately, barrage installation at any site within the estuary fails to address the major anthropogenic stressors of reduced riverine inflows and tidal flushing. A wider sustainability analysis is needed in which the costs of meeting environmental, social and economic objectives are considered. (C) 2015 Elsevier Ltd. All rights reserved.</t>
  </si>
  <si>
    <t>[Kidd, Ian M.; Fischer, Andrew] Univ Tasmania, Inst Marine &amp; Antarctic Studies, Launceston, Tas 7248, Australia; [Chai, Shuhong] Univ Tasmania, Australian Maritime Coll, Natl Ctr Marine Engn &amp; Hydrodynam, Launceston, Tas 7248, Australia; [Davis, Jenny A.] Univ Canberra, Inst Appl Ecol, Canberra, ACT 2617, Australia</t>
  </si>
  <si>
    <t>University of Tasmania; University of Tasmania; Australian Maritime College; University of Canberra</t>
  </si>
  <si>
    <t>Kidd, IM (corresponding author), Univ Tasmania, Inst Marine &amp; Antarctic Studies, Launceston, Tas 7248, Australia.</t>
  </si>
  <si>
    <t>imkidd@utas.edu.au</t>
  </si>
  <si>
    <t>Chai, Shuhong/N-4091-2017</t>
  </si>
  <si>
    <t>Chai, Shuhong/0000-0001-5186-4456; Fischer, Andrew/0000-0001-5284-6428</t>
  </si>
  <si>
    <t>University of Canberra; University of Tasmania</t>
  </si>
  <si>
    <t>The constructive comments from Dr Andrew Boulton and other anonymous reviewers are greatly appreciated as is the support provided by University of Canberra and the University of Tasmania.</t>
  </si>
  <si>
    <t>0964-5691</t>
  </si>
  <si>
    <t>1873-524X</t>
  </si>
  <si>
    <t>OCEAN COAST MANAGE</t>
  </si>
  <si>
    <t>Ocean Coastal Manage.</t>
  </si>
  <si>
    <t>10.1016/j.ocecoaman.2015.06.016</t>
  </si>
  <si>
    <t>Oceanography; Water Resources</t>
  </si>
  <si>
    <t>CV7FB</t>
  </si>
  <si>
    <t>WOS:000364436700002</t>
  </si>
  <si>
    <t>Park, JA; Gardner, C; Jang, YS; Chang, MI; Seo, YI; Kim, DH</t>
  </si>
  <si>
    <t>Park, Jeong-A.; Gardner, Caleb; Jang, Young-Soo; Chang, Myo-In; Seo, Young-Il; Kim, Do-Hoon</t>
  </si>
  <si>
    <t>The economic feasibility of light-emitting diode (LED) lights for the Korean offshore squid-jigging fishery</t>
  </si>
  <si>
    <t>Economic feasibility; Greenhouse gas; Korean fisheries; Sensitivity analysis; LED lamp; Net present value</t>
  </si>
  <si>
    <t>FOOTPRINT</t>
  </si>
  <si>
    <t>Squid-jigging has one of the highest levels of fuel consumption and greenhouse gas emission per kg of fish production of any of Korea's fisheries. The lights on squid-jigging vessels are the primary reason for their high fuel use and account for about 65% of total fuel costs for these vessels. This suggests that a high-efficiency lighting system would improve fisher's profits and reduce environmental impact. This study analyzed the economic feasibility of changing the fishing lights on squid-jigging vessels from metal halide (MH) lights to light-emitting diodes (LED) lights in terms of managing fuel costs and decreasing greenhouse gas emissions. Net present value (NPV) and benefit-cost ratio (BCR) approaches were used including with a sensitivity analysis of a governmental subsidy of the fishery for the use of LED lights. Fuel use would be reduced by 65,163 kL (USD 54,999,302) and GHG emissions would be reduced by 172,486 tCO(2)e annually if all offshore squid-jigging vessels changed to LED lights. The annual economic benefits ranged from KRW 1034.9 million (USD 932,351) to KRW 1724.9 million (USD 1,553,919) when the minimum and maximum values for Korean carbon trading prices were applied, respectively. Furthermore, the NPV and BCR results showed that it would be economically feasible to use LED lights if a vessel operated for 10 years after changing its system. The NPV that included benefits of fuel reduction and greenhouse gas emission reduction credits was 89% (USD 22,786) higher than when considering fuel reduction alone. The benefit of Government subsidies for installing LED lights was sensitive to catch rate and was only necessary if catches fell below 78.9% of that achieved with MH lights. The subsidy rate with the NPV set to zero increased about 93% when the catch production ratio of squid decreased by 1%. This analysis shows there is substantial opportunity for reducing emissions in fisheries by adopting lower emission technology. Adoption can require Government intervention, such as with subsidy in this case despite long run benefits of reduced fuel use and thus cost through the adoption of LED lights. (C) 2015 Elsevier Ltd. All rights reserved.</t>
  </si>
  <si>
    <t>[Park, Jeong-A.; Gardner, Caleb] Univ Tasmania, Inst Marine &amp; Antarctic Studies, Hobart, Tas 7001, Australia; [Park, Jeong-A.; Jang, Young-Soo; Kim, Do-Hoon] Pukyong Natl Univ, Dept Marine &amp; Fisheries Business &amp; Econ, Busan 608737, South Korea; [Chang, Myo-In] Minist Oceans &amp; Fisheries Korea, Sejong 339012, South Korea; [Seo, Young-Il] Natl Fisheries Res &amp; Dev Inst, Fisheries Resources Res Div, Busan 619705, South Korea</t>
  </si>
  <si>
    <t>University of Tasmania; Pukyong National University</t>
  </si>
  <si>
    <t>Kim, DH (corresponding author), Pukyong Natl Univ, Dept Marine &amp; Fisheries Business &amp; Econ, Yongso Ro 45, Busan 608737, South Korea.</t>
  </si>
  <si>
    <t>redflower.ja@gmail.com; caleb.gardner@utas.edu.au; ysjang@pknu.ac.kr; myo-in@hanmail.net; seoyi@korea.kr; delaware310@naver.com</t>
  </si>
  <si>
    <t>Gardner, Caleb/I-7086-2013</t>
  </si>
  <si>
    <t>Gardner, Caleb/0000-0003-0324-4337; Park, Jeonga/0000-0001-9530-6229</t>
  </si>
  <si>
    <t>National Fisheries Research and Development Institute [R2015025]</t>
  </si>
  <si>
    <t>National Fisheries Research and Development Institute</t>
  </si>
  <si>
    <t>The authors thank Young-Il An for providing data that enabled analyses to be conducted for this research. This work was supported by a grant from the National Fisheries Research and Development Institute (R2015025).</t>
  </si>
  <si>
    <t>10.1016/j.ocecoaman.2015.08.012</t>
  </si>
  <si>
    <t>WOS:000364436700031</t>
  </si>
  <si>
    <t>Hansen, SE; Reusch, AM; Parker, T; Bloomquist, DK; Carpenter, P; Craw, JH; Brenn, GR</t>
  </si>
  <si>
    <t>Hansen, Samantha E.; Reusch, Angela M.; Parker, Timothy; Bloomquist, Douglas K.; Carpenter, Paul; Craw, Jordan H.; Brenn, Gregory R.</t>
  </si>
  <si>
    <t>The Transantarctic Mountains Northern Network (TAMNNET): Deployment and Performance of a Seismic Array in Antarctica</t>
  </si>
  <si>
    <t>SEISMOLOGICAL RESEARCH LETTERS</t>
  </si>
  <si>
    <t>EAST ANTARCTICA; RIFT SYSTEM; ROSS SEA; WEST; HISTORY; UPLIFT; CONSTRAINTS; EXTENSION</t>
  </si>
  <si>
    <t>[Hansen, Samantha E.; Craw, Jordan H.; Brenn, Gregory R.] Univ Alabama, Dept Geol Sci, Tuscaloosa, AL 35487 USA; [Reusch, Angela M.; Parker, Timothy; Bloomquist, Douglas K.; Carpenter, Paul] New Mexico Inst Min &amp; Technol, Inc Res Inst Seismol Program Array Seism Studies, Socorro, NM 87801 USA</t>
  </si>
  <si>
    <t>University of Alabama System; University of Alabama Tuscaloosa; New Mexico Institute of Mining Technology</t>
  </si>
  <si>
    <t>Hansen, SE (corresponding author), Univ Alabama, Dept Geol Sci, 201 7th Ave, Tuscaloosa, AL 35487 USA.</t>
  </si>
  <si>
    <t>shansen@geo.ua.edu</t>
  </si>
  <si>
    <t>Hansen, Samantha/0000-0001-7608-5715</t>
  </si>
  <si>
    <t>NSF [EAR-1063471, ANT-1139739]; NSF Office of Polar Programs; Department of Energy National Nuclear Security Administration; Directorate For Geosciences; Office of Polar Programs (OPP) [1148982] Funding Source: National Science Foundation</t>
  </si>
  <si>
    <t>NSF(National Science Foundation (NSF)); NSF Office of Polar Programs(National Science Foundation (NSF)); Department of Energy National Nuclear Security Administration(National Nuclear Security AdministrationUnited States Department of Energy (DOE)); Directorate For Geosciences; Office of Polar Programs (OPP)(National Science Foundation (NSF)NSF - Directorate for Geosciences (GEO))</t>
  </si>
  <si>
    <t>We would like to thank the Transantarctic Mountains Northern Network (TAMNNET) field team, the Antarctic Support Contractor, the Incorporated Research Institutions for Seismology Program for the Array Seismic Studies of the Continental Lithosphere (IRIS-PASSCAL) facility, and the National Science Foundation (NSF) for their logistical support. We also thank Editor-in-Chief Zhigang Peng and two anonymous reviewers for their thorough critiques of this article. Data handling assistance has been provided by the IRIS Data Management Center (DMC). The facilities of the IRIS Consortium are supported by the NSF under cooperative agreement EAR-1063471, the NSF Office of Polar Programs, and the Department of Energy National Nuclear Security Administration. Funding for this project was provided by NSF Grant ANT-1139739.</t>
  </si>
  <si>
    <t>SEISMOLOGICAL SOC AMER</t>
  </si>
  <si>
    <t>ALBANY</t>
  </si>
  <si>
    <t>400 EVELYN AVE, SUITE 201, ALBANY, CA 94706-1375 USA</t>
  </si>
  <si>
    <t>0895-0695</t>
  </si>
  <si>
    <t>1938-2057</t>
  </si>
  <si>
    <t>SEISMOL RES LETT</t>
  </si>
  <si>
    <t>Seismol. Res. Lett.</t>
  </si>
  <si>
    <t>10.1785/0220150117</t>
  </si>
  <si>
    <t>CV9MA</t>
  </si>
  <si>
    <t>WOS:000364610100017</t>
  </si>
  <si>
    <t>Green, CP; Robertson, SG; Hamer, PA; Virtue, P; Jackson, GD; Moltschaniwskyj, NA</t>
  </si>
  <si>
    <t>Green, Corey P.; Robertson, Simon G.; Hamer, Paul A.; Virtue, Patti; Jackson, George D.; Moltschaniwskyj, Natalie A.</t>
  </si>
  <si>
    <t>Combining statolith element composition and Fourier shape data allows discrimination of spatial and temporal stock structure of arrow squid (Nototodarus gouldi)</t>
  </si>
  <si>
    <t>CANADIAN JOURNAL OF FISHERIES AND AQUATIC SCIENCES</t>
  </si>
  <si>
    <t>AUSTRALIA SOUTHERN SHELVES; OTOLITH CHEMISTRY; TRACE-ELEMENTS; FISH OTOLITHS; FLYING SQUID; LOLIGO-GAHI; FINGERPRINTS; CEPHALOPODA; VARIABILITY; FISHERIES</t>
  </si>
  <si>
    <t>While arrow squid (Nototodarus gouldi) in Australia are currently managed as a single population, biological differences in individuals between locations of capture suggests these are separate stocks requiring stock-specific harvest strategies. We used two techniques to derive information about stock structure from different parts of the life cycle, providing a novel holistic approach to exploring stock structure. This study combined two techniques, statolith shape and statolith elemental composition, to determine dispersal patterns of N. gouldi between regions and evidence of separate stocks. While adult statolith shape provided evidence that adults caught in the two locations belonged to different stocks, statolith elemental composition suggested that N. gouldi caught at each location had hatched throughout their distribution, with egg mass and juvenile drift potentially facilitated by seasonal longitudinal ocean currents. However, there was evidence of asymmetry in ontogenetic movement of N. gouldi, with adults in Victoria contributing more to the Great Australian Bight stock than vice versa and with the implication that the Victorian stock may need to be managed as the source stock.</t>
  </si>
  <si>
    <t>[Green, Corey P.; Virtue, Patti] Univ Tasmania, Inst Marine &amp; Antarctic Studies, Private Bag 129, Hobart, Tas 7001, Australia; [Green, Corey P.; Hamer, Paul A.] Fisheries Victoria, Dept Econ Dev Jobs Transport &amp; Resources, Queenscliff, Vic 3225, Australia; [Robertson, Simon G.] Fish Ageing Serv, Portarlington, Vic 3223, Australia; [Jackson, George D.] Weimar Coll, Weimar, CA 95736 USA; [Moltschaniwskyj, Natalie A.] Univ Newcastle, Sch Environm &amp; Life Sci, Ourimbah, NSW 2258, Australia</t>
  </si>
  <si>
    <t>Green, CP (corresponding author), Univ Tasmania, Inst Marine &amp; Antarctic Studies, Private Bag 129, Hobart, Tas 7001, Australia.</t>
  </si>
  <si>
    <t>corey.green@ecodev.vic.gov.au</t>
  </si>
  <si>
    <t>Moltschaniwskyj, Natalie/AAB-7236-2019; Jackson, George D/AAI-7315-2021</t>
  </si>
  <si>
    <t>Moltschaniwskyj, Natalie/0000-0001-9709-9876; Virtue, Patti/0000-0002-9870-1256</t>
  </si>
  <si>
    <t>Fisheries Research and Development Corporation Project [2006/012]; Holsworth Wildlife Research Endowment</t>
  </si>
  <si>
    <t>Fisheries Research and Development Corporation Project(Fisheries R&amp;D Corp); Holsworth Wildlife Research Endowment</t>
  </si>
  <si>
    <t>This paper is a result of a Ph.D. thesis with research funded by the Fisheries Research and Development Corporation Project No. 2006/012 and the Holsworth Wildlife Research Endowment. The Victorian Marine Science Consortium assisted in providing laboratories and utilities. Thanks are extended to David Smith and Terry Walker for scientific advice. Fabian Trinnie, Ruth Casper, Andrew Brown, and Tim Smith provided laboratory assistance. Jodie Kemp provided training and assistance in using the ICP-MS. Graeme Cottier, Paul McCoy, and Lauren Brown assisted in collecting squid from Racovolis Fisheries and fishing vessels San Tangaroa (Tony Bennett), Veteran (Lisle Ellaway), Jumanji (John Edgar), Zeehaan, Moira Elizabeth, and Silver Phoenix. Allister Coots provided maps of sampling areas.</t>
  </si>
  <si>
    <t>CANADIAN SCIENCE PUBLISHING</t>
  </si>
  <si>
    <t>OTTAWA</t>
  </si>
  <si>
    <t>65 AURIGA DR, SUITE 203, OTTAWA, ON K2E 7W6, CANADA</t>
  </si>
  <si>
    <t>0706-652X</t>
  </si>
  <si>
    <t>1205-7533</t>
  </si>
  <si>
    <t>CAN J FISH AQUAT SCI</t>
  </si>
  <si>
    <t>Can. J. Fish. Aquat. Sci.</t>
  </si>
  <si>
    <t>10.1139/cjfas-2014-0559</t>
  </si>
  <si>
    <t>CV2RL</t>
  </si>
  <si>
    <t>WOS:000364104300001</t>
  </si>
  <si>
    <t>Liu, TT; Liu, YX; Huang, X; Wang, ZM</t>
  </si>
  <si>
    <t>Liu, Tingting; Liu, Yanxia; Huang, Xin; Wang, Zemin</t>
  </si>
  <si>
    <t>Fully Constrained Least Squares for Antarctic Sea Ice Concentration Estimation Utilizing Passive Microwave Data</t>
  </si>
  <si>
    <t>IEEE GEOSCIENCE AND REMOTE SENSING LETTERS</t>
  </si>
  <si>
    <t>Antarctic Sea Ice Processes and Climate (ASPeCt); fully constrained least squares (FCLS); NASA Team (NT) algorithm; sea ice concentration (SIC)</t>
  </si>
  <si>
    <t>ALGORITHMS; PARAMETERS; RETRIEVAL; MODEL</t>
  </si>
  <si>
    <t>To improve the accuracy of the traditional NASA Team (NT) sea ice concentration (SIC) algorithm, a new SIC estimation method is proposed by combining the NT algorithm and a numerical optimization technique with Special Sensor Microwave/Imager (SSM/I) data. In this method, the noise is taken into consideration to improve the SIC estimation equation, and then, the least squares method is used to further optimize the estimation results from the improved equation. Validation was performed using a comparison between the results from the SSM/I-based SICs (the proposed method, the NT algorithm, and the bootstrap algorithm) and in situ data. The quantitative results show that the proposed method generates a more accurate SIC with smaller bias (-3.2-2.8) and root-mean-square error (7.7-18.4) than the other two algorithms.</t>
  </si>
  <si>
    <t>[Liu, Tingting; Liu, Yanxia; Wang, Zemin] Wuhan Univ, Chinese Antarctic Ctr Surveying &amp; Mapping, Wuhan 430079, Peoples R China; [Huang, Xin] Wuhan Univ, State Key Lab Informat Engn Surveying Mapping &amp; R, Wuhan 430079, Peoples R China</t>
  </si>
  <si>
    <t>Wuhan University; Wuhan University</t>
  </si>
  <si>
    <t>Liu, TT (corresponding author), Wuhan Univ, Chinese Antarctic Ctr Surveying &amp; Mapping, Wuhan 430079, Peoples R China.</t>
  </si>
  <si>
    <t>ttliu23@whu.edu.cn; liuyanxia123456skk@163.com; huang_whu@163.com; zmwang@whu.edu.cn</t>
  </si>
  <si>
    <t>Liu, Tingting/HCH-2239-2022; ZeMin, Wang/AAU-3422-2020; Huang, Xin/C-8355-2014</t>
  </si>
  <si>
    <t>National Natural Science Foundation of China [41206177, 91338111]; National High Technology Research and Development Program of China (863 Program) [2013AA12A301, 2012AA12A304]; Key Laboratory of Global Change and Marine-Atmospheric Chemistry, State Oceanographic Administration [GCMAC1405]</t>
  </si>
  <si>
    <t>National Natural Science Foundation of China(National Natural Science Foundation of China (NSFC)); National High Technology Research and Development Program of China (863 Program)(National High Technology Research and Development Program of China); Key Laboratory of Global Change and Marine-Atmospheric Chemistry, State Oceanographic Administration</t>
  </si>
  <si>
    <t>This work was supported in part by the National Natural Science Foundation of China under Grants 41206177 and 91338111, by the National High Technology Research and Development Program of China (863 Program) under Grants 2013AA12A301 and 2012AA12A304, and by the fund of the Key Laboratory of Global Change and Marine-Atmospheric Chemistry, State Oceanographic Administration, under Grant GCMAC1405.</t>
  </si>
  <si>
    <t>IEEE-INST ELECTRICAL ELECTRONICS ENGINEERS INC</t>
  </si>
  <si>
    <t>PISCATAWAY</t>
  </si>
  <si>
    <t>445 HOES LANE, PISCATAWAY, NJ 08855-4141 USA</t>
  </si>
  <si>
    <t>1545-598X</t>
  </si>
  <si>
    <t>1558-0571</t>
  </si>
  <si>
    <t>IEEE GEOSCI REMOTE S</t>
  </si>
  <si>
    <t>IEEE Geosci. Remote Sens. Lett.</t>
  </si>
  <si>
    <t>10.1109/LGRS.2015.2471849</t>
  </si>
  <si>
    <t>Geochemistry &amp; Geophysics; Engineering, Electrical &amp; Electronic; Remote Sensing; Imaging Science &amp; Photographic Technology</t>
  </si>
  <si>
    <t>Geochemistry &amp; Geophysics; Engineering; Remote Sensing; Imaging Science &amp; Photographic Technology</t>
  </si>
  <si>
    <t>CV4DG</t>
  </si>
  <si>
    <t>WOS:000364215500023</t>
  </si>
  <si>
    <t>Gao, Y; Wang, HJ; Chen, D</t>
  </si>
  <si>
    <t>Gao, Ya; Wang, Huijun; Chen, Dong</t>
  </si>
  <si>
    <t>The Capability of ENSEMBLES Models in Predicting the Principal Modes of Pan-Asian Monsoon Precipitation</t>
  </si>
  <si>
    <t>Circulation; Dynamics; Antarctic Oscillation; Atmospheric circulation; ENSO; Atm; Ocean Structure; Phenomena; ENSO; Monsoons; Forecasting; Seasonal forecasting</t>
  </si>
  <si>
    <t>INDIAN-SUMMER MONSOON; SPRING ANTARCTIC OSCILLATION; CLIMATE FORECAST SYSTEM; INTERANNUAL VARIABILITY; OCEAN DIPOLE; SOUTHERN-OSCILLATION; SEASONAL PREDICTION; EL-NINO; ENSO; CIRCULATION</t>
  </si>
  <si>
    <t>The predictability of the dominant modes of summer (June-September) precipitation in the pan-Asian monsoon region is evaluated based on 1-month-lead retrospective forecasts in five state-of-the-art coupled models from the ENSEMBLES project for the period 1979-2005. The results show that the models and their multimodel ensemble mean (MME) perform well in reproducing the interannual variability of the climatology and the spatiotemporal distribution of the first mode of summer precipitation in the pan-Asian monsoon region. The associated oceanic and atmospheric circulation indicators are also well captured, such as the spatiotemporal structures of the simultaneous El Nino-Southern Oscillation (ENSO) and Antarctic Oscillation in the Pacific Ocean (AAO(SP)). Moreover, the interannual variation of the preceding AAO(SP) can also be captured by some of the coupled models. For individual models, the ECMWF, Meteo-France, and Met Office models exhibit better skill with respect to the first mode of summer precipitation in the pan-Asian monsoon region, which displays a tripole pattern from north to south over 80 degrees-140 degrees E. In addition, these models can successfully predict the intensity and location of the associated ENSO, as well as the simultaneous summer AAO(SP) distributions. By contrast, the prediction capabilities of the Leibniz Institute of Marine Sciences (IFM-GEOMAR) and Euro-Mediterranean Center for Climate Change (CMCC-INGV) models are relatively weaker. Furthermore, the predictions of the second mode of the summer precipitation in the pan-Asian monsoon region are investigated. Some of the ENSEMBLES models show good capability in predicting the spatiotemporal distribution of the second mode, owing to the successful prediction of the atmospheric convection activities over the tropical Indian Ocean.</t>
  </si>
  <si>
    <t>[Gao, Ya; Wang, Huijun; Chen, Dong] Chinese Acad Sci, Nansen Zhu Int Res Ctr, Inst Atmospher Phys, Beijing 100029, Peoples R China; [Wang, Huijun; Chen, Dong] Chinese Acad Sci, Climate Change Res Ctr, Beijing 100029, Peoples R China; [Chen, Dong] Chinese Acad Sci, Univ Chinese Acad Sci, Beijing 100029, Peoples R China</t>
  </si>
  <si>
    <t>Chinese Academy of Sciences; Institute of Atmospheric Physics, CAS; Chinese Academy of Sciences; Chinese Academy of Sciences; University of Chinese Academy of Sciences, CAS</t>
  </si>
  <si>
    <t>Gao, Y (corresponding author), Chinese Acad Sci, Nansen Zhu Int Res Ctr, Inst Atmospher Phys, Hua Yan Li 40, Beijing 100029, Peoples R China.</t>
  </si>
  <si>
    <t>Wang, Hui/HMU-9512-2023</t>
  </si>
  <si>
    <t>National Natural Science Foundation of China [41421004, 41210007]</t>
  </si>
  <si>
    <t>This research was supported by the National Natural Science Foundation of China (Grants 41421004 and 41210007).</t>
  </si>
  <si>
    <t>10.1175/JCLI-D-15-0010.1</t>
  </si>
  <si>
    <t>CU8BN</t>
  </si>
  <si>
    <t>WOS:000363766200011</t>
  </si>
  <si>
    <t>Fogt, RL; Wovrosh, AJ</t>
  </si>
  <si>
    <t>Fogt, Ryan L.; Wovrosh, Alex J.</t>
  </si>
  <si>
    <t>The Relative Influence of Tropical Sea Surface Temperatures and Radiative Forcing on the Amundsen Sea Low</t>
  </si>
  <si>
    <t>Geographic location; entity; Antarctica; Circulation; Dynamics; Atmospheric circulation; Teleconnections; Models and modeling; Climate models; Variability; Tropical variability</t>
  </si>
  <si>
    <t>SOUTHERN OSCILLATION; WEST ANTARCTICA; VARIABILITY; CIRCULATION; CLIMATE; TRENDS</t>
  </si>
  <si>
    <t>Recent studies suggest that warming trends across West Antarctica and the Antarctic Peninsula and sea ice loss in the adjacent Amundsen and Bellingshausen Seas are linked to changes in the regional atmospheric circulation, represented by the Amundsen Sea low (ASL). Importantly, changes in the ASL have similarly been tied to forcing from the tropics. Here, several model simulations from the Community Atmosphere Model, version 4, are investigated in order to understand the relative roles of tropical sea surface temperature variability and radiative forcing on the variations in trends in the ASL. In comparing across the simulations, it is observed that the addition of time-varying extratropical SSTs and sea ice conditions in general have a much smaller impact on the ASL than tropical SSTs or radiative forcing. Tropical forcing alone explains much of the climatological variability and extreme intensities of the ASL (both strong and weak relative central pressures). The role of radiative forcing is best observed in the ASL trends, with this simulation leading to a marked deepening of the ASL and pressures across the Southern Hemisphere that is consistent with atmospheric reanalysis in austral summer. In austral winter, the simulation with radiative forcing produces stronger trends than observed in reanalysis data, perhaps reflecting the need to couple to an ocean-ice model in order to more realistically simulate the ASL changes. Together, the results suggest that models need to include both the effects from tropical SST variations and radiative forcing when understanding historic and future variations in the ASL.</t>
  </si>
  <si>
    <t>[Fogt, Ryan L.] Ohio Univ, Dept Geog, Athens, OH 45701 USA; [Fogt, Ryan L.] Ohio Univ, Scalia Lab Atmospher Anal, Athens, OH 45701 USA; [Wovrosh, Alex J.] Ohio State Univ, Dept Geog, Columbus, OH 43210 USA; [Wovrosh, Alex J.] Ohio State Univ, Byrd Polar &amp; Climate Res Ctr, Columbus, OH 43210 USA</t>
  </si>
  <si>
    <t>University System of Ohio; Ohio University; University System of Ohio; Ohio University; University System of Ohio; Ohio State University; University System of Ohio; Ohio State University</t>
  </si>
  <si>
    <t>Fogt, RL (corresponding author), Ohio Univ, Clippinger Lab 122, Athens, OH 45701 USA.</t>
  </si>
  <si>
    <t>fogtr@ohio.edu</t>
  </si>
  <si>
    <t>Fogt, Ryan L/B-6989-2008</t>
  </si>
  <si>
    <t>Fogt, Ryan L/0000-0002-5398-3990</t>
  </si>
  <si>
    <t>National Science Foundation (NSF) Office of Polar Programs [ANT-0944168]; NSF [1341621]; Directorate For Geosciences; Office of Polar Programs (OPP) [1341621] Funding Source: National Science Foundation</t>
  </si>
  <si>
    <t>National Science Foundation (NSF) Office of Polar Programs(National Science Foundation (NSF)); NSF(National Science Foundation (NSF)); Directorate For Geosciences; Office of Polar Programs (OPP)(National Science Foundation (NSF)NSF - Directorate for Geosciences (GEO))</t>
  </si>
  <si>
    <t>Both authors acknowledge support from the National Science Foundation (NSF) Office of Polar Programs Grant ANT-0944168, and RLF also acknowledges support from NSF Grant 1341621. We thank David Schneider for comments on an earlier draft of this manuscript. The CAM4 simulations were obtained through the Community Earth System Model (CESM) climate variability and change working group website (http://www2.cesm.ucar.edu/working-groups/cvcwg). ERA-Interim data were obtained from the ECMWF data portal.</t>
  </si>
  <si>
    <t>10.1175/JCLI-D-15-0091.1</t>
  </si>
  <si>
    <t>WOS:000363766200014</t>
  </si>
  <si>
    <t>Reed, AJ; Thatje, S</t>
  </si>
  <si>
    <t>Reed, Adam J.; Thatje, Sven</t>
  </si>
  <si>
    <t>Long-term acclimation and potential scope for thermal resilience in Southern Ocean bivalves</t>
  </si>
  <si>
    <t>LISSARCA-NOTORCADENSIS BIVALVIA; ANTARCTIC BIVALVE; CLIMATE-CHANGE; CRITICAL-TEMPERATURES; MARINE ECOSYSTEMS; WEDDELL SEA; SCOTIA SEA; TOLERANCE; LIMITS; WATER</t>
  </si>
  <si>
    <t>Different physiological thresholds of species across biogeographic boundaries can show a long-term scope for adaptation. Characterised by cold-stenothermal conditions, polar and deep-sea environments are constrained by thermal stability across wide regions, and polar invertebrates are broadly considered to be highly sensitive to only subtle changes in thermal regime. We examine the respiratory response of two distinct biogeographic populations of the widespread bivalve Lissarca notorcadensis from deep waters in the Southern Ocean to acute thermal changes, and present distinct respiratory responses for each population. Populations from the Weddell Sea living in cooler water temperatures (&lt; 0 A degrees C) show a lower tolerance to temperature increases, identified by an increase in oxygen consumption at temperatures from -1 to 4 A degrees C and mortality at 5 A degrees C. In contrast, populations from the Scotia Sea, experiencing a thermally more variable cold-stenothermal environment driven by seasonality, show no significant increase in oxygen consumption up to 6 A degrees C before peaking at 8 A degrees C, and mortality during acclimation to 9 A degrees C. Our results are discussed in relation to the hypothesis that long-term adaptation to thermal envelopes, over multiple generations, likely determines the degree of thermal resilience to warming and at population-specific levels. This contrasts to previous laboratory-based (short-term acclimation or acute) thermal response studies, which have shown high sensitivities and low acclimation capacities to temperature increases. We highlight the need for long-term acclimation studies and pose questions as to how selection for population-specific thermal tolerances may take place in a global warming scenario and within a macroecological context.</t>
  </si>
  <si>
    <t>[Reed, Adam J.; Thatje, Sven] Univ Southampton, Natl Oceanog Ctr Southampton, Ocean &amp; Earth Sci, Southampton SO14 3ZH, Hants, England</t>
  </si>
  <si>
    <t>NERC National Oceanography Centre; University of Southampton</t>
  </si>
  <si>
    <t>Reed, AJ (corresponding author), Univ Southampton, Natl Oceanog Ctr Southampton, Ocean &amp; Earth Sci, European Way, Southampton SO14 3ZH, Hants, England.</t>
  </si>
  <si>
    <t>ajr104@soton.ac.uk</t>
  </si>
  <si>
    <t>Reed, Adam/Q-7276-2017</t>
  </si>
  <si>
    <t>Reed, Adam/0000-0003-2200-5067</t>
  </si>
  <si>
    <t>Natural Environment Research Council PhD studentship; Collaborative Gearing Scheme Grant</t>
  </si>
  <si>
    <t>Natural Environment Research Council PhD studentship(UK Research &amp; Innovation (UKRI)Natural Environment Research Council (NERC)); Collaborative Gearing Scheme Grant</t>
  </si>
  <si>
    <t>We thank Captain Burgan and his crew of RRS James Clark Ross as well as PSOs Phil Leat and Huw Griffiths and their teams for help and support on board. We thank Katrin Linse (British Antarctic Survey) for her comments on an earlier version of this manuscript. The authors would also like to thank the two reviewers and Patrick Gagnon for constructive comments that helped improve the manuscript. AJR was supported through a Natural Environment Research Council PhD studentship. AJR's participation in JR275 was supported through a Collaborative Gearing Scheme Grant.</t>
  </si>
  <si>
    <t>10.1007/s00227-015-2752-3</t>
  </si>
  <si>
    <t>CV0PH</t>
  </si>
  <si>
    <t>WOS:000363952400005</t>
  </si>
  <si>
    <t>Gwyther, DE; Galton-Fenzi, BK; Dinniman, MS; Roberts, JL; Hunter, JR</t>
  </si>
  <si>
    <t>Gwyther, David E.; Galton-Fenzi, Benjamin K.; Dinniman, Michael S.; Roberts, Jason L.; Hunter, John R.</t>
  </si>
  <si>
    <t>The effect of basal friction on melting and freezing in ice shelf-ocean models</t>
  </si>
  <si>
    <t>Ice shelf-ocean interaction; Basal roughness; Melt/freeze parameterisation; Drag and friction; Melt plume; Antarctic mass loss</t>
  </si>
  <si>
    <t>PINE ISLAND GLACIER; CIRCULATION; BENEATH; LAYER; RATES; EXCHANGE; CHANNELS; SURFACE; TONGUE; SYSTEM</t>
  </si>
  <si>
    <t>The ocean is an important control on the mass budget of the Antarctic ice sheet, through basal melting and refreezing underneath the floating extensions of the ice sheet known as ice shelves. The effect of the ice surface roughness (basal roughness) on melting and refreezing is investigated with idealised ice shelf-ocean numerical simulations. Both hot ocean forcing (e.g. Pine Island Glacier; high basal melting) and cold ocean forcing (e.g. Amery Ice Shelf; low basal melting, stronger refreezing) environments are investigated. The interaction between the ocean and ice shelf is further explored by examining the contributions to melt from heat exchange across the ice-ocean interface and across the boundary layer-ocean interior, with a varying drag coefficient. Simulations show increasing drag strengthens melting. Refreezing increases with drag in the cold cavity environment, while in the hot cavity environment, refreezing is small in areal extent and decreases with drag. Furthermore, melting will likely be focussed where there are strong boundary layer currents, rather than at the deep grounding line. The magnitude of the thermal driving of the basal melt decreases with increasing drag, except for in cold cavity refreeze zones where it increases. The friction velocity, a function of the upper layer ocean velocity and the drag coefficient, monotonically increases with drag. We find friction-driven mixing into the boundary layer is important for representing the magnitude and distribution of refreezing and without this effect, refreezing is underestimated. Including a spatially- and temporally-varying basal roughness (that includes a more realistic, rougher refreezing drag coefficient) alters circulation patterns and heat and salt transport. This leads to increased refreezing, altered melt magnitude and distribution, and a pattern of altered vertical flow across the entire ice shelf. These results represent a summary of melting and freezing beneath ice shelves and strongly motivate the inclusion of appropriate vertical mixing schemes and basal roughness values that vary spatially and temporally in ocean models of ice shelf cavities. (C) 2015 Elsevier Ltd. All rights reserved</t>
  </si>
  <si>
    <t>[Gwyther, David E.] Univ Tasmania, Inst Marine &amp; Antarctic Studies, Hobart, Tas 7001, Australia; [Gwyther, David E.; Galton-Fenzi, Benjamin K.; Roberts, Jason L.; Hunter, John R.] Univ Tasmania, Antarctic Climate &amp; Ecosyst Cooperat Res Ctr, Hobart, Tas 7001, Australia; [Galton-Fenzi, Benjamin K.; Roberts, Jason L.] Australian Antarctic Div, Kingston, Tas 7050, Australia; [Dinniman, Michael S.] Old Dominion Univ, Ctr Coastal Phys Oceanog, Norfolk, VA USA</t>
  </si>
  <si>
    <t>University of Tasmania; University of Tasmania; Antarctic Climate &amp; Ecosystems Cooperative Research Centre (ACE CRC); Australian Antarctic Division; Old Dominion University</t>
  </si>
  <si>
    <t>Gwyther, DE (corresponding author), Univ Tasmania, Inst Marine &amp; Antarctic Studies, Private Bag 129, Hobart, Tas 7001, Australia.</t>
  </si>
  <si>
    <t>david.gwyther@gmail.com</t>
  </si>
  <si>
    <t>Roberts, Jason L/B-2235-2012; Gwyther, David E/Q-2987-2018; Gwyther, David E/O-4880-2017</t>
  </si>
  <si>
    <t>Roberts, Jason L/0000-0002-3477-4069; Gwyther, David E/0000-0002-7218-2785; Gwyther, David E/0000-0002-7218-2785; Dinniman, Michael/0000-0001-7519-9278; Galton-Fenzi, Benjamin Keith/0000-0003-1404-4103</t>
  </si>
  <si>
    <t>Australian Government's Cooperative Research Centre Programme through the Antarctic Climate &amp; Ecosystems Cooperative Research Centre; Australian Research Council Special Research Initiative; Australian Government CSIRO; University of Tasmania through the Quantitative Marine Science PhD program; National Computational Infrastructure [m68]</t>
  </si>
  <si>
    <t>Australian Government's Cooperative Research Centre Programme through the Antarctic Climate &amp; Ecosystems Cooperative Research Centre(Australian GovernmentDepartment of Industry, Innovation and ScienceCooperative Research Centres (CRC) Programme); Australian Research Council Special Research Initiative(Australian Research Council); Australian Government CSIRO(Australian Government); University of Tasmania through the Quantitative Marine Science PhD program; National Computational Infrastructure</t>
  </si>
  <si>
    <t>The authors would like to thank two anonymous reviewers and Malte Thoma for comments and suggestions that improved this manuscript. We also thank Craig Stevens for his comments and suggestions. This work was supported through the Australian Government's Cooperative Research Centre Programme through the Antarctic Climate &amp; Ecosystems Cooperative Research Centre and through the Australian Research Council Special Research Initiative. David Gwyther is supported by the Australian Government CSIRO and University of Tasmania through the Quantitative Marine Science PhD program. Computing resources were provided by both the Tasmanian Partnership for Advanced Computing and the National Computational Infrastructure under grant m68.</t>
  </si>
  <si>
    <t>10.1016/j.ocemod.2015.09.004</t>
  </si>
  <si>
    <t>CU9HR</t>
  </si>
  <si>
    <t>WOS:000363856000005</t>
  </si>
  <si>
    <t>Huovinen, P; Gómez, I</t>
  </si>
  <si>
    <t>Huovinen, Pirjo; Gomez, Ivan</t>
  </si>
  <si>
    <t>UV Sensitivity of Vegetative and Reproductive Tissues of Two Antarctic Brown Algae is Related to Differential Allocation of Phenolic Substances</t>
  </si>
  <si>
    <t>PHOTOCHEMISTRY AND PHOTOBIOLOGY</t>
  </si>
  <si>
    <t>ULTRAVIOLET-RADIATION; DNA-DAMAGE; PHLOROTANNINS; MACROALGAE; PHOTOSYNTHESIS; TEMPERATURE; LIGHT; ASCOSEIRALES; PHAEOPHYTA; INDUCTION</t>
  </si>
  <si>
    <t>UV sensitivity of the vegetative and reproductive tissues of two Antarctic brown macroalgae was compared. Photosynthesis as well as the content and localization of phenolic substances were determined. Responses to UV radiation were quantified as chlorophyll fluorescence (F-v/F-m). Ascoseira mirabilis showed high UV tolerance, while in Cystosphaera jacquinotii F-v/F-m decreased by 15-21%, the receptacles being more tolerant than the vegetative blades. The phlorotannin contents showed an opposite pattern: the soluble fraction dominated in C.jacquinotii while in A.mirabilis the insoluble fraction was more abundant. Soluble phlorotannins were higher in the reproductive than in vegetative tissues in both species. Images of tissue cross-sections under violet-blue light excitation confirmed a high allocation of phenolic compounds (as blue autofluorescence) in C.jacquinotii, both in reproductive and vegetative blades. The allocation and proportions of the soluble and insoluble phlorotannins could be related with the observed UV tolerance of the vegetative and reproductive tissues.</t>
  </si>
  <si>
    <t>[Huovinen, Pirjo; Gomez, Ivan] Univ Austral Chile, Fac Ciencias, Inst Ciencias Marinas &amp; Limnol, Valdivia, Chile</t>
  </si>
  <si>
    <t>Huovinen, P (corresponding author), Univ Austral Chile, Fac Ciencias, Inst Ciencias Marinas &amp; Limnol, Valdivia, Chile.</t>
  </si>
  <si>
    <t>pirjo.huovinen@uach.cl</t>
  </si>
  <si>
    <t>Huovinen, Pirjo/0000-0002-7754-4933; Gomez, Ivan/0000-0001-8381-3792</t>
  </si>
  <si>
    <t>Project Anillo ART (Conicyt) [1101]; Project Fondecyt (Conicyt) [1130582]</t>
  </si>
  <si>
    <t>Project Anillo ART (Conicyt)(Comision Nacional de Investigacion Cientifica y Tecnologica (CONICYT)CONICYT PIA/ANILLOS); Project Fondecyt (Conicyt)(Comision Nacional de Investigacion Cientifica y Tecnologica (CONICYT)CONICYT FONDECYT)</t>
  </si>
  <si>
    <t>This research was funded by the Project Anillo ART 1101 (Conicyt) and Project Fondecyt 1130582 (Conicyt). The logistical support provided by the Instituto Antartico Chileno (INACh) and the staff of Base Julio Escudero Station is greatly acknowledged. We also thank the Scuba diving team of I. Garrido, M. J. Diaz and J. Holtheuer for the sampling of the subtidal algae, and V. Garrido, P. Rivas, and E. F. Ramirez for their technical assistance in the analyses of the samples (phenolic compounds and microscopical photography) in Valdivia. The thallus cross-sections were prepared in the Instituto de Histologia, Universidad Austral de Chile by G. Alvial. This is contribution # 4 of the ANILLO ART1101 project.</t>
  </si>
  <si>
    <t>0031-8655</t>
  </si>
  <si>
    <t>1751-1097</t>
  </si>
  <si>
    <t>PHOTOCHEM PHOTOBIOL</t>
  </si>
  <si>
    <t>Photochem. Photobiol.</t>
  </si>
  <si>
    <t>10.1111/php.12500</t>
  </si>
  <si>
    <t>Biochemistry &amp; Molecular Biology; Biophysics</t>
  </si>
  <si>
    <t>CV5MJ</t>
  </si>
  <si>
    <t>WOS:000364314500015</t>
  </si>
  <si>
    <t>Green, TGA; Seppelt, RD; Brabyn, LR; Beard, C; Türk, R; Lange, OL</t>
  </si>
  <si>
    <t>Allan Green, T. G.; Seppelt, Rod D.; Brabyn, Lars R.; Beard, Catherine; Tuerk, Roman; Lange, Otto L.</t>
  </si>
  <si>
    <t>Flora and vegetation of Cape Hallett and vicinity, northern Victoria Land, Antarctica</t>
  </si>
  <si>
    <t>Lichens; Mosses; Stability; Lichen growth rate; Cryoturbation; Disturbance; Nitrogen; Crater Cirque; Football Saddle</t>
  </si>
  <si>
    <t>ICE-FREE AREAS; TERRESTRIAL VEGETATION; ECOLOGICAL CONDITIONS; LICHEN; SOUTHERN; DIVERSITY; CALOPLACA</t>
  </si>
  <si>
    <t>Cape Hallett (72A degrees 19'S; 170A degrees 13'E) lies at the northern end of the western coastline of the Ross Sea region, and, to date, there appears to be no full description of its terrestrial flora despite its probable importance in understanding links between biodiversity and latitude. Here we present information about lichens and mosses from published papers, herbarium collections and personal surveys for Cape Hallett and seven nearby sites. A total of 59 lichen and 11 moss species are reported for these eight sites. Cape Hallett is one of the richest sites for terrestrial biodiversity in the Ross Sea region with about 46 lichen species and nine species of bryophytes. Lichens have their greatest diversity on the upper scree and summit area (30 species, 330 m), the least within the large penguin colony at sea level (one species). The station at Cape Hallett was established in 1957, and some of the earliest ecological and ecophysiological studies in Antarctica were carried out there. Historical comparisons are possible and have revealed considerable changes in vegetation in the lower flush area, a high level of frost heave disturbance, new lichen growth rate estimates for northern Victoria Land and extreme stability of the snow banks on the scree slopes. Cape Hallett represents a very important site for studies on links between terrestrial flora and the environment as well as on possible effects of climate change.</t>
  </si>
  <si>
    <t>[Allan Green, T. G.] Univ Complutense, Fac Farm, Dept Vegetal 2, E-28040 Madrid, Spain; [Allan Green, T. G.] Univ Waikato, Biol Sci, Hamilton, New Zealand; [Seppelt, Rod D.] Australian Antarctic Div, Kingston, Tas 7050, Australia; [Brabyn, Lars R.] Univ Waikato, Dept Geog, Hamilton, New Zealand; [Beard, Catherine] Te Papa Atawhai, Dept Conservat, Hamilton 3240, New Zealand; [Tuerk, Roman] Salzburg Univ, Fachbereich Organism Biol, Arbeitsgrp Okol &amp; Diversitat Pflanzen, A-5020 Salzburg, Austria; [Lange, Otto L.] Univ Wurzburg, Julius von Sachs Inst Biowissensch, D-97084 Wurzburg, Germany</t>
  </si>
  <si>
    <t>Complutense University of Madrid; University of Waikato; Australian Antarctic Division; University of Waikato; Salzburg University; University of Wurzburg</t>
  </si>
  <si>
    <t>Green, TGA (corresponding author), Univ Complutense, Fac Farm, Dept Vegetal 2, E-28040 Madrid, Spain.</t>
  </si>
  <si>
    <t>greentga@waikato.ac.nz</t>
  </si>
  <si>
    <t>Brabyn, Lars/N-1479-2016</t>
  </si>
  <si>
    <t>Brabyn, Lars/0000-0002-3400-6182</t>
  </si>
  <si>
    <t>New Zealand Foundation for Research, Science, and Technology (FRST); University of Waikato Vice Chancellor's Fund; Department of Biological Sciences, University of Waikato; FRST grant; US National Science Foundation under US Antarctic Research Programme (USARP) within frame of a research project of late Prof. Dr. V. Ahmadjian, Clarc University, Worcester, Massachusetts</t>
  </si>
  <si>
    <t>New Zealand Foundation for Research, Science, and Technology (FRST)(New Zealand Foundation for Research, Science and Technology); University of Waikato Vice Chancellor's Fund; Department of Biological Sciences, University of Waikato; FRST grant; US National Science Foundation under US Antarctic Research Programme (USARP) within frame of a research project of late Prof. Dr. V. Ahmadjian, Clarc University, Worcester, Massachusetts</t>
  </si>
  <si>
    <t>We are grateful to Antarctica New Zealand (AntNZ) for logistical support over several years as part of the Latitudinal Gradient Project coordinated by Shulamit Gordon. Logistics support was also provided by the Australian Antarctic Programme and the US Coastguard Reserve. These are all gratefully thanked. The New Zealand Foundation for Research, Science, and Technology (FRST), the University of Waikato Vice Chancellor's Fund and the Department of Biological Sciences, University of Waikato provided financial support. During completion of the research, TGAG and LB were supported by the FRST grant, Understanding, valuing and protecting Antarctica's unique terrestrial ecosystems: predicting bio-complexity in Dry Valley ecosystems''. Field research in 1966 of OLL was financed by the US National Science Foundation under the US Antarctic Research Programme (USARP) within the frame of a research project of the late Prof. Dr. V. Ahmadjian, Clarc University, Worcester, Massachusetts. We are indebted to Dr. R.L. Stuckey who carefully archived Professor E. D. Rudolph's research material in the Herbarium of Ohio State University.</t>
  </si>
  <si>
    <t>10.1007/s00300-015-1744-6</t>
  </si>
  <si>
    <t>CV1NA</t>
  </si>
  <si>
    <t>WOS:000364023800004</t>
  </si>
  <si>
    <t>Chilvers, BL; Baker, GB; Hiscock, JA; McClelland, PJ; Holdsworth, M; Jensz, K</t>
  </si>
  <si>
    <t>Chilvers, B. L.; Baker, G. B.; Hiscock, J. A.; McClelland, P. J.; Holdsworth, M.; Jensz, K.</t>
  </si>
  <si>
    <t>Comparison of breeding population survey methods for the Auckland Island shag (Phalacrocorax colensoi)</t>
  </si>
  <si>
    <t>Phalacrocorax colensoi; Shag; Cormorant; New Zealand subantarctics; Aerial photography</t>
  </si>
  <si>
    <t>The Auckland Island shag (Phalacrocorax colensoi) is endemic to New Zealand and restricted to the subantarctic Auckland Islands. The species is classified as Vulnerable under the New Zealand threat classification systems. The total breeding population is estimated at &lt; 1000 pairs, with Enderby Island considered to be the stronghold for the species. The trend of the population is unknown, and it has been recommended a census of the entire adult population be conducted once a suitable methodology has been developed. The objective of this research was to examine census methods to estimate population size for the Auckland Island shag. Three census methods were trialled on Enderby Island during the 2011/2012 breeding season: (a) boat-based counts; (b) aerial photography using a helicopter and; (c) direct counts from the ground. The aerial photographic survey recorded 1889 pairs of Auckland Island shags breeding on Enderby Island during the 2011/2012 breeding season. In comparison, boat-based and ground count surveys recorded lower population sizes by 27 and 26 %, respectively. This research provides the first comparable methodology and baseline population estimate for the breeding stronghold of this threatened seabird and forms the basis for long-term population monitoring. All methodologies examined here could be used for other cliff-nesting seabird species; however, these results indicate a level of bias may be present for any survey method.</t>
  </si>
  <si>
    <t>[Chilvers, B. L.] Dept Conservat, Aquatic &amp; Reporting Unit, Wellington, New Zealand; [Baker, G. B.] Univ Tasmania, Inst Marine &amp; Antarctic Studies, Hobart, Tas, Australia; [Baker, G. B.; Jensz, K.] Latitude 42 Environm Consultants Pty Ltd, Kettering, Tas 7155, Australia; [Hiscock, J. A.; McClelland, P. J.] Dept Conservat, Invercargill, New Zealand; [Holdsworth, M.] Robinson Holdsworth Conservat Trust, Sandford, Tas 7020, Australia</t>
  </si>
  <si>
    <t>Chilvers, BL (corresponding author), Massey Univ, IVABS, Wildbase, Private Bag 11222, Palmerston North, New Zealand.</t>
  </si>
  <si>
    <t>b.l.chilvers@massey.ac.nz</t>
  </si>
  <si>
    <t>Chilvers, B. Louise/AAV-1965-2021</t>
  </si>
  <si>
    <t>Chilvers, B. Louise/0000-0002-7657-4217; Baker, G. Barry/0000-0003-4766-8182</t>
  </si>
  <si>
    <t>NZ DOC; DOC Marine Conservation Services Programme Project [POP2007/01]</t>
  </si>
  <si>
    <t>NZ DOC; DOC Marine Conservation Services Programme Project</t>
  </si>
  <si>
    <t>The work was conducted under permit from the New Zealand Department of Conservation (DOC). Data presented were collected with funding from the NZ DOC, part in parallel with field work undertaken for the DOC Marine Conservation Services Programme (http://www.doc.govt.nz/mcs) Project POP2007/01. We sincerely thank Chris Green and Southern Lakes Helicopters for helicopter charter and safe flying and Aurora Expeditions, especially Howard Whelan, for dedicating the use of a zodiac for the boat-based survey.</t>
  </si>
  <si>
    <t>10.1007/s00300-015-1745-5</t>
  </si>
  <si>
    <t>WOS:000364023800005</t>
  </si>
  <si>
    <t>Contador, T; Kennedy, JH; Rozzi, R; Villarroel, JO</t>
  </si>
  <si>
    <t>Contador, Tamara; Kennedy, James H.; Rozzi, Ricardo; Ojeda Villarroel, Jaime</t>
  </si>
  <si>
    <t>Sharp altitudinal gradients in Magellanic Sub-Antarctic streams: patterns along a fluvial system in the Cape Horn Biosphere Reserve (55°S)</t>
  </si>
  <si>
    <t>Altitudinal gradient; Benthic macroinvertebrate; Sub-Antarctic; Functional feeding group; Climate change</t>
  </si>
  <si>
    <t>CLIMATE-CHANGE; CONSERVATION; BIODIVERSITY; PATAGONIA; ECOLOGY</t>
  </si>
  <si>
    <t>Magellanic Sub-Antarctic streams run through steep, low-altitude mountainous gradients characterized by a topography that supports a mosaic of evergreen, mixed, and deciduous forests, peat lands, and scrublands. Here, the macroinvertebrate fauna and their ecological interactions are poorly known. This study linked the distribution, community composition, and functional feeding structure of benthic macroinvertebrates with physicochemical and thermal patterns along the altitudinal gradient of a Magellanic Sub-Antarctic watershed. Invertebrates were collected during the austral summers of 2008, 2009, and 2010 at five different altitudes. Our results indicate that benthic macroinvertebrate community distributions are predominantly affected by temperature and certain species show distribution restrictions through the altitudinal gradient studied. Temperature profiles indicate that this Sub-Antarctic watershed is characterized by a sharp thermal gradient, in which cumulative degree-days (A degrees C) per year sharply increase through a relatively short altitudinal gradient (0-600 m above sea level). With the results from this study, we can now study thermal tolerances of altitude-restricted species or project changes in their distributions and voltinism patterns according to climate change scenarios. Ecosystems at higher latitudes and altitudes are experiencing some of the fastest rates of warming on the planet, and Magellanic Sub-Antarctic watersheds could be considered as sentinel systems, providing early warning of wider scale change.</t>
  </si>
  <si>
    <t>[Contador, Tamara; Kennedy, James H.; Rozzi, Ricardo; Ojeda Villarroel, Jaime] Univ Magallanes, Punta Arenas 01855, Chile; [Contador, Tamara; Kennedy, James H.; Rozzi, Ricardo; Ojeda Villarroel, Jaime] Subantarctic Biocultural Conservat Program, Punta Arenas, Chile; [Contador, Tamara; Kennedy, James H.; Rozzi, Ricardo; Ojeda Villarroel, Jaime] Omora Ethnobot Pk, Puerto Williams, Chile; [Kennedy, James H.] Univ N Texas, Dept Biol Sci, Denton, TX 76203 USA; [Rozzi, Ricardo] Univ N Texas, Dept Philosophy &amp; Relig Studies, Denton, TX 76203 USA; [Contador, Tamara; Rozzi, Ricardo; Ojeda Villarroel, Jaime] Inst Ecol &amp; Biodiversidad Chile, Santiago, Chile</t>
  </si>
  <si>
    <t>Universidad de Magallanes; University of North Texas System; University of North Texas Denton; University of North Texas System; University of North Texas Denton</t>
  </si>
  <si>
    <t>Contador, T (corresponding author), Univ Magallanes, Ave Bulnes, Punta Arenas 01855, Chile.</t>
  </si>
  <si>
    <t>Contador, Tamara/AAC-2161-2021; Rozzi, Ricardo/G-1047-2012</t>
  </si>
  <si>
    <t>Contador, Tamara/0000-0002-0250-9877; Rozzi, Ricardo/0000-0001-5265-8726; ojeda, jaime/0000-0003-3863-9750</t>
  </si>
  <si>
    <t>University of North Texas Beth Baird Scholarship; Institute of Ecology and Biodiversity (Chile) [ICM P05-002, PFB-23]; Omora Ethnobotanical Park-University of Magallanes; Sub-Antarctic Biocultural Conservation Program; NSF International Research Experience for Students Grant [OISE 0854350]; Ecological Society of America SEEDS Program; FONDECYT [11130451]</t>
  </si>
  <si>
    <t>University of North Texas Beth Baird Scholarship; Institute of Ecology and Biodiversity (Chile); Omora Ethnobotanical Park-University of Magallanes; Sub-Antarctic Biocultural Conservation Program; NSF International Research Experience for Students Grant; Ecological Society of America SEEDS Program; FONDECYT(Comision Nacional de Investigacion Cientifica y Tecnologica (CONICYT)CONICYT FONDECYT)</t>
  </si>
  <si>
    <t>Support to conduct this work was provided by the University of North Texas Beth Baird Scholarship, the Institute of Ecology and Biodiversity (Chile) (Grants ICM P05-002 and PFB-23), the Omora Ethnobotanical Park-University of Magallanes, and the Sub-Antarctic Biocultural Conservation Program (www.chile.unt.edu). We thank field support by the many students of the Tracing Darwin's Path course series carried out in Navarino Island, especially Sebastian Rosenfeld, Heather Perry, Jeffrey Mabe, Ernesto Davis, Cristobal Pizarro, Rodrigo Molina, Kelli Moses, Alexandria Poole, Charles Braman, and Michael Simononok. Activities by Charles Braman and Michael Simononok, in support of this study, were supported by an NSF International Research Experience for Students Grant (OISE 0854350) awarded to the University of North Texas Sub-Antarctic Biocultural Conservation Program, in association with the Universidad de Magallanes, and the Ecological Society of America SEEDS Program. The authors thank Lisa Naughton, Christopher Anderson, and Simon Castillo for providing valuable comments on this manuscript. Special thanks are provided to the anonymous reviewers, who provided comments that have significantly improved the final version of this work. Tamara Contador is supported by FONDECYT Grant 11130451. This paper is a contribution to the Universidad de Magallanes and the Research Program of the Chilean LTSER network at Sub-Antarctic Biocultural Conservation Program and Omora Ethnobotanical Park, Chile.</t>
  </si>
  <si>
    <t>10.1007/s00300-015-1746-4</t>
  </si>
  <si>
    <t>WOS:000364023800006</t>
  </si>
  <si>
    <t>Phiri, EE; McGeoch, MA; Chown, SL</t>
  </si>
  <si>
    <t>Phiri, Ethel E.; McGeoch, Melodie A.; Chown, Steven L.</t>
  </si>
  <si>
    <t>The abundance structure of Azorella selago Hook. f. on sub-Antarctic Marion Island: testing the peak and tail hypothesis</t>
  </si>
  <si>
    <t>Abundance; Abundant centre hypothesis; Cushion plant; Range limits; Spatial aggregation</t>
  </si>
  <si>
    <t>PLANT INTERACTIONS; CUSHION PLANT; RANGE; DISTRIBUTIONS; PATTERNS; VEGETATION; SEVERITY; GRADIENT; LIMITS; SIZE</t>
  </si>
  <si>
    <t>Understanding the spatial distribution of organisms and the factors underlying it are key questions in ecology. Two competing hypotheses exist about the form of spatial variation in abundance. The abundant centre hypothesis suggests that abundance is highest in the centre of a species' range and declines towards the range margins. By contrast, the peak and tail spatial pattern in abundance posits that several high abundance areas exist across a species range. Here, we test these competing hypotheses by surveying the abundance of the keystone plant species Azorella selago Hook. f. (Apiaceae) across sub-Antarctic Marion Island on a regular spatial grid. We also examine several factors that might explain variation in abundance. Azorella selago occurs between ca. 30 and 850 m above sea level, with sharp discontinuities in abundance at ca. 30 m and at 667 m a.s.l. The survey and analyses revealed a complex abundance structure with patches of high abundance alternating with areas of low abundance or absence, providing support for the peak and tail hypothesis, but with some support for the abundant centre idea too. Variation in abundance was best explained by a model including the negative effects of elevation and of closed vegetation. Our work provides support for the peak and tail pattern of spatial variation in abundance, which has profound importance for understanding the mechanisms underlying the spatial distribution of abundance and other macroecological regularities.</t>
  </si>
  <si>
    <t>[Phiri, Ethel E.; McGeoch, Melodie A.; Chown, Steven L.] Univ Stellenbosch, Dept Bot &amp; Zool, Ctr Invas Biol, ZA-7602 Matieland, South Africa; [McGeoch, Melodie A.; Chown, Steven L.] Monash Univ, Sch Biol Sci, Clayton, Vic 3800, Australia</t>
  </si>
  <si>
    <t>Stellenbosch University; Monash University</t>
  </si>
  <si>
    <t>Chown, SL (corresponding author), Univ Stellenbosch, Dept Bot &amp; Zool, Ctr Invas Biol, Private Bag X1, ZA-7602 Matieland, South Africa.</t>
  </si>
  <si>
    <t>steven.chown@monash.edu</t>
  </si>
  <si>
    <t>Chown, Steven/ABD-7646-2021; Phiri, Ethel Emmarantia/W-7079-2019; McGeoch, Melodie/F-8353-2011; Chown, Steven/H-3347-2011</t>
  </si>
  <si>
    <t>Phiri, Ethel Emmarantia/0000-0003-1473-2045; McGeoch, Melodie/0000-0003-3388-2241; Chown, Steven/0000-0001-6069-5105</t>
  </si>
  <si>
    <t>United States Agency for International Development (USAID); DST-NRF Centre of Excellence for Invasion Biology and National Research Foundation [SNA2011110700005, SNA14071475789]</t>
  </si>
  <si>
    <t>United States Agency for International Development (USAID)(United States Agency for International Development (USAID)CGIAR); DST-NRF Centre of Excellence for Invasion Biology and National Research Foundation</t>
  </si>
  <si>
    <t>We thank Asanda Phiri for assistance in the field, the South African National Antarctic Programme for logistic support, and three anonymous reviewers for their comments. This work was funded by the United States Agency for International Development (USAID), DST-NRF Centre of Excellence for Invasion Biology and National Research Foundation (SNA2011110700005 and SNA14071475789).</t>
  </si>
  <si>
    <t>10.1007/s00300-015-1749-1</t>
  </si>
  <si>
    <t>WOS:000364023800008</t>
  </si>
  <si>
    <t>Isaksson, J; Christerson, L; Blomqvist, M; Wille, M; Alladio, LA; Sachse, K; Olsen, B; González-Acuña, D; Herrmann, B</t>
  </si>
  <si>
    <t>Isaksson, Jenny; Christerson, Linus; Blomqvist, Maria; Wille, Michelle; Alladio, Lucia A.; Sachse, Konrad; Olsen, Bjorn; Gonzalez-Acuna, Daniel; Herrmann, Bjorn</t>
  </si>
  <si>
    <t>Chlamydiaceae-like bacterium, but no Chlamydia psittaci, in sea birds from Antarctica</t>
  </si>
  <si>
    <t>Chlamydia psittaci; Chlamydiaceae; Pygoscelis antarcticus; Spheniscus magellanicus; Stercorarius antarcticus; Antarctic</t>
  </si>
  <si>
    <t>DIVERSITY; OUTBREAK; SEROLOGY; ISLANDS</t>
  </si>
  <si>
    <t>Within the growing order of Chlamydiales, there are a number of pathogens. One is Chlamydia psittaci, a zoonotic pathogen, with birds as natural hosts that may be transmitted to humans and cause severe respiratory disease, psittacosis. The prevalence of this pathogen in Antarctic birds is almost unknown as well as the ramifications of its potential spread in na &lt; ve bird populations. To investigate the prevalence of chlamydia organisms, cloacal and fecal samples were collected from 264 penguins and 263 seabirds on the Antarctic Peninsula and in Southern Chile. No C. psittaci could be detected by 23S rRNA real-time PCR. However, DNA sequencing of the 16S rRNA 298-bp signature sequence revealed a Chlamydiaceae-like bacterium previously found in seabirds from the subarctic zone, demonstrating that this not yet fully characterized bacterium is widespread. In conclusion, the prevalence of C. psittaci among wild birds on the Antarctic Peninsula seems to be low, but other types of chlamydial organisms are common. Further studies are required to taxonomically define and finally understand the role of these non-classified Chlamydiae.</t>
  </si>
  <si>
    <t>[Isaksson, Jenny; Christerson, Linus; Blomqvist, Maria; Herrmann, Bjorn] Uppsala Univ, Sect Clin Bacteriol, Dept Med Sci, S-75185 Uppsala, Sweden; [Wille, Michelle] Linnaeus Univ, Ctr Ecol &amp; Evolut Microbial Model Syst, S-39182 Kalmar, Sweden; [Alladio, Lucia A.] Univ Nacl Andres Bello, Fac Ecol &amp; Recursos Nat, Santiago, Chile; [Sachse, Konrad] Friedrich Loeffler Inst, Inst Mol Pathogenesis, Fed Res Inst Anim Hlth, D-07743 Jena, Germany; [Olsen, Bjorn] Uppsala Univ, Infect Dis Sect, Dept Med Sci, IMBIM, S-75123 Uppsala, Sweden; [Olsen, Bjorn] Uppsala Univ, IMBIM, Zoonosis Sci Ctr, S-75123 Uppsala, Sweden; [Gonzalez-Acuna, Daniel] Univ Concepcion, Fac Ciencias Vet, Chillan, Chile; [Herrmann, Bjorn] Uppsala Univ, Dept Med Sci, Clin Microbiol Sect, S-75185 Uppsala, Sweden</t>
  </si>
  <si>
    <t>Uppsala University; Linnaeus University; Universidad Andres Bello; Friedrich Loeffler Institute; Eberhard Karls University of Tubingen; Eberhard Karls University Hospital; Uppsala University; Uppsala University; Universidad de Concepcion; Uppsala University</t>
  </si>
  <si>
    <t>Herrmann, B (corresponding author), Uppsala Univ, Sect Clin Bacteriol, Dept Med Sci, S-75185 Uppsala, Sweden.</t>
  </si>
  <si>
    <t>bjorn.herrmann@medsci.uu.se</t>
  </si>
  <si>
    <t>Wille, Michelle/F-4819-2013; Sachse, Konrad/GWC-4999-2022</t>
  </si>
  <si>
    <t>Wille, Michelle/0000-0002-5629-0196; Sachse, Konrad/0000-0003-1230-1786; Olsen, Bjorn/0000-0002-4646-691X</t>
  </si>
  <si>
    <t>Instituto Antartico Chileno [INACH T-27-10]; Uppsala University Hospital, Sweden</t>
  </si>
  <si>
    <t>Instituto Antartico Chileno; Uppsala University Hospital, Sweden</t>
  </si>
  <si>
    <t>The authors would like to thank the Instituto Antartico Chileno for financing the research project INACH T-27-10: The common seabird tick Ixodes uriae (White, 1852) as vector of pathogenic virus, bacteria and protozoa to penguins of the Antarctic environment, which made this study possible. Financing was also provided from local funds at Uppsala University Hospital, Sweden. Also, we thank the staff of the Chilean Antarctic base Bernardo O'Higgins for their help and assistance during our field work.</t>
  </si>
  <si>
    <t>10.1007/s00300-015-1748-2</t>
  </si>
  <si>
    <t>WOS:000364023800012</t>
  </si>
  <si>
    <t>Angulo-Preckler, C; Spurkland, T; Avila, C; Iken, K</t>
  </si>
  <si>
    <t>Angulo-Preckler, C.; Spurkland, T.; Avila, C.; Iken, K.</t>
  </si>
  <si>
    <t>Antimicrobial activity of selected benthic Arctic invertebrates</t>
  </si>
  <si>
    <t>Microbial inhibition; Arctic benthic invertebrates; Bacteria; Chemical defenses; Chemical ecology</t>
  </si>
  <si>
    <t>MARINE NATURAL-PRODUCTS; CHEMICAL ECOLOGY; ANTARCTIC SPONGES; BACTERIA; DEFENSE; ANTIBACTERIAL; EXTRACTS; CORALS; ORIGIN; SEA</t>
  </si>
  <si>
    <t>Benthic marine invertebrates are naturally exposed to a broad array of potentially deleterious microorganisms, and they can exhibit either a broad spectrum or a selective activity against specific bacteria. It is well known that chemical defenses produced by invertebrates are efficient in preventing microbial colonization or infections; however, little is known about such defenses in Arctic invertebrates. To investigate the incidence of chemical defenses against bacteria in sessile or slow-moving marine invertebrates from the Arctic Beaufort Sea, organic extracts of 16 species (10 sponges, three soft corals, two bryozoans, and one holothurian) were tested for antimicrobial activity against six allopatric bacterial strains. Notably, most lipophilic fractions showed different degrees of activity, while none of the hydrophilic extracts of any of the invertebrate species tested in the study presented any antimicrobial activity. Ten out of 16 invertebrate species tested (62.5 %) inhibited growth of at least one bacterial strain at natural extract concentration. This indicates that antimicrobial defenses are a common trend among sessile or slow-moving marine benthic invertebrates from the Arctic.</t>
  </si>
  <si>
    <t>[Angulo-Preckler, C.; Avila, C.] Univ Barcelona, Fac Biol, Biodivers Res Inst IrBIO, Dept Anim Biol Invertebrates, E-08028 Barcelona, Spain; [Spurkland, T.; Iken, K.] Univ Alaska Fairbanks, Sch Fisheries &amp; Ocean Sci, Fairbanks, AK 99775 USA</t>
  </si>
  <si>
    <t>University of Barcelona; University of Alaska System; University of Alaska Fairbanks</t>
  </si>
  <si>
    <t>Angulo-Preckler, C (corresponding author), Univ Barcelona, Fac Biol, Biodivers Res Inst IrBIO, Dept Anim Biol Invertebrates, Av Diagonal 643, E-08028 Barcelona, Spain.</t>
  </si>
  <si>
    <t>carlospreckler@hotmail.com</t>
  </si>
  <si>
    <t>Angulo_Preckler, Carlos/A-6456-2011; Avila, Conxita/B-9466-2008</t>
  </si>
  <si>
    <t>Angulo_Preckler, Carlos/0000-0001-9028-274X; Avila, Conxita/0000-0002-5489-8376</t>
  </si>
  <si>
    <t>FPU Program [AP2009-2081]; ACTIQUIM-II project from the Spanish Government [CTM2010-17415/ANT]</t>
  </si>
  <si>
    <t>FPU Program(Spanish Government); ACTIQUIM-II project from the Spanish Government</t>
  </si>
  <si>
    <t>This work was made possible through funding to C. Angulo-Preckler by the FPU Program (AP2009-2081) and the ACTIQUIM-II project (CTM2010-17415/ANT) from the Spanish Government. Samples were collected under BOEM Cooperative Agreement No. M10AC2004 Beaufort Sea marine Fish Monitoring in the Central Beaufort Sea, US Department of the Interior, Bureau of Ocean Energy Management (BOEM), Alaska Outer Continental Shelf Region, Anchorage Alaska as part of the BOEM Environmental Studies Program. We gratefully acknowledge the support of project PI Dr. B. Norcross (UAF) and BOEM program manager K. Wedemeyer.</t>
  </si>
  <si>
    <t>10.1007/s00300-015-1754-4</t>
  </si>
  <si>
    <t>WOS:000364023800014</t>
  </si>
  <si>
    <t>Damiani, A; Cordero, RR; Carrasco, J; Watanabe, S; Kawamiya, M; Lagun, VE</t>
  </si>
  <si>
    <t>Damiani, A.; Cordero, R. R.; Carrasco, J.; Watanabe, S.; Kawamiya, M.; Lagun, V. E.</t>
  </si>
  <si>
    <t>Changes in the UV Lambertian equivalent reflectivity in the Southern Ocean: Influence of sea ice and cloudiness</t>
  </si>
  <si>
    <t>REMOTE SENSING OF ENVIRONMENT</t>
  </si>
  <si>
    <t>Lambertian equivalent reflectivity; Albedo; Sea ice; Southern Ocean; Total cloud fraction</t>
  </si>
  <si>
    <t>SURFACE ALBEDO; TRENDS; RADIATION; CLOUDS; FEEDBACK; COVER; SNOW; VARIABILITY; ULTRAVIOLET; DECREASE</t>
  </si>
  <si>
    <t>Existing Lambertian equivalent reflectivity (LER) ultraviolet (UV) data for the west region of the Southern Ocean indicate a decreasing trend. Since the area surrounding Antarctica is largely unpolluted, LER changes can only be due to variations in the cloud cover and/or in the sea ice extension. In order to evaluate their influence on LER and assess the trend of the UV reflectivity under ice-free and various sea ice concentration (SIC) levels, we compared a multi-satellite-based LER dataset with different satellite observations of cloud cover and SIC for October to March from 1979 to 2012. Despite the high cloud fraction for most of this period, sea ice was found to be the main driver of LER variability and had a greater influence on LER variability than cloud cover. The cloud cover was lower in spring than in summer for all datasets, and this difference appears to be primarily associated with the sea ice extent. While an increment of the cloud fraction of 20% has been found to cause an increase in LER of up to 13 reflectivity units (RU) under ice-free conditions, this increase is halved under low SIC. In contrast, no significant changes in LER data were found under high SIC levels. The correlation between LER and SIC is evident when the latter is higher than approximately 30%. The best correlations (r) between LER and SIC were found for the Weddell Sea (r = 0.87), the Ross Sea (r = 0.85), and the Indian Ocean (r = 0.90) for November, and for the Bellingshausen/Amundsen Seas (r = 0.86) and the Pacific Ocean (r = 0.83) for February and October, respectively. In contrast, no correlation was found in the proximity of the coastlines of west Antarctica in October. Overall, an enhancement of SIC from 0% to 100% results in a LER increase of 44 RU. This value is larger than the corresponding sea ice-induced increase computed for the observed and modeled shortwave albedos at the top of the atmosphere (21 and 13 RU, respectively). The LER data distributions for different regions and months show a marked seasonal double peak in reflectivity. The highest relative frequency is driven by the sea ice and peaks at approximately 90 RU, whereas the secondary peak of approximately 50 RU is dominated by cloudiness. Negative trends in the UV reflectivity of the grid cells characterized by a SIC greater than 30% were found for the Bellingshausen/Amundsen Seas (up to -3.6 +/- 1.0 per decade in March). Trends computed over the entire Southern Ocean for mid/high SIC bins are mostly negative, although are often not statistically significant. However, the trend in the reflectivity of the ice-free grid cells was generally positive, probably due to changes in the cloud amount/opacity. (C) 2015 Elsevier Inc All rights reserved.</t>
  </si>
  <si>
    <t>[Damiani, A.; Watanabe, S.; Kawamiya, M.] Japan Agcy Marine Earth Sci &amp; Technol, Kanazawa Ku, Yokohama, Kanagawa 2360001, Japan; [Cordero, R. R.] Univ Santiago Chile, Dept Phys, Santiago 8370966, Chile; [Carrasco, J.] Univ Magallanes, Punta Arenas 6200000, Chile; [Lagun, V. E.] Arctic &amp; Antarctic Res Inst, Lab Antarctic Climate &amp; Ocean Res, St Petersburg 199226, Russia</t>
  </si>
  <si>
    <t>Japan Agency for Marine-Earth Science &amp; Technology (JAMSTEC); Universidad de Santiago de Chile; Universidad de Magallanes; Arctic &amp; Antarctic Research Institute</t>
  </si>
  <si>
    <t>Damiani, A (corresponding author), Japan Agcy Marine Earth Sci &amp; Technol, Kanazawa Ku, 3173-25 Showa Machi, Yokohama, Kanagawa 2360001, Japan.</t>
  </si>
  <si>
    <t>alecarlo.damiani@gmail.com</t>
  </si>
  <si>
    <t>Cordero, Raul R/M-7979-2017; Carrasco, Jorge/ACG-6766-2022; Damiani, Alessandro/X-4677-2019; Keyes, Dennis/AAZ-9285-2021; Kawamiya, Michio/GPS-7720-2022; Watanabe, Shingo/X-2336-2019; Carrasco, Jorge/AAC-4799-2021; Watanabe, Shingo/L-9689-2014</t>
  </si>
  <si>
    <t>Carrasco, Jorge/0000-0003-2154-5483; Damiani, Alessandro/0000-0003-3014-6193; Watanabe, Shingo/0000-0002-2228-0088; Carrasco, Jorge/0000-0003-2154-5483; Watanabe, Shingo/0000-0002-2228-0088; Cordero, Raul R./0000-0001-7607-7993</t>
  </si>
  <si>
    <t>SOUSEI program, MEXT, Japan; CORFO [Preis 14BPC4-28651]; CONICYT-BMBF [Preis PCCI20130041]; FONDEF [Preis IT13I10034]; FONDECYF [Preis 1151034, Preis 1140239]; USACH-DICYT ASOCIATIVO</t>
  </si>
  <si>
    <t>SOUSEI program, MEXT, Japan; CORFO; CONICYT-BMBF(Federal Ministry of Education &amp; Research (BMBF)); FONDEF; FONDECYF; USACH-DICYT ASOCIATIVO</t>
  </si>
  <si>
    <t>We would like to thank the three anonymous reviewers for providing constructive comments that improved the quality of our paper. The present study was supported by the SOUSEI program, MEXT, Japan. The Chilean team gratefully acknowledges the support of CORFO (Preis 14BPC4-28651), CONICYT-BMBF (Preis PCCI20130041), FONDEF (Preis IT13I10034), FONDECYF (Preis 1151034, and Preis 1140239), and USACH-DICYT ASOCIATIVO. VEL acknowledges the AARI Antarctic Science Program Subprogram Study and Research of the Antarctic of the Federal Target Program World Ocean. Thanks are due to the Principal Investigators of the different experiments from which data were taken as well as to the corresponding data centers and services. LER data are available at the Goddard Earth Sciences Data and Information Services Center. The GEWEX Cloud Assessment data were obtained from the ClimServ Data Center of IPSL/CNRS. Sea ice concentration data are available at the NASA National Snow and Ice Data Center.</t>
  </si>
  <si>
    <t>0034-4257</t>
  </si>
  <si>
    <t>1879-0704</t>
  </si>
  <si>
    <t>REMOTE SENS ENVIRON</t>
  </si>
  <si>
    <t>Remote Sens. Environ.</t>
  </si>
  <si>
    <t>10.1016/j.rse.2015.07.030</t>
  </si>
  <si>
    <t>Environmental Sciences; Remote Sensing; Imaging Science &amp; Photographic Technology</t>
  </si>
  <si>
    <t>Environmental Sciences &amp; Ecology; Remote Sensing; Imaging Science &amp; Photographic Technology</t>
  </si>
  <si>
    <t>CU8TB</t>
  </si>
  <si>
    <t>WOS:000363815900005</t>
  </si>
  <si>
    <t>Gillespie, A</t>
  </si>
  <si>
    <t>Gillespie, Alan</t>
  </si>
  <si>
    <t>Stephen C. Porter 1934-2015 In Memoriam</t>
  </si>
  <si>
    <t>ARCTIC ANTARCTIC AND ALPINE RESEARCH</t>
  </si>
  <si>
    <t>Biographical-Item</t>
  </si>
  <si>
    <t>Univ Washington, Dept Earth &amp; Space Sci, Seattle, WA 98195 USA</t>
  </si>
  <si>
    <t>Gillespie, A (corresponding author), Univ Washington, Dept Earth &amp; Space Sci, Seattle, WA 98195 USA.</t>
  </si>
  <si>
    <t>INST ARCTIC ALPINE RES</t>
  </si>
  <si>
    <t>UNIV COLORADO, BOULDER, CO 80309 USA</t>
  </si>
  <si>
    <t>1523-0430</t>
  </si>
  <si>
    <t>1938-4246</t>
  </si>
  <si>
    <t>ARCT ANTARCT ALP RES</t>
  </si>
  <si>
    <t>Arct. Antarct. Alp. Res.</t>
  </si>
  <si>
    <t>10.1657/AAAR0047-4-Memoriam</t>
  </si>
  <si>
    <t>Environmental Sciences; Geography, Physical</t>
  </si>
  <si>
    <t>Environmental Sciences &amp; Ecology; Physical Geography</t>
  </si>
  <si>
    <t>CU9KL</t>
  </si>
  <si>
    <t>WOS:000363863300001</t>
  </si>
  <si>
    <t>Webster, KD; White, JR; Pratt, LM</t>
  </si>
  <si>
    <t>Webster, Kevin D.; White, Jeffrey R.; Pratt, Lisa M.</t>
  </si>
  <si>
    <t>Ground-level concentrations of atmospheric methane in southwest Greenland evaluated using open-path laser spectroscopy and cavity-enhanced absorption spectroscopy</t>
  </si>
  <si>
    <t>TRACE GAS-EXCHANGE; DISSOLVED-GASES; WEST GREENLAND; EMISSIONS; TUNDRA; LAKES; FLUX; CH4; BENEATH; WATER</t>
  </si>
  <si>
    <t>Portable open-path laser (OPL) instruments provide a way to measure real-time, in situ atmospheric methane (CH4) concentrations at a variety of spatial and temporal scales. Our results suggest that OPL instruments may be simple and effective tools for monitoring atmospheric CH4 dynamics near ground-level in Arctic landscapes. We used a CH4 detecting OPL instrument at seven different field sites in southwest Greenland during the summer of 2012 to monitor atmospheric CH4 concentrations in the presence of local CH4 sources and sinks. Measurements with the OPL were conducted for deployments between 0.4 and 40 h over path lengths between 10 and 300 m. These measurements were checked against periodic grab samples analyzed in the field lab using cavity-enhanced absorption spectroscopy. Mean concentrations of atmospheric CH4 measured with the OPL across all field sites ranged from 1.72 (+/- 0.12) to 1.88 (+/- 0.15) ppm by volume (ppmv). The median atmospheric CH4 concentration measured using cavity-enhanced absorption spectroscopy was 1.82 +/- 0.04 ppmv. Slightly elevated CH4 concentrations were measured downwind of one lake and in a subglacial cave. OPL measurements of atmospheric CH4 concentrations agreed with results from cavity-enhanced absorption spectroscopy (&lt;3% difference). OPL technology may be a useful tool for extended CH4 monitoring studies in the Arctic and may help in our understanding of atmospheric CH4 concentrations at spatial and temporal scales not accessible to other forms of measurement.</t>
  </si>
  <si>
    <t>[Webster, Kevin D.; White, Jeffrey R.; Pratt, Lisa M.] Indiana Univ, Dept Geol Sci, Bloomington, IN 47405 USA; [White, Jeffrey R.] Indiana Univ, Sch Publ &amp; Environm Affairs, Bloomington, IN 47405 USA</t>
  </si>
  <si>
    <t>Indiana University System; Indiana University Bloomington; Indiana University System; Indiana University Bloomington</t>
  </si>
  <si>
    <t>White, JR (corresponding author), Indiana Univ, Dept Geol Sci, 1001 East 10th St, Bloomington, IN 47405 USA.</t>
  </si>
  <si>
    <t>whitej@indiana.edu</t>
  </si>
  <si>
    <t>White, Jeffrey/A-6965-2017</t>
  </si>
  <si>
    <t>White, Jeffrey/0000-0002-7541-3737</t>
  </si>
  <si>
    <t>National Aeronautics and Space Administration, Astrobiology Science and Technology for Exploring Planets Award [NNX11AJ01G]</t>
  </si>
  <si>
    <t>National Aeronautics and Space Administration, Astrobiology Science and Technology for Exploring Planets Award</t>
  </si>
  <si>
    <t>This research was funded by a National Aeronautics and Space Administration, Astrobiology Science and Technology for Exploring Planets Award (no. NNX11AJ01G). S. Cadieux assisted in collecting CH4 data. R. Droppo, J. Marks, the staff of Kangerlussuaq International Science Support, and CH2M Hill provided logistical support during this project. A. Schimmelmann supplied a critical review of the manuscript in its early stages. Instruction in the use of the OPL was given by L. Harper. Boreal Laser Company assisted in OPL data analysis. N. Hvidberg, J. Rebholz, and E. Broemsen contributed invaluable field assistance. Three anonymous reviewers provided feedback that greatly improved the quality of this manuscript.</t>
  </si>
  <si>
    <t>10.1657/AAAR0014-051</t>
  </si>
  <si>
    <t>WOS:000363863300002</t>
  </si>
  <si>
    <t>Romshoo, SA; Dar, RA; Rashid, I; Marazi, A; Ali, N; Zaz, SN</t>
  </si>
  <si>
    <t>Romshoo, Shakil Ahmad; Dar, Reyaz A.; Rashid, Irfan; Marazi, Asif; Ali, Nahida; Zaz, Sumira N.</t>
  </si>
  <si>
    <t>Implications of shrinking cryosphere under changing climate on the streamflows in the Lidder catchment in the Upper Indus Basin, India</t>
  </si>
  <si>
    <t>RISING RIVER FLOWS; SNOW-COVER; GLACIER INVENTORY; WATER-RESOURCES; 20-1ST CENTURY; CHANGE IMPACTS; RUNOFF; REGION; HIMALAYA; MODEL</t>
  </si>
  <si>
    <t>Lidder tributary in the Upper Indus Basin (UIB) of the Himalayas, an important source of surface and ground water, is experiencing clear indications of climate change. In the basin, minimum, maximum, and average temperatures are showing a significant increasing trend in all the four seasons. Precipitation is showing insignificant decrease over time in the basin. However, the proportion of snow is decreasing and correspondingly, the proportion of rains is increasing. The temperature projections also show increasing trends for the end of this century. The time-series analysis of the Normalized Difference Snow Index (NDSI) shows a depletion of the snow-cover in the region. Furthermore, during the past 51 years, the glacier area in the basin has decreased from 46.09 km(2) in 1962 to 33.43 km(2) in 2013, a depletion of 27.47%. As a result of glacier recession in the basin, the streamflow fed predominantly by snowmelt and glacier melt, is showing a statistically significant decline since the mid-1990s. The declining streamflows have potential to adversely affect agriculture, energy production, tourism, and even domestic water supplies. The Snowmelt Runoff Model (SRM) was tested for estimating the runoff from this glaciated basin on an operational basis. The average simulated runoff 11.94 m(3) s(-1) at the outlet is in concordance with the average measured runoff 13.51 m(3) s(-1) showing R-2 of 0.82. The model could thus be used for snowmelt runoff estimation, on an operational basis, for judicious utilization of the depleting water resources in the region.</t>
  </si>
  <si>
    <t>[Romshoo, Shakil Ahmad; Dar, Reyaz A.; Rashid, Irfan; Marazi, Asif; Ali, Nahida; Zaz, Sumira N.] Univ Kashmir, Dept Earth Sci, Srinagar 190006, Jammu &amp; Kashmir, India</t>
  </si>
  <si>
    <t>University of Kashmir</t>
  </si>
  <si>
    <t>Romshoo, SA (corresponding author), Univ Kashmir, Dept Earth Sci, Srinagar 190006, Jammu &amp; Kashmir, India.</t>
  </si>
  <si>
    <t>shakilrom@kashmiruniversity.ac.in</t>
  </si>
  <si>
    <t>Dar, Reyaz/AAF-6172-2020; Rashid, Irfan/B-6621-2012; Rashid, Irfan/T-3685-2019; MARAZI, ASIF/ABE-7282-2020; Romshoo, Shakil/A-2465-2012</t>
  </si>
  <si>
    <t>Rashid, Irfan/0000-0002-5214-1919; MARAZI, ASIF/0000-0002-7182-2904; Romshoo, Shakil/0000-0003-0070-5564</t>
  </si>
  <si>
    <t>Department of Science and Technology (DST), Government of India</t>
  </si>
  <si>
    <t>Department of Science and Technology (DST), Government of India(Department of Science &amp; Technology (India))</t>
  </si>
  <si>
    <t>The research work was conducted as part of the Department of Science and Technology (DST), Government of India-sponsored Inter-University Consortium research project titled Himalayan Cryosphere: Science and Society and the financial assistance received from the department under the project to accomplish this research is thankfully acknowledged. The authors express gratitude to the anonymous reviewers for their valuable comments and suggestions on the earlier version of the manuscript that greatly improved its content and structure.</t>
  </si>
  <si>
    <t>10.1657/AAAR0014-088</t>
  </si>
  <si>
    <t>WOS:000363863300004</t>
  </si>
  <si>
    <t>Xia, WT; Xie, HJ; Ke, CQ; Zhao, JP; Lei, RB; Ackley, SF</t>
  </si>
  <si>
    <t>Xia, Wentao; Xie, Hongjie; Ke, Changqing; Zhao, Jinping; Lei, Ruibo; Ackley, Stephen F.</t>
  </si>
  <si>
    <t>Summer surface albedo of sea ice in Pacific Arctic sector as measured during the CHINARE 2010 cruise</t>
  </si>
  <si>
    <t>SNOW; MODEL; MELT; PARAMETERIZATION</t>
  </si>
  <si>
    <t>Knowledge of Arctic snow and ice surface albedo is essential to understand local energy budget and snow/ice albedo feedback under global warming scenario. In situ measured albedo plays an essential role by providing ground truth reference for remote sensing monitoring of albedo at large scale. Such measurements with portable and fixed-location spectroradiometers were conducted in one 12-day (long-term) and several short-term (3-4 hours) ice stations over the Pacific Arctic sector during the summer 2010 Chinese National Arctic Research Expedition (CHINARE). Results show that the wavelength-integrated albedo across 350 to 2200 nm of bare ice was similar to 0.56 to 0.68 in the lower latitudes and marginal ice zone, while albedo of snow-covered ice reduced from 0.75-0.86 to 0.42-0.61 during the mid-August period of the 12-day ice station (86 degrees 48'N to 87 degrees 20'N). The albedo variation and evolution of melt ponds were examined with details during the 12-day ice station. It is found that albedo of melt pond reduced from 0.68 (melt pond snow, 9 August) and 0.66 (melt pond ice, 9 August) to 0.32 (melt pond water and ice, 17 August) in one week as a rainfall event occurred. Such rapid decreasing of snow and sea ice albedo and evident difference between the pack ice zone and marginal ice zone may contribute to the surface albedo feedback and rapidly shrinking summer sea ice extent in the Arctic Ocean.</t>
  </si>
  <si>
    <t>[Xia, Wentao; Xie, Hongjie; Ackley, Stephen F.] Univ Texas San Antonio, Lab Remote Sensing &amp; Geoinformat, San Antonio, TX 78249 USA; [Ke, Changqing] Nanjing Univ, Sch Geog &amp; Oceanog Sci, Nanjing 210023, Jiangsu, Peoples R China; [Zhao, Jinping] Ocean Univ China, Coll Phys &amp; Environm Oceanog, Qingdao 266100, Peoples R China; [Lei, Ruibo] Polar Res Inst China, State Ocean Adm, Key Lab Polar Sci, Shanghai 200136, Peoples R China</t>
  </si>
  <si>
    <t>University of Texas System; University of Texas at San Antonio (UTSA); Nanjing University; Ocean University of China; Polar Research Institute of China</t>
  </si>
  <si>
    <t>Xie, HJ (corresponding author), Univ Texas San Antonio, Lab Remote Sensing &amp; Geoinformat, One UTSA Circle, San Antonio, TX 78249 USA.</t>
  </si>
  <si>
    <t>Hongjie.xie@utsa.edu</t>
  </si>
  <si>
    <t>Xie, Hongjie/B-5845-2009</t>
  </si>
  <si>
    <t>Xie, Hongjie/0000-0003-3516-1210</t>
  </si>
  <si>
    <t>Chinese Polar Environment Comprehensive Investigation &amp; Assessment Programs [CHINARE2015-04-03]; Foreign Cooperation of Chinese Arctic and Antarctic Administration [IC201301]; National Nature Science Foundation of China [41371391]; Chinese Arctic and Antarctic Administration; Chinese Arctic Expedition Team</t>
  </si>
  <si>
    <t>Chinese Polar Environment Comprehensive Investigation &amp; Assessment Programs; Foreign Cooperation of Chinese Arctic and Antarctic Administration; National Nature Science Foundation of China(National Natural Science Foundation of China (NSFC)); Chinese Arctic and Antarctic Administration; Chinese Arctic Expedition Team</t>
  </si>
  <si>
    <t>This work was partially supported by the Chinese Polar Environment Comprehensive Investigation &amp; Assessment Programs (No. CHINARE2015-04-03), the Foreign Cooperation of Chinese Arctic and Antarctic Administration (No. IC201301), and the National Nature Science Foundation of China (No. 41371391). Travel expenses for Xie to the cruise were covered by the National Oceanic and Atmospheric Administration's (NOAA's) Climate Research/Sea Ice Outlook Program. We sincerely acknowledge the support from the Chinese Arctic and Antarctic Administration, the Chinese Arctic Expedition Team-2010, and the other persons of the sea ice team of the cruise. Thank you to Don Perovich for providing the cosine sensor for field work.</t>
  </si>
  <si>
    <t>10.1657/AAAR0014-090</t>
  </si>
  <si>
    <t>WOS:000363863300005</t>
  </si>
  <si>
    <t>Drexler, JZ; Fuller, CC; Orlando, J; Moore, PE</t>
  </si>
  <si>
    <t>Drexler, Judith Z.; Fuller, Christopher C.; Orlando, James; Moore, Peggy E.</t>
  </si>
  <si>
    <t>Recent rates of carbon accumulation in montane fens of Yosemite National Park, California, USA</t>
  </si>
  <si>
    <t>SEDIMENT ACCUMULATION; PB-210; PEATLAND; CS-137; CHRONOLOGY; MOUNTAINS; ACCRETION; DYNAMICS; FLUXES</t>
  </si>
  <si>
    <t>Little is known about recent rates of carbon storage in montane peatlands, particularly in the western United States. Here we report on recent rates of carbon accumulation (past 50 to 100 years) in montane groundwater-fed peatlands (fens) of Yosemite National Park in central California, U.S.A. Peat cores were collected at three sites ranging in elevation from 2070 to 2500 m. Core sections were analyzed for bulk density, % organic carbon, and Pb-210 activities for dating purposes. Organic carbon densities ranged from 0.026 to 0.065 g C cm(-3). Mean vertical accretion rates estimated using Pb-210 over the 50-year period from similar to 1960 to 2011 and the 100-year period from similar to 1910 to 2011 were 0.28 (standard deviation = +/- 0.09) and 0.18 (+/--0.04) cm yr(-1), respectively. Mean carbon accumulation rates over the 50- and 100-year periods were 95.4 (+/- 25.4) and 74.7 (+/- 17.2) g C m(-2) yr(-1), respectively. Such rates are similar to recent rates of carbon accumulation in rich fens in western Canada, but more studies are needed to definitively establish both the similarities and differences in peat formation between boreal and temperate montane fens.</t>
  </si>
  <si>
    <t>[Drexler, Judith Z.; Orlando, James] US Geol Survey, Calif Water Sci Ctr, Sacramento, CA 95620 USA; [Fuller, Christopher C.] US Geol Survey, Natl Res Program, Menlo Pk, CA 94025 USA; [Moore, Peggy E.] US Geol Survey, Western Ecol Res Ctr, Yosemite Field Stn, Portal, CA 95318 USA</t>
  </si>
  <si>
    <t>United States Department of the Interior; United States Geological Survey; United States Department of the Interior; United States Geological Survey; United States Department of the Interior; United States Geological Survey</t>
  </si>
  <si>
    <t>Drexler, JZ (corresponding author), US Geol Survey, Calif Water Sci Ctr, 6000 J St,Placer Hall, Sacramento, CA 95620 USA.</t>
  </si>
  <si>
    <t>jdrexler@usgs.gov</t>
  </si>
  <si>
    <t>Fuller, Christopher/0000-0002-2354-8074; Moore, Peggy/0000-0002-8481-2617</t>
  </si>
  <si>
    <t>U.S. Geological Survey-National Park Service Park Oriented Biological Support Program</t>
  </si>
  <si>
    <t>This project was funded by U.S. Geological Survey-National Park Service Park Oriented Biological Support Program. We thank Niki Stephanie Nicholas and others at Yosemite National Park for their support of this project. We appreciate receiving background information on Yosemite fens from David Cooper. We are grateful to the anonymous reviewers for offering substantial comments that improved the manuscript.</t>
  </si>
  <si>
    <t>10.1657/AAAR0015-002</t>
  </si>
  <si>
    <t>WOS:000363863300006</t>
  </si>
  <si>
    <t>Spaulding, SA; Otu, MK; Wolfe, AP; Baron, JS</t>
  </si>
  <si>
    <t>Spaulding, Sarah A.; Otu, Megan K.; Wolfe, Alexander P.; Baron, Jill S.</t>
  </si>
  <si>
    <t>Paleolimnological records of nitrogen deposition in shallow, high-elevation lakes of Grand Teton National Park, Wyoming, USA</t>
  </si>
  <si>
    <t>COLORADO FRONT RANGE; CRITICAL LOADS; ALPINE LAKES; NUTRIENT LIMITATION; ULTRAVIOLET-RADIATION; ROCKY-MOUNTAINS; ORGANIC-MATTER; PHYTOPLANKTON; COMMUNITIES; ECOSYSTEM</t>
  </si>
  <si>
    <t>Reactive nitrogen (Nr) from anthropogenic sources has been altering ecosystem function in lakes of the Rocky Mountains, other regions of western North America, and the Arctic over recent decades. The response of biota in shallow lakes to atmospheric deposition of Nr, however, has not been considered. Benthic algae are dominant in shallow, high-elevation lakes and are less sensitive to nutrient inputs than planktonic algae. Because the benthic substrate is typically more nutrient rich than the water column, shallow lakes are not expected to show evidence of anthropogenic Nr. In this study, we assessed sedimentary evidence for regional Nr deposition, sediment chronology, and the nature of algal community response in five shallow, high-elevation lakes in Grand Teton National Park (GRTE). Over 140 diatom taxa were identified from the sediments, with a relatively high species richness of taxa characteristic of oligotrophic conditions. The diatom assemblages were dominated by benthic taxa, especially motile taxa. The GRTE lakes demonstrate assemblage-wide shifts in diatoms, including the following: (1) synchronous and significant assemblage changes centered on ca. A. D. 1960; (2) pre-1960 assemblages differed significantly from post-1960 assemblages; (3) pre-1960 diatom assemblages fluctuated randomly, whereas post-1960 assemblages showed directional change; and (4) changes in delta N-15 signatures were correlated with diatom community composition. These results demonstrate recent changes in shallow high-elevation lakes that are most correlated with anthropogenic Nr. It is also possible, however, that the combined effect of Nr deposition and warming is accelerating species shifts in benthic diatoms. While uncertainties remain about the potential synergy of Nr deposition and warming, this study adds shallow lakes to the growing list of impacted high-elevation localities in western North America.</t>
  </si>
  <si>
    <t>[Spaulding, Sarah A.; Otu, Megan K.] Univ Colorado, US Geol Survey, INSTAAR, Boulder, CO 80303 USA; [Wolfe, Alexander P.] Univ Alberta, Dept Biol Sci, Edmonton, AB T6G 2E9, Canada; [Baron, Jill S.] US Forest Serv, Ft Collins Sci Ctr, Ft Collins, CO 80526 USA</t>
  </si>
  <si>
    <t>University of Colorado System; University of Colorado Boulder; United States Department of the Interior; United States Geological Survey; University of Alberta; United States Department of Agriculture (USDA); United States Forest Service</t>
  </si>
  <si>
    <t>Spaulding, SA (corresponding author), Univ Colorado, US Geol Survey, INSTAAR, 1560 30th St, Boulder, CO 80303 USA.</t>
  </si>
  <si>
    <t>sspaulding@usgs.gov</t>
  </si>
  <si>
    <t>Baron, Jill/C-5270-2016; Spaulding, Sarah Ann/AEZ-7757-2022</t>
  </si>
  <si>
    <t>Baron, Jill/0000-0002-5902-6251; Spaulding, Sarah Ann/0000-0002-9787-7743</t>
  </si>
  <si>
    <t>National Park Services Air Resources Division (NPS award) [119720]</t>
  </si>
  <si>
    <t>National Park Services Air Resources Division (NPS award)</t>
  </si>
  <si>
    <t>This work is dedicated to the late Susan O'Ney, Grand Teton National Park. Special thanks to Ellen Porter, Tamara Blett, and Terry Svalberd of the National Park Services Air Resources Division, who helped facilitate research through funding support (NPS award #119720) and assisting with field logistics. We thank Jack Cornett and Janice Lardner of MyCore Scientific for 210Pb dating; Joy Matthews of UC Davis Stable Isotope Facility; Austin Seback for map creation, and Christine Siebold, Holly Shuss, and Holly Hughes of the Kiowa Lab; Hank Harlow and Celeste Havener of the University of Wyoming/National Park Service Field Station; Marina Potapova of Academy of Natural Sciences of Drexel University for field assistance and data interpretation. We are grateful to our field volunteers Heather Mosher, Katie Williams, Brooke Osborne, Julia Spencer, Chad Whaley, Lindsey Mills, and Ed Mellander who helped transport equipment to remote sites. We acknowledge laboratory assistance at University of Colorado, INSTAAR, by Anna Hermann and Wendy Roth who helped process and analyze sediment samples. Discussions with Janice Brahney and Ashley Ballantyne helped inform our interpretations. Anonymous reviewers offered suggestions that substantially improved the manuscript. Any use of trade, firm, or product names is for descriptive purposes only and does not imply endorsement by the U.S. Government.</t>
  </si>
  <si>
    <t>10.1657/AAAR0015-008</t>
  </si>
  <si>
    <t>WOS:000363863300010</t>
  </si>
  <si>
    <t>Mark, AF; Korsten, AC; Guevara, DU; Dickinson, KJM; Humar-Maegli, T; Michel, P; Halloy, SRP; Lord, JM; Venn, SE; Morgan, JW; Whigham, PA; Nielsen, JA</t>
  </si>
  <si>
    <t>Mark, Alan F.; Korsten, Annika C.; Guevara, D. Urrutia; Dickinson, Katharine J. M.; Humar-Maegli, Tanja; Michel, Pascale; Halloy, Stephan R. P.; Lord, Janice M.; Venn, Susanna E.; Morgan, John W.; Whigham, Peter A.; Nielsen, Jacqueline A.</t>
  </si>
  <si>
    <t>Ecological responses to 52 years of experimental snow manipulation in high-alpine cushionfield, Old Man Range, south-central New Zealand</t>
  </si>
  <si>
    <t>PLANT FUNCTIONAL TRAITS; CLIMATE-CHANGE; CENTRAL OTAGO; PILLAR RANGE; LONG-TERM; VEGETATION; COMMUNITIES; COVER; ENVIRONMENT; DIVERSITY</t>
  </si>
  <si>
    <t>Periodic monitoring over 52 years have revealed temporal changes in the vegetation and floristic patterns associated with what has been acclaimed to be the world's oldest known experimental snow fence, which is located on an exposed high-alpine cushionfield on the Old Man Range in south-central New Zealand. The induced pattern of intermittent snow-lie has been increased by the fence from the normal similar to 140 days to more than 200 days (and up to 140 cm deep), estimated from subsurface soil temperatures, together with periodic observations and measurements of snow depth. Some but not all species associated with natural snowbanks on the range have established in areas of induced snow accumulation. The timing of species establishment was not obviously related to relevant features of the local snowbank species or their distribution on the range, but the abundance of various plant species and their functional traits across zones of snowmelt point to competition and plant productivity being associated with the deepest snow in the lee of the fence. In addition, three of the several measured physical and chemical soil factors (Mg, available PO43-, and C:N) have differentiated significantly in relation to the vegetation and snow-lie pattern at year 52, although these seem not to be relevant on the basis of the pattern of the same factors in two nearby natural snowbanks on the range.</t>
  </si>
  <si>
    <t>[Mark, Alan F.; Korsten, Annika C.; Guevara, D. Urrutia; Dickinson, Katharine J. M.; Humar-Maegli, Tanja; Michel, Pascale; Halloy, Stephan R. P.; Lord, Janice M.; Nielsen, Jacqueline A.] Univ Otago, Dept Bot, Alpine Ecosyst Res Grp, Dunedin 9054, New Zealand; [Michel, Pascale] Manaaki Whenua Landcare Res, Biodivers &amp; Conservat Team, Wellington 6143, New Zealand; [Venn, Susanna E.; Morgan, John W.] La Trobe Univ, Dept Bot, Ctr Appl Alpine Ecol, Bundoora, Vic 3086, Australia; [Venn, Susanna E.] Australian Natl Univ, Res Sch Biol, Acton, ACT 2601, Australia; [Whigham, Peter A.] Univ Otago, Dept Informat Sci, Dunedin 9054, New Zealand</t>
  </si>
  <si>
    <t>University of Otago; Landcare Research - New Zealand; La Trobe University; Australian National University; University of Otago</t>
  </si>
  <si>
    <t>Mark, AF (corresponding author), Univ Otago, Dept Bot, Alpine Ecosyst Res Grp, POB 56, Dunedin 9054, New Zealand.</t>
  </si>
  <si>
    <t>alan.mark@otago.ac.nz</t>
  </si>
  <si>
    <t>Lord, Janice Marjorie/A-8869-2012; Halloy, Stephan/AFS-6326-2022; Dickinson, Katharine/M-1728-2017</t>
  </si>
  <si>
    <t>Lord, Janice Marjorie/0000-0001-8314-0428; Venn, Susanna/0000-0002-7433-0120; Dickinson, Katharine/0000-0001-6769-552X</t>
  </si>
  <si>
    <t>10.1657/AAAR0014-098</t>
  </si>
  <si>
    <t>WOS:000363863300013</t>
  </si>
  <si>
    <t>Jorgenson, JC; Raynolds, MK; Reynolds, JH; Benson, AM</t>
  </si>
  <si>
    <t>Jorgenson, Janet C.; Raynolds, Martha K.; Reynolds, Joel H.; Benson, Anna-Marie</t>
  </si>
  <si>
    <t>Twenty-five year record of changes in plant cover on tundra of northeastern Alaska</t>
  </si>
  <si>
    <t>NORTHERN ALASKA; VEGETATION</t>
  </si>
  <si>
    <t>Northern Alaska has warmed over recent decades and satellite data indicate that vegetation productivity has increased. To document vegetation changes in the Arctic National Wildlife Refuge, we monitored plant cover at 27 plots between 1984 and 2009. These are among the oldest permanently marked and continuously monitored vegetation plots in the Arctic. We quantified percent cover of all plant species by line-point intercept sampling and assessed change over time for seven plant growth forms. Cover of bryophytes and deciduous shrubs showed slight decreasing trends. Evergreen shrubs, horsetails, and depth of thawed soil above permafrost had no trends. For lichens, graminoids, and forbs, trends varied by plant community type. Overall, vegetation in the plots changed little over the study period, in contrast to results from other studies in northern Alaska. A few plots had dramatic changes, however, which we attributed to subsidence from melting ground ice or to floodplain dynamics. Our results demonstrate that vegetation change on the Arctic Refuge coastal plain over the past quarter century has been spatially heterogeneous and facilitated by disturbance. The findings highlight the need for greater work linking plot-level and regional remote sensing measurements of change.</t>
  </si>
  <si>
    <t>[Jorgenson, Janet C.] US Fish &amp; Wildlife Serv, Arctic Natl Wildlife Refuge, Fairbanks, AK 99701 USA; [Raynolds, Martha K.] Univ Alaska Fairbanks, Inst Arctic Biol, Fairbanks, AK 99775 USA; [Reynolds, Joel H.] US Fish &amp; Wildlife Serv, Natl Wildlife Refuge Syst, Div Nat Resources, Anchorage, AK 99503 USA; [Benson, Anna-Marie] US Fish &amp; Wildlife Serv, Natl Wildlife Refuge Syst, Div Nat Resources, Fairbanks, AK 99501 USA</t>
  </si>
  <si>
    <t>United States Department of the Interior; US Fish &amp; Wildlife Service; University of Alaska System; University of Alaska Fairbanks; United States Department of the Interior; US Fish &amp; Wildlife Service; United States Department of the Interior; US Fish &amp; Wildlife Service</t>
  </si>
  <si>
    <t>Jorgenson, JC (corresponding author), US Fish &amp; Wildlife Serv, Arctic Natl Wildlife Refuge, 101 12th Ave, Fairbanks, AK 99701 USA.</t>
  </si>
  <si>
    <t>janet_jorgenson@fws.gov</t>
  </si>
  <si>
    <t>Reynolds, Joel H/E-1445-2011</t>
  </si>
  <si>
    <t>Reynolds, Joel/0000-0003-4506-0501</t>
  </si>
  <si>
    <t>10.1657/AAAR0014-097</t>
  </si>
  <si>
    <t>WOS:000363863300015</t>
  </si>
  <si>
    <t>Yang, XG; Zhang, TJ; Qin, DH; Qin, X; Yang, Y</t>
  </si>
  <si>
    <t>Yang, Xingguo; Zhang, Tingjun; Qin, Dahe; Qin, Xiang; Yang, Yang</t>
  </si>
  <si>
    <t>Observational study of surface wind regime on the north slope of Mount Qomolangma (Mount Everest)</t>
  </si>
  <si>
    <t>ANTARCTIC KATABATIC WINDS; GREENLAND ICE-SHEET; ENERGY-BALANCE; METEOROLOGICAL VARIABLES; MIDLATITUDE GLACIER; EAST ANTARCTICA; VALLEY WINDS; MT. EVEREST; PART II; SNOW</t>
  </si>
  <si>
    <t>From May 2007 to September 2008, six automatic weather stations (AWS) were installed along the traditional mountaineering line on the north slope of Mount Qomolangma. The elevations of the stations ranged between 5207 and 6560 m above sea level (a.s.l.). Some sounding data were also measured at Base Camp (5207 m a.s.l.) in late April and early May of 2007 and 2008. The spatial arrangement of the stations and temporal duration of the measurements, as well as the sounding data, generated a data set enabling the analysis of the wind regime in this region. The wind directions and speeds show change at different elevations because of the complicated terrain, the glacier-moraine-rock transition underlying surface, and the synoptic-scale wind. The katabatic wind dominates at low-elevation areas in the Rongbuk Valley, and the depth and frequency of it are about 800 m and 59% during the observational period. The up-valley wind always erodes the katabatic wind, and causes the lowest directional constancy in summer. With the elevation ascending, the katabatic wind weakens due to the smaller fetch and temperature contrast, as well as the relatively open landscape of the valley and smaller glacier area. At site 3 (5792 m a.s.l.), the frequency of the katabatic wind is only 25%, whereas the frequency of the up-valley wind is 47%, and especially in winter, the up-valley wind (82%) predominates all day. Moreover, the synoptic-scale wind also plays an important role in the surface wind regime on the north slope of Mount Qomolangma. From November to March, the active westerly troughs always intrude into the bottom of the Rongbuk Valley and could maintain the strong katabatic wind, and the maximum wind speed reaches 43.1 m s(-1) at site 1 (5207 m a.s.l.). At high-elevation areas, the westerlies can penetrates more easily, and dominate the wind regime. The wind speed can reach as high as 57.1 m s(-1) at site 3 in winter.</t>
  </si>
  <si>
    <t>[Yang, Xingguo] Gansu Meteorol Bur, Lanzhou 730020, Peoples R China; [Zhang, Tingjun] Lanzhou Univ, Coll Earth &amp; Environm Sci, MOE Key Lab West Chinas Environm Syst, Lanzhou 730000, Peoples R China; [Qin, Dahe; Qin, Xiang] Chinese Acad Sci, State Key Lab Cryospher Sci, Cold &amp; Arid Reg Environm &amp; Engn Res Inst, Lanzhou 730000, Peoples R China; [Yang, Yang] China Meteorol Adm, Inst Arid Meteorol, Lanzhou 730020, Peoples R China</t>
  </si>
  <si>
    <t>Lanzhou University; Chinese Academy of Sciences; Cold &amp; Arid Regions Environmental &amp; Engineering Research Institute, CAS; China Meteorological Administration</t>
  </si>
  <si>
    <t>Zhang, TJ (corresponding author), Lanzhou Univ, Coll Earth &amp; Environm Sci, MOE Key Lab West Chinas Environm Syst, 222 Tianshui South Rd, Lanzhou 730000, Peoples R China.</t>
  </si>
  <si>
    <t>tjzhang@lzu.edu.cn</t>
  </si>
  <si>
    <t>ZHANG, TINGJUN/AAX-3662-2020</t>
  </si>
  <si>
    <t>ZHANG, Tingjun/0000-0001-6974-9501</t>
  </si>
  <si>
    <t>National Key Scientific Research Program of China of the Ministry of Science and Technology, China [2013CBA01801, 2013CBA01802]</t>
  </si>
  <si>
    <t>National Key Scientific Research Program of China of the Ministry of Science and Technology, China</t>
  </si>
  <si>
    <t>We thank all the crew members during the field experiments, especially Liu Hongyi, Liu Weigang, Du Wentao, Sun Weijun, Liu Yushuo, Wang Suichan, and Zhang Zhigang, who implemented the glaciometeorological expedition to Mount Qomolangma in 2007 and 2008. This work was supported by the National Key Scientific Research Program of China (grant no. 2013CBA01801, 2013CBA01802) of the Ministry of Science and Technology, China.</t>
  </si>
  <si>
    <t>10.1657/AAAR00C-13-132</t>
  </si>
  <si>
    <t>WOS:000363863300016</t>
  </si>
  <si>
    <t>De Luca, V; Del Prete, S; Carginale, V; Vullo, D; Supuran, CT; Capasso, C</t>
  </si>
  <si>
    <t>De Luca, Viviana; Del Prete, Sonia; Carginale, Vincenzo; Vullo, Daniela; Supuran, Claudiu T.; Capasso, Clemente</t>
  </si>
  <si>
    <t>Cloning, characterization and anion inhibition studies of a γ-carbonic anhydrase from the Antarctic cyanobacterium Nostoc commune</t>
  </si>
  <si>
    <t>Carbonic anhydrase; Metalloenzymes; Hydratase activity; Antarctic organisms; Cyanobacteria; Anions; Inhibition constant</t>
  </si>
  <si>
    <t>SULFURIHYDROGENIBIUM-YELLOWSTONENSE YO3AOP1; PATHOGEN PORPHYROMONAS-GINGIVALIS; DIATOM THALASSIOSIRA-WEISSFLOGII; FISH NOTOTHENIA-CORIICEPS; BACTERIUM VIBRIO-CHOLERAE; BIOCHEMICAL-CHARACTERIZATION; MYCOBACTERIUM-TUBERCULOSIS; SULFONAMIDE INHIBITION; CHIONODRACO-HAMATUS; IX INHIBITORS</t>
  </si>
  <si>
    <t>We report the cloning and catalytic activity of a gamma-carbonic anhydrase (CA, EC 4.2.1.1) isolated from the Antarctic cyanobacterium Nostoc commune, NcoCA. The enzyme has a significant catalytic activity for the physiologic reaction, CO2 hydration to bicarbonate and protons, with a k(cat) of 9.5 x 105 s(-1) and a k(cat)/Km of 8.3 x 107 M-1 x s(-1), being the most catalytically efficient gamma-CA investigated so far. An anion inhibition study of NcoCA with inorganic/organic anions is also reported here. Fluoride, sulfate, perchlorate and tetrafluoroborate did not inhibit appreciably NcoCA, whereas the other halides, pseudohalides, bicarbonate, nitrate, nitrite and many complex inorganic anions showed inhibition in the millimolar range. The best NcoCA inhibitors detected so far were diethyldithiocarbamate (K-I of 0.80 mM) as well as sulfamide, sulfamate, phenylboronic acid and phenylarsonic acid (K(I)s in the range of 70-90 mu M). Since gamma-CAs are present in carboxysomes, being involved in photosynthesis, this study may be relevant for a better understanding of such processes in some Antarctic organisms. (C) 2015 Elsevier Ltd. All rights reserved.</t>
  </si>
  <si>
    <t>[De Luca, Viviana; Del Prete, Sonia; Carginale, Vincenzo; Capasso, Clemente] CNR, Ist Biosci &amp; Biorisorse, I-80131 Naples, Italy; [Del Prete, Sonia; Vullo, Daniela; Supuran, Claudiu T.] Univ Florence, Dipartimento Neurofarba, Sez Sci Farmaceut, I-50019 Florence, Italy; [Del Prete, Sonia; Vullo, Daniela; Supuran, Claudiu T.] Polo Sci, Lab Chim Bioinorgan, I-50019 Florence, Italy</t>
  </si>
  <si>
    <t>Consiglio Nazionale delle Ricerche (CNR); Istituto di Bioscienze e Biorisorse (IBBR-CNR); University of Florence</t>
  </si>
  <si>
    <t>Supuran, CT (corresponding author), Univ Florence, Dipartimento Neurofarba, Sez Sci Farmaceut, Via U Schiff 6, I-50019 Florence, Italy.</t>
  </si>
  <si>
    <t>De Luca, Viviana/Q-2911-2016; Carginale, Vincenzo/N-2531-2014; CAPASSO, CLEMENTE/P-3522-2016</t>
  </si>
  <si>
    <t>Carginale, Vincenzo/0000-0002-1842-494X; VULLO, Daniela/0000-0002-1352-1900; DE LUCA, Viviana/0000-0003-3406-833X; Supuran, Claudiu/0000-0003-4262-0323; CAPASSO, CLEMENTE/0000-0003-3314-2411</t>
  </si>
  <si>
    <t>Italian National Antarctic Research Project PNRA [2013/AZ1.02]</t>
  </si>
  <si>
    <t>Italian National Antarctic Research Project PNRA</t>
  </si>
  <si>
    <t>This work was financed by the Italian National Antarctic Research Project PNRA 2013/AZ1.02.</t>
  </si>
  <si>
    <t>NOV 1</t>
  </si>
  <si>
    <t>10.1016/j.bmcl.2015.03.010</t>
  </si>
  <si>
    <t>CU1IV</t>
  </si>
  <si>
    <t>WOS:000363275400053</t>
  </si>
  <si>
    <t>Wintle, NJP; Sleadd, IM; Gundersen, DT; Kohl, K; Buckley, BA</t>
  </si>
  <si>
    <t>Wintle, Nathan J. P.; Sleadd, Isaac M.; Gundersen, Deke T.; Kohl, Kristina; Buckley, Bradley A.</t>
  </si>
  <si>
    <t>Total Mercury in Six Antarctic Notothenioid Fishes</t>
  </si>
  <si>
    <t>BULLETIN OF ENVIRONMENTAL CONTAMINATION AND TOXICOLOGY</t>
  </si>
  <si>
    <t>Antarctic fish; Notothenioidei; Mercury; Bioaccumulation</t>
  </si>
  <si>
    <t>MARINE ECOSYSTEMS; ROSS SEA; FOOD-WEB; CONTAMINANTS; SHELF</t>
  </si>
  <si>
    <t>We analyzed white muscle samples from six species of Antarctic fish (suborder Notothenioidei) collected in 2011 from McMurdo Sound, Ross Sea, Antarctica, to assess levels of total mercury (THg). Gymnodraco acuticeps and Trematomus bernacchii exhibited the highest concentrations of THg followed by Trematomus pennellii, Trematomus nicolai, Trematomus newnesi and Pagothenia borchgrevinki, (71.3, 53.9 +/- A 32.1, 45.8 +/- A 27.3, 37.2 +/- A 18.6, 35.7 +/- A 23.6, and 21.9 +/- A 2.8 ng/g wet weight, respectively). The results from this study suggest that THg has the potential to bioaccumulate from various marine Antarctic ecosystems into biota.</t>
  </si>
  <si>
    <t>[Wintle, Nathan J. P.] PDX Wildlife, Portland, OR 97219 USA; [Sleadd, Isaac M.] Univ Northern Alabama, Dept Biol, Florence, AL 35632 USA; [Gundersen, Deke T.; Kohl, Kristina] Univ Pacific, Dept Environm Sci, Forest Grove, OR 97116 USA; [Buckley, Bradley A.] Portland State Univ, Dept Biol, Ctr Life Extreme Environm, Portland, OR 97207 USA</t>
  </si>
  <si>
    <t>Pacific University; University of the Pacific; Portland State University</t>
  </si>
  <si>
    <t>Wintle, NJP (corresponding author), PDX Wildlife, 9233 SW Brier Pl, Portland, OR 97219 USA.</t>
  </si>
  <si>
    <t>nate@pdxwildlife.com</t>
  </si>
  <si>
    <t>Wintle, Nathan/0000-0002-3030-7818</t>
  </si>
  <si>
    <t>0007-4861</t>
  </si>
  <si>
    <t>1432-0800</t>
  </si>
  <si>
    <t>B ENVIRON CONTAM TOX</t>
  </si>
  <si>
    <t>Bull. Environ. Contam. Toxicol.</t>
  </si>
  <si>
    <t>10.1007/s00128-015-1594-5</t>
  </si>
  <si>
    <t>CT7WX</t>
  </si>
  <si>
    <t>WOS:000363026800003</t>
  </si>
  <si>
    <t>Barco, A; Marshall, B; Houart, R; Oliverio, M</t>
  </si>
  <si>
    <t>Barco, A.; Marshall, B.; Houart, R.; Oliverio, M.</t>
  </si>
  <si>
    <t>Molecular phylogenetics of Haustrinae and Pagodulinae (Neogastropoda: Muricidae) with a focus on New Zealand species</t>
  </si>
  <si>
    <t>JOURNAL OF MOLLUSCAN STUDIES</t>
  </si>
  <si>
    <t>MOLLUSCA GASTROPODA MURICIDAE; PREDATOR-PREY INTERACTIONS; ERGALATAXINAE NEOGASTROPODA; LEPSIELLA; GENUS; FRAMEWORK; INFERENCE; RAPANINAE; BIVALVIA; ATLANTIC</t>
  </si>
  <si>
    <t>We investigated the relationships of the muricid subfamilies Haustrinae, Pagodulinae and the genus Poirieria using a molecular phylogenetic approach on a dataset of three mitochondrial genes (12S, 16S and COI). These taxa form a well-supported clade within Muricidae. The phylogenetic analysis suggests that Poirieria is the sister group of Pagodulinae and that Axymene, Comptella, Pagodula, Paratrophon, Trophonella, Trophonopsis, Xymene, Xymenella, Xymenopsis and Zeatrophon are all worthy of genus-level rank within this subfamily. We propose the use of Enixotrophon for a group of species currently classified in Pagodula. The results also support a new taxonomic arrangement in Haustrinae.</t>
  </si>
  <si>
    <t>[Barco, A.] Helmoltz Ctr Ocean Res Kiel, GEOMAR, D-24105 Kiel, Germany; [Barco, A.; Oliverio, M.] Univ Roma La Sapienza, Dept Biol &amp; Biotechnol C Darwin, I-00185 Rome, Italy; [Marshall, B.] Museum New Zealand Papa Tongarewa, Wellington, New Zealand; [Houart, R.] Royal Belgian Inst Nat Sci, BE-1000 Brussels, Belgium</t>
  </si>
  <si>
    <t>Helmholtz Association; GEOMAR Helmholtz Center for Ocean Research Kiel; Sapienza University Rome; Royal Belgian Institute of Natural Sciences</t>
  </si>
  <si>
    <t>Barco, A (corresponding author), Helmoltz Ctr Ocean Res Kiel, GEOMAR, Dusternbrooker Weg 20, D-24105 Kiel, Germany.</t>
  </si>
  <si>
    <t>abarco@geomar.de</t>
  </si>
  <si>
    <t>OLIVERIO, MARCO/F-2229-2010</t>
  </si>
  <si>
    <t>Barco, Andrea/0000-0002-3963-1884</t>
  </si>
  <si>
    <t>Italian Antarctic research programme (PNRA)</t>
  </si>
  <si>
    <t>We thank Serge Gofas (University of Malaga, Spain) for the loan of Mediterranean specimens. This is Barcoding of Antarctic Marine Biodiversity (BAMBi) contribution no. 6; BAMBi was funded by the Italian Antarctic research programme (PNRA). Two anonymous reviewers are thanked for constructive criticisms.</t>
  </si>
  <si>
    <t>0260-1230</t>
  </si>
  <si>
    <t>1464-3766</t>
  </si>
  <si>
    <t>J MOLLUS STUD</t>
  </si>
  <si>
    <t>J. Molluscan Stud.</t>
  </si>
  <si>
    <t>10.1093/mollus/eyv020</t>
  </si>
  <si>
    <t>CU4RR</t>
  </si>
  <si>
    <t>WOS:000363518100006</t>
  </si>
  <si>
    <t>Meyer, B; Martini, P; Biscontin, A; De Pittà, C; Romualdi, C; Teschke, M; Frickenhaus, S; Harms, L; Freier, U; Jarman, S; Kawaguchi, S</t>
  </si>
  <si>
    <t>Meyer, B.; Martini, P.; Biscontin, A.; De Pitta, C.; Romualdi, C.; Teschke, M.; Frickenhaus, S.; Harms, L.; Freier, U.; Jarman, S.; Kawaguchi, S.</t>
  </si>
  <si>
    <t>Pyrosequencing and de novo assembly of Antarctic krill (Euphausia superba) transcriptome to study the adaptability of krill to climate-induced environmental changes</t>
  </si>
  <si>
    <t>MOLECULAR ECOLOGY RESOURCES</t>
  </si>
  <si>
    <t>454 pyrosequencing; Antarctic Krill; Euphausia superba; transcriptome</t>
  </si>
  <si>
    <t>SIMULATED LIGHT REGIMES; GENE-EXPRESSION; STRESS-RESPONSE; TEMPERATURE; GENOME; ACCLIMATION; ANNOTATION; METABOLISM; EVOLUTION; SEQUENCES</t>
  </si>
  <si>
    <t>The Antarctic krill, Euphausia superba, has a key position in the Southern Ocean food web by serving as direct link between primary producers and apex predators. The south-west Atlantic sector of the Southern Ocean, where the majority of the krill population is located, is experiencing one of the most profound environmental changes worldwide. Up to now, we have only cursory information about krill's genomic plasticity to cope with the ongoing environmental changes induced by anthropogenic CO2 emission. The genome of krill is not yet available due to its large size (about 48 Gbp). Here, we present two cDNA normalized libraries from whole krill and krill heads sampled in different seasons that were combined with two data sets of krill transcriptome projects, already published, to produce the first knowledgebase krill master' transcriptome. The new library produced 25% more E.superba transcripts and now includes nearly all the enzymes involved in the primary oxidative metabolism (Glycolysis, Krebs cycle and oxidative phosphorylation) as well as all genes involved in glycogenesis, glycogen breakdown, gluconeogenesis, fatty acid synthesis and fatty acids -oxidation. With these features, the master' transcriptome provides the most complete picture of metabolic pathways in Antarctic krill and will provide a major resource for future physiological and molecular studies. This will be particularly valuable for characterizing the molecular networks that respond to stressors caused by the anthropogenic CO2 emissions and krill's capacity to cope with the ongoing environmental changes in the Atlantic sector of the Southern Ocean.</t>
  </si>
  <si>
    <t>[Meyer, B.; Teschke, M.] Helmholtz Ctr Polar &amp; Marine Res, Alfred Wegener Inst, Sect Polar Biol Oceanog, D-27570 Bremerhaven, Germany; [Meyer, B.] Carl von Ossietzky Univ Oldenburg, Inst Chem &amp; Biol Marine Environm, D-26111 Oldenburg, Germany; [Martini, P.; Biscontin, A.; De Pitta, C.; Romualdi, C.] Univ Padua, Dipartimento Biol, I-35131 Padua, Italy; [Frickenhaus, S.; Harms, L.] Helmholtz Ctr Polar &amp; Marine Res, Alfred Wegener Inst, Sect Sci Comp, D-27570 Bremerhaven, Germany; [Frickenhaus, S.] Hsch Bremerhaven, D-27568 Bremerhaven, Germany; [Freier, U.] SC Sci Consulting, D-41472 Neuss, Germany; [Jarman, S.; Kawaguchi, S.] Australian Antarctic Div, Kingston, Tas 7050, Australia</t>
  </si>
  <si>
    <t>Helmholtz Association; Alfred Wegener Institute, Helmholtz Centre for Polar &amp; Marine Research; Carl von Ossietzky Universitat Oldenburg; University of Padua; Helmholtz Association; Alfred Wegener Institute, Helmholtz Centre for Polar &amp; Marine Research; Australian Antarctic Division</t>
  </si>
  <si>
    <t>Meyer, B (corresponding author), Helmholtz Ctr Polar &amp; Marine Res, Alfred Wegener Inst, Sect Polar Biol Oceanog, Handelshafen 12, D-27570 Bremerhaven, Germany.</t>
  </si>
  <si>
    <t>bettina.meyer@awi.de</t>
  </si>
  <si>
    <t>De Pitta, Cristiano/AAY-7302-2020; Meyer, Bettina/ABB-5311-2020; Martini, Paolo/AAG-7398-2020; Kawaguchi, So/N-1795-2017; Jarman, Simon/H-9265-2016; Romualdi, Chiara/K-1132-2016</t>
  </si>
  <si>
    <t>De Pitta, Cristiano/0000-0001-8013-8162; Meyer, Bettina/0000-0001-6804-9896; Martini, Paolo/0000-0002-0146-1031; Frickenhaus, Stephan/0000-0002-0356-9791; Jarman, Simon/0000-0002-0792-9686; Biscontin, Alberto/0000-0003-1492-7715; Kawaguchi, So/0000-0002-2042-5095; Romualdi, Chiara/0000-0003-4792-9047</t>
  </si>
  <si>
    <t>Alfred Wegener Institute (AWI) through the Research Program PACES (Polar regions and Coasts in a changing Earth System); international office of the Ministry of Education and Science [01DR12060]; Helmholtz Association through the Helmholtz Virtual Institute 'PolarTime' [VH-VI-500]</t>
  </si>
  <si>
    <t>Alfred Wegener Institute (AWI) through the Research Program PACES (Polar regions and Coasts in a changing Earth System); international office of the Ministry of Education and Science; Helmholtz Association through the Helmholtz Virtual Institute 'PolarTime'(Helmholtz Association)</t>
  </si>
  <si>
    <t>This work was supported by funding from the Alfred Wegener Institute (AWI) through the Research Program PACES (Polar regions and Coasts in a changing Earth System), by funding from the international office of the Ministry of Education and Science through project 01DR12060 and by funding from the Helmholtz Association through the Helmholtz Virtual Institute 'PolarTime' (VH-VI-500: Biological timing in a changing marine environment - clocks and rhythms in polar pelagic organisms, http://www.polartime.org). We would like to thank Dr. Magnus Lucassen for his molecular analytical advises and Susanne Spahic for technical support at the AWI.</t>
  </si>
  <si>
    <t>1755-098X</t>
  </si>
  <si>
    <t>1755-0998</t>
  </si>
  <si>
    <t>MOL ECOL RESOUR</t>
  </si>
  <si>
    <t>Mol. Ecol. Resour.</t>
  </si>
  <si>
    <t>10.1111/1755-0998.12408</t>
  </si>
  <si>
    <t>Biochemistry &amp; Molecular Biology; Ecology; Evolutionary Biology</t>
  </si>
  <si>
    <t>Biochemistry &amp; Molecular Biology; Environmental Sciences &amp; Ecology; Evolutionary Biology</t>
  </si>
  <si>
    <t>CT5GZ</t>
  </si>
  <si>
    <t>WOS:000362838300019</t>
  </si>
  <si>
    <t>Wermter, FC; Bock, C; Dreher, W</t>
  </si>
  <si>
    <t>Wermter, Felizitas C.; Bock, Christian; Dreher, Wolfgang</t>
  </si>
  <si>
    <t>Investigating GluCEST and its specificity for pH mapping at low temperatures</t>
  </si>
  <si>
    <t>NMR IN BIOMEDICINE</t>
  </si>
  <si>
    <t>chemical exchange saturation transfer (CEST); glutamate (Glu); pH; temperature; marine ectotherms; fish brain</t>
  </si>
  <si>
    <t>EXCHANGE SATURATION-TRANSFER; P-31 MAGNETIC-RESONANCE; IN-VIVO; TRANSFER CEST; OCEAN ACIDIFICATION; INTRACELLULAR PH; PROTON-EXCHANGE; CHEMICAL-SHIFTS; PARACEST AGENTS; CONTRAST AGENT</t>
  </si>
  <si>
    <t>Chemical exchange saturation transfer (CEST) from glutamate to water (GluCEST) is a powerful tool for mapping glutamate concentration and intracellular pH. GluCEST could also be helpful to understand the physiology of lower aquatic vertebrates and invertebrates. Therefore, this study aimed to investigate the GluCEST effect and the exchange rate k(sw) from amine protons of glutamate to water in a broad range of temperatures (1-37 degrees C) and pH (5.5-8.0). Z-spectra were measured from glutamate solutions at different pH values and temperatures and analysed by numerically solving the Bloch-McConnell equation. As expected, a strong dependence of the GluCEST effect and the determined k(sw) values on pH and temperature was observed. In addition, a strong dependence of the GluCEST effect on phosphate buffer concentration was confirmed. The in vitro data show that GluCEST is detectable in the whole temperature range, even at 1 degrees C. An interpolation function for the exchange rate k(sw) was determined for the considered range of temperatures and pH values, showing a bijective relation between the exchange rate and pH at a given temperature. To investigate the specificity of GluCEST imaging at low temperatures, the CEST effect was investigated for several metabolites relevant for CEST imaging of the brain. As an example, the contribution of GluCEST to the total CEST effect at 3ppm was estimated for zebrafish (Danio rerio). It is shown that also at lower temperatures glutamate is the major contributor to the total CEST effect, particularly if the experimental parameters are optimized. Copyright (c) 2015 John Wiley &amp; Sons, Ltd.</t>
  </si>
  <si>
    <t>[Wermter, Felizitas C.; Dreher, Wolfgang] Univ Bremen, Dept Chem, Vivo MR Grp, D-28359 Bremen, Germany; [Wermter, Felizitas C.; Bock, Christian] Alfred Wegener Inst, Helmholtz Zentrum Polar &amp; Meeresforsch, Dept Integrat Ecophysiol, Bremerhaven, Germany</t>
  </si>
  <si>
    <t>University of Bremen; Helmholtz Association; Alfred Wegener Institute, Helmholtz Centre for Polar &amp; Marine Research</t>
  </si>
  <si>
    <t>Dreher, W (corresponding author), Univ Bremen, Dept Chem, Vivo MR Grp, D-28359 Bremen, Germany.</t>
  </si>
  <si>
    <t>wdreher@uni-bremen.de</t>
  </si>
  <si>
    <t>Bock, Christian/B-4421-2017</t>
  </si>
  <si>
    <t>Bock, Christian/0000-0003-0052-3090; Wermter, Felizitas Charlotte/0000-0002-7933-8447</t>
  </si>
  <si>
    <t>Deutsche Forschungsgemeinschaft (DFG) [SPP 1158, DR298/13-1, BO2467/4-1]</t>
  </si>
  <si>
    <t>Deutsche Forschungsgemeinschaft (DFG)(German Research Foundation (DFG))</t>
  </si>
  <si>
    <t>This work was supported by the Deutsche Forschungsgemeinschaft (DFG) in the framework of the priority programme 'Antarctic Research with comparative investigations in Arctic ice areas' (SPP 1158) by grants DR298/13-1 and BO2467/4-1.</t>
  </si>
  <si>
    <t>0952-3480</t>
  </si>
  <si>
    <t>1099-1492</t>
  </si>
  <si>
    <t>NMR BIOMED</t>
  </si>
  <si>
    <t>NMR Biomed.</t>
  </si>
  <si>
    <t>10.1002/nbm.3416</t>
  </si>
  <si>
    <t>Biophysics; Radiology, Nuclear Medicine &amp; Medical Imaging; Spectroscopy</t>
  </si>
  <si>
    <t>CU4AE</t>
  </si>
  <si>
    <t>WOS:000363467400016</t>
  </si>
  <si>
    <t>Sulistiyono, H; Khan, F; Lye, L; Yang, M</t>
  </si>
  <si>
    <t>Sulistiyono, Heri; Khan, Faisal; Lye, Leonard; Yang, Ming</t>
  </si>
  <si>
    <t>A risk-based approach to developing design temperatures for vessels operating in low temperature environments</t>
  </si>
  <si>
    <t>OCEAN ENGINEERING</t>
  </si>
  <si>
    <t>Arctic and Antarctic waters; Design temperatures; Risk-based approach; Extreme low temperature contour map</t>
  </si>
  <si>
    <t>Increasing activities in the Arctic and Antarctic waters have drawn awareness of the risks of shipping in these regions. Winterization of vessels needs to be considered at the design stage to mitigate the risk of icing, freezing or other damages due to low temperature. The temperature that should be used for design and equipment procurement specification must be defined. Classification societies have proposed design temperatures such as the design service temperature (DST) and the minimum anticipated temperature (MAT). The DST is selected to be at the lowest mean daily average for the operational window and geographical location. However, there is very limited guidance provided to define the MAT. The lack of analytical tools that can be used to develop design temperatures still remains a problem. This paper proposes a risk-based approach to estimate minimum anticipated temperature as design temperatures for vessels intended for service in cold regions such as the Arctic and Antarctic. Hourly air temperature data from climatology stations in these regions were obtained from the website of the National Climatic Data Center (NCDC) which is affiliated to the National Oceanic and Atmospheric Administration (NOAA). The criteria used to select the stations include the time span of available data for at least 20 years, availability of hourly data, and altitude of the station (close to sea level). The analysis procedure involves statistical analysis, consequence quantifications and risk calculations. Results from a case study show that the proposed methodology can be reasonably applied. As the minimum anticipated temperature was obtained by looking at the smallest risk with corresponding larger return period or the smallest probability of occurrence. It is expected to have the smallest risk when the minimum anticipated is applied. In addition, an extreme low temperature contour map of the Arctic region has been developed which provides a quick and useful way to evaluate the temperature profile for voyage planning and winterization requirements. A plot of the ship's route on the extreme low temperature contour map will provide information on the magnitude and duration of the extreme temperatures encountered by the ship during the journey. (C) 2015 Elsevier Ltd. All rights reserved.</t>
  </si>
  <si>
    <t>[Sulistiyono, Heri] Univ Mataram, Fac Engn, Kec Mataram, Nusa Tenggara B, Indonesia; [Khan, Faisal; Lye, Leonard; Yang, Ming] Mem Univ Newfoundland, Fac Engn &amp; Appl Sci, Safety &amp; Risk Engn Grp, St John, NF A1B 3X5, Canada</t>
  </si>
  <si>
    <t>Universitas Mataram; Memorial University Newfoundland</t>
  </si>
  <si>
    <t>Khan, F (corresponding author), Mem Univ Newfoundland, Fac Engn &amp; Appl Sci, Safety &amp; Risk Engn Grp, St John, NF A1B 3X5, Canada.</t>
  </si>
  <si>
    <t>fikhan@mun.ca</t>
  </si>
  <si>
    <t>Sulistiyono, Heri/AGY-3532-2022; Yang, Ming/JCE-4730-2023; Khan, Faisal I/AAO-6293-2020; Yang, Ming/AAL-6277-2021</t>
  </si>
  <si>
    <t>Sulistiyono, Heri/0000-0002-8571-4218; Khan, Faisal I/0000-0002-5638-4299; Yang, Ming/0000-0002-6005-0662; Lye, Leonard/0000-0001-8901-5767; Yang, Ming/0000-0002-6544-9226</t>
  </si>
  <si>
    <t>ABS</t>
  </si>
  <si>
    <t>The authors acknowledge the financial support for this research from ABS through the ABS Harsh Environment Technology Center in St. John's, NL.</t>
  </si>
  <si>
    <t>0029-8018</t>
  </si>
  <si>
    <t>OCEAN ENG</t>
  </si>
  <si>
    <t>Ocean Eng.</t>
  </si>
  <si>
    <t>10.1016/j.oceaneng.2015.08.040</t>
  </si>
  <si>
    <t>Engineering, Marine; Engineering, Civil; Engineering, Ocean; Oceanography</t>
  </si>
  <si>
    <t>Engineering; Oceanography</t>
  </si>
  <si>
    <t>CU2HY</t>
  </si>
  <si>
    <t>WOS:000363345800069</t>
  </si>
  <si>
    <t>Pujana, RR; Marenssi, SA; Santillana, SN</t>
  </si>
  <si>
    <t>Pujana, Roberto R.; Marenssi, Sergio A.; Santillana, Sergio N.</t>
  </si>
  <si>
    <t>Fossil woods from the Cross Valley Formation (Paleocene of Western Antarctica): Araucariaceae-dominated forests</t>
  </si>
  <si>
    <t>REVIEW OF PALAEOBOTANY AND PALYNOLOGY</t>
  </si>
  <si>
    <t>Araucariaceae; Wood anatomy; West Antarctica; Paleobotany; Paleocene</t>
  </si>
  <si>
    <t>GONDWANAN POLAR FORESTS; SEYMOUR-ISLAND; EARLY TERTIARY; SOUTH-AMERICA; EOCENE; FLORA; CLASSIFICATION; OLIGOCENE; REVISION; ELEMENT</t>
  </si>
  <si>
    <t>Fossil woods from Paleocene sediments of the Cross Valley Formation (Seymour Island, Antarctic Peninsula) are anatomically studied in detail. We collected 64 samples represented almost exclusively by conifers (95%). Only three samples of not determinable angiosperm fossil wood were found. Preservation of the samples is often poor and 52% of the samples were assigned to a fossil-species. The assemblage is dominated by Agathoxylon (Araucariaceae), particularly Agathoxylon antarcdcus. Araucariaceae species are joined by Protophyllocladoxylon, Phyllocladoxylon and Cupressinoxylon. Forests dominated by Araucariaceae are unusual during the Cenozoic. The high dominance of Araucariaceae woods may be a reflection of soil conditions, weather and terrain elevation. Our study supports previous hypothesis that identified differences between the paleofloras in each side of the Antarctic Peninsula during the Paleocene. (C) 2015 Elsevier B.V. All rights reserved.</t>
  </si>
  <si>
    <t>[Pujana, Roberto R.] Muse Argentin Ciencias Nat, Buenos Aires, DF, Argentina; [Marenssi, Sergio A.] UBA CONICET, IGEBA, Buenos Aires, DF, Argentina; [Santillana, Sergio N.] Inst Antartico Argentina, Buenos Aires, DF, Argentina</t>
  </si>
  <si>
    <t>Museo Argentino de Ciencias Naturales Bernardino Rivadavia (MACN); Consejo Nacional de Investigaciones Cientificas y Tecnicas (CONICET); University of Buenos Aires; Instituto Antartico Argentino</t>
  </si>
  <si>
    <t>Pujana, RR (corresponding author), Muse Argentin Ciencias Nat, Buenos Aires, DF, Argentina.</t>
  </si>
  <si>
    <t>rpujana@macn.gov.ar</t>
  </si>
  <si>
    <t>Pujana, Roberto Roman/0000-0001-8006-3332</t>
  </si>
  <si>
    <t>ANPCyT [PICT 2010-0649, 2012-0911]; Instituto Antartico Argentino, British Antarctic Survey (Antarctic Science Bursary); CONICET</t>
  </si>
  <si>
    <t>ANPCyT(ANPCyT); Instituto Antartico Argentino, British Antarctic Survey (Antarctic Science Bursary); CONICET(Consejo Nacional de Investigaciones Cientificas y Tecnicas (CONICET))</t>
  </si>
  <si>
    <t>The authors thank the anonymous reviewers for their corrections and suggestions that helped to improve the manuscript. This study was financed by the ANPCyT (PICT 2010-0649 and 2012-0911), Instituto Antartico Argentino, British Antarctic Survey (Antarctic Science Bursary) and CONICET.</t>
  </si>
  <si>
    <t>0034-6667</t>
  </si>
  <si>
    <t>1879-0615</t>
  </si>
  <si>
    <t>REV PALAEOBOT PALYNO</t>
  </si>
  <si>
    <t>Rev. Palaeobot. Palynology</t>
  </si>
  <si>
    <t>10.1016/j.revpalbo.2015.07.010</t>
  </si>
  <si>
    <t>Plant Sciences; Paleontology</t>
  </si>
  <si>
    <t>CT8LR</t>
  </si>
  <si>
    <t>WOS:000363068600006</t>
  </si>
  <si>
    <t>Li, CJ; Ren, JW; Xiao, CD; Hou, SG; Ding, MH; Qin, DH</t>
  </si>
  <si>
    <t>Li ChuanJin; Ren JiaWen; Xiao CunDe; Hou ShuGui; Ding MingHu; Qin DaHe</t>
  </si>
  <si>
    <t>A 2680-year record of sea ice extent in the Ross Sea and the associated atmospheric circulation derived from the DT401 East Antarctic ice core</t>
  </si>
  <si>
    <t>SCIENCE CHINA-EARTH SCIENCES</t>
  </si>
  <si>
    <t>sea salt ions; sea ice extent; ENSO; DT401; Eastern Antarctica</t>
  </si>
  <si>
    <t>NINO-SOUTHERN-OSCILLATION; CLIMATE VARIABILITY; EXPLOSIVE VOLCANISM; SPATIAL VARIABILITY; TRAVERSE ROUTE; DOME-A; ENSO; TEMPERATURE; SNOW; GLACIOCHEMISTRY</t>
  </si>
  <si>
    <t>Long time series of Antarctic sea ice extent (SIE) are important for climate research and model forecasting. A historic ice extent in the Ross Sea in early austral winter was rebuilt through sea salt ions in the DT401 ice core in interior East Antarctica. El Nio-Southern Oscillation (ENSO) had a significant influence on the sea salt deposition in DT401 through its influence on the Ross Sea SIE and the transport of sea salt inland. Spectral analysis also supported the influence of ENSO with a significant 2-6 a periodicity band. In addition, statistically significant decadal (10 a) and pentadecadal (50-70 a) periodicities suggested the existence of a teleconnection from the Pacific decadal oscillation (PDO), which originated from sea surface temperature anomalies in the tropical Pacific Ocean. The first eigenvector of the empirical orthogonal function analysis (EOF1) showed lower values during the Medieval Warm Period (MWP), while higher values were found in the Little Ice Age (LIA). A higher frequency of ENSO events were found in the cold climatic stage. The post 1800 AD period was occupied by significant fluctuations of the EOF1, and PDO may be one of the influencing factors. The EOF1 values showed moderate fluctuations from 680 BC to 1000 AD, showing that the climate was relatively stable in this period.</t>
  </si>
  <si>
    <t>[Li ChuanJin; Ren JiaWen; Xiao CunDe; Qin DaHe] Chinese Acad Sci, State Key Lab Cryospher Sci, Cold &amp; Arid Reg Environm &amp; Engn Res Inst, Lanzhou 730000, Peoples R China; [Hou ShuGui] Nanjing Univ, Sch Geog &amp; Oceanog Sci, Nanjing 210093, Jiangsu, Peoples R China; [Ding MingHu] Chinese Acad Meteorol Sci, Beijing 100029, Peoples R China</t>
  </si>
  <si>
    <t>Chinese Academy of Sciences; Cold &amp; Arid Regions Environmental &amp; Engineering Research Institute, CAS; Nanjing University; China Meteorological Administration; Chinese Academy of Meteorological Sciences (CAMS)</t>
  </si>
  <si>
    <t>Li, CJ (corresponding author), Chinese Acad Sci, State Key Lab Cryospher Sci, Cold &amp; Arid Reg Environm &amp; Engn Res Inst, Lanzhou 730000, Peoples R China.</t>
  </si>
  <si>
    <t>lichuanjin@lzb.ac.cn</t>
  </si>
  <si>
    <t>Ding, Minghu/AFU-3600-2022; Jiawen, Ren/K-7734-2012</t>
  </si>
  <si>
    <t>Ding, Minghu/0000-0002-1142-6598; Hou, Shugui/0000-0002-0905-3542</t>
  </si>
  <si>
    <t>National Natural Science Foundation of China [41121001, 41201069]; National Basic Research Program of China [2013CBA01804]; State Key Laboratory of Cryospheric Sciences; State Oceanic Administration of People's Republic of China [CHINARE 2014-04-04, CHINARE 2014-02-02]; Foundation for Excellent Youth Scholars of CAREERI, CAS</t>
  </si>
  <si>
    <t>National Natural Science Foundation of China(National Natural Science Foundation of China (NSFC)); National Basic Research Program of China(National Basic Research Program of China); State Key Laboratory of Cryospheric Sciences; State Oceanic Administration of People's Republic of China; Foundation for Excellent Youth Scholars of CAREERI, CAS(Chinese Academy of Sciences)</t>
  </si>
  <si>
    <t>The authors would like to thank all the members who participated in the 1999/2000 CHINARE field campaigns for sample collection. Special thanks should also be given to Ms. Xiaoxiang Wang from the Cold and Arid Regions Environmental and Engineering Research Institute, who completed parts of the analysis. This work was financially supported by the National Natural Science Foundation of China (Grant No. 41121001), National Basic Research Program of China (Grant No. 2013CBA01804), State Key Laboratory of Cryospheric Sciences, National Natural Science Foundation of China (Grant No. 41201069), State Oceanic Administration of People's Republic of China Project on Climate in Polar Regions (Grant Nos. CHINARE 2014-04-04, CHINARE 2014-02-02), and the Foundation for Excellent Youth Scholars of CAREERI, CAS.</t>
  </si>
  <si>
    <t>1674-7313</t>
  </si>
  <si>
    <t>1869-1897</t>
  </si>
  <si>
    <t>SCI CHINA EARTH SCI</t>
  </si>
  <si>
    <t>Sci. China-Earth Sci.</t>
  </si>
  <si>
    <t>10.1007/s11430-015-5125-3</t>
  </si>
  <si>
    <t>CU1DB</t>
  </si>
  <si>
    <t>WOS:000363258600018</t>
  </si>
  <si>
    <t>Feng, Y; Chen, XY; Wang, Q; Yuan, YL</t>
  </si>
  <si>
    <t>Feng Ying; Chen Xianyao; Wang Qin; Yuan Yeli</t>
  </si>
  <si>
    <t>Mesoscale characteristics of Antarctic Intermediate Water in the South Pacific</t>
  </si>
  <si>
    <t>mesoscale characteristics; subsurface ocean; Antarctic Intermediate Water (AAIW); Argo</t>
  </si>
  <si>
    <t>EMPIRICAL MODE DECOMPOSITION; ROSSBY WAVES; EDDIES; TEMPERATURE; VARIABILITY; NORTH; EDDY</t>
  </si>
  <si>
    <t>The Argo float observations are used to investigate the mesoscale characteristics of the Antarctic Intermediate Water (AAIW) in the South Pacific in this paper. It is shown that a subsurface mesoscale phenomenon is probably touched by an Argo float during the float's ascent-descent cycles and is identified by the horizontal salinity gradient between the vertical temperature-salinity profiles. This shows that the transportation of the AAIW may be accompanied with the rich mesoscale characteristics. To derive the spatial length, time, and propagation characteristics of the mesoscale variability of the AAIW, the gridded temperature-salinity dataset ENACT/ENSEMBLE Version 3 constructed on the in-situ observations in the South Pacific since 2005 is used. The Empirical Mode Decomposition method is applied to decompose the isopycnal-averaged salinity anomaly from 26.8 sigma(theta)-27.4 sigma(theta), where the AAIW mainly resides, into the basin scale and two mesoscale modes. It is found that the first mesoscale mode with the length scale on the order of 1 000 km explains nearly 50% variability of the mesoscale characteristics of the AAIW. Its westward-propagation speeds are slower in the mid-latitude (around 1 cm/s) and faster in the low latitude (around 6 cm/s), but with an increasing in the latitude band on 25 degrees-30 degrees S. The second mesoscale mode is of the length scale on the order of 500 km, explaining about 30% variability of the mesoscale characteristics of the AAIW. Its westward-propagation speed keeps nearly unchanged (around 0.5 cm/s). These results presented the stronger turbulent motion of the subsurface ocean on the spatial scale, and also described the significant role of Argo program for the better understanding of the deep ocean.</t>
  </si>
  <si>
    <t>[Feng Ying] Xiamen Univ, Coll Ocean &amp; Earth Sci, Xiamen 361002, Peoples R China; [Chen Xianyao] Ocean Univ China, Key Lab Physcial Oceanog, Qingdao 266100, Peoples R China; [Wang Qin] Marine Monitoring &amp; Forecasting Ctr Zhejiang, Hangzhou 310007, Zhejiang, Peoples R China; [Yuan Yeli] State Ocean Adm, Inst Oceanog 1, Key Lab Marine Sci &amp; Numer Modeling, Qingdao 266061, Peoples R China</t>
  </si>
  <si>
    <t>Xiamen University; Ocean University of China; First Institute of Oceanography, Ministry of Natural Resources</t>
  </si>
  <si>
    <t>Feng, Y (corresponding author), Xiamen Univ, Coll Ocean &amp; Earth Sci, Xiamen 361002, Peoples R China.</t>
  </si>
  <si>
    <t>fengying@stu.xmu.edu.cn</t>
  </si>
  <si>
    <t>National Natural Science Foundation of China [41176029]; Basic Scientific Fund for National Public Research Institute of China [GY02-2012G25]</t>
  </si>
  <si>
    <t>National Natural Science Foundation of China(National Natural Science Foundation of China (NSFC)); Basic Scientific Fund for National Public Research Institute of China</t>
  </si>
  <si>
    <t>The National Natural Science Foundation of China under contract No. 41176029; the Basic Scientific Fund for National Public Research Institute of China under contract No. GY02-2012G25.</t>
  </si>
  <si>
    <t>10.1007/s13131-015-0752-2</t>
  </si>
  <si>
    <t>CT6JQ</t>
  </si>
  <si>
    <t>WOS:000362919700012</t>
  </si>
  <si>
    <t>Schiaparelli, S; Ahyong, ST; Bowden, D</t>
  </si>
  <si>
    <t>Schiaparelli, Stefano; Ahyong, Shane T.; Bowden, David</t>
  </si>
  <si>
    <t>Evidence of niche conservatism and host fidelity in the polar shrimp Lebbeus kiae n. sp (Decapoda: Caridea: Thoridae) from the Ross Sea, Antarctica</t>
  </si>
  <si>
    <t>Decapoda; Caridea; Thoridae; Lebbeus; New species; Antarctica; Niche conservatism; Defensive association</t>
  </si>
  <si>
    <t>SPECIES BOUNDARIES; CARRYING BEHAVIOR; SNAPPING SHRIMPS; CLEANER SHRIMP; ANEMONES; CRUSTACEA; CRAB; HIPPOLYTIDAE; SPECIATION; ECOLOGY</t>
  </si>
  <si>
    <t>We report a remarkable case of 'bipolarism', where two different polar species, namely Lebbeus polaris in the northern hemisphere and Lebbeus kiae n. sp., here described from the Southern Ocean, have been found to share similar ecologies. Despite the great geographical distance between the two species, both show high host fidelity in associations with two congeneric sea anemones: Bolocera tuediae and Bolocera kerguelensis, respectively. A close molecular phylogenetic relationship between the two Lebbeus species is indicated by COI data, which clearly show them as sister clades with respect to other congeners as well as a plurality of other Antarctic species. This is the first reported case of a defensive association in the Southern Ocean involving shrimps and sea anemones. The distribution of the new species, limited to seamount systems off the Ross Sea, may be the result of a specific colonisation/speciation event in the past, although more molecular data are needed to unravel the phylogenetic relationships within the genus Lebbeus. Despite this uncertainty, the persistence of ecological traits, i.e., the defensive association with sea anemones, indicates the presence of niche conservatism in this clade of shrimps.</t>
  </si>
  <si>
    <t>[Schiaparelli, Stefano] Univ Genoa, Dept Earth Environm &amp; Life Sci DISTAV, Genoa, Italy; [Schiaparelli, Stefano] Univ Genoa, Italian Natl Antarctic Museum MNA, Genoa, Italy; [Ahyong, Shane T.] Australian Museum, Sydney, NSW 2000, Australia; [Ahyong, Shane T.] Univ New S Wales, Sch Biol Earth &amp; Environm Sci, Sydney, NSW, Australia; [Bowden, David] Natl Inst Water &amp; Atmospher Res NIWA, Wellington, New Zealand</t>
  </si>
  <si>
    <t>University of Genoa; University of Genoa; Australian Museum; University of New South Wales Sydney; National Institute of Water &amp; Atmospheric Research (NIWA) - New Zealand</t>
  </si>
  <si>
    <t>Ahyong, ST (corresponding author), Australian Museum, 6-8 Coll St, Sydney, NSW 2000, Australia.</t>
  </si>
  <si>
    <t>shane.ahyong@austmus.gov.au</t>
  </si>
  <si>
    <t>Schiaparelli, Stefano/AAI-4024-2020</t>
  </si>
  <si>
    <t>Schiaparelli, Stefano/0000-0002-0137-3605; Ahyong, Shane/0000-0002-2820-4158</t>
  </si>
  <si>
    <t>New Zealand Government through Ministry of Primary Industries project [IPY2007-01]; New Zealand Ministry of Business Innovation and Employment project [CO1X1226]; Genome Canada through the Ontario Genomics Institute; NIWA</t>
  </si>
  <si>
    <t>New Zealand Government through Ministry of Primary Industries project; New Zealand Ministry of Business Innovation and Employment project(New Zealand Ministry of Business, Innovation and Employment (MBIE)); Genome Canada through the Ontario Genomics Institute(Genome Canada); NIWA</t>
  </si>
  <si>
    <t>We thank the crew and officers of RV Tangaroa and all science staff who took part in the New Zealand IPY-CAML Voyage TAN0802. Collection of specimens and data were funded by the New Zealand Government through Ministry of Primary Industries project IPY2007-01 (The New Zealand International Polar Year Census of Antarctic Marine Life Project, IPY-CAML), with additional funding during analysis from New Zealand Ministry of Business Innovation and Employment project CO1X1226 (Ross Sea Climate and Ecosystems). We are grateful to the Canadian Centre for DNA Barcoding (Guelph) (supported by Genome Canada through the Ontario Genomics Institute) for sequencing specimens collected under the New Zealand IPY-CAML project. SS acknowledges NIWA for invitation and funds made available to join the IPY-CAML Voyage. We gratefully acknowledge project governance during IPY-CAML by the New Zealand Ministry of Fisheries Science Team and the Ocean Survey 20/20 CAML Advisory Group (Land Information New Zealand, Ministry of Fisheries, Antarctica New Zealand, Ministry of Foreign Affairs and Trade, and National Institute of Water and Atmosphere Ltd). Thanks go to Kareen Schnabel and Sadie Mills (NIWA) for assistance with specimen curation. We are indebted to Daphne G. Fautin for help in identifying sea anemones from DTIS images and to Marco Oliverio (La Sapienza, Rome) for help with molecular analyses. Claudio Ghiglione (MNA) and Huw Griffiths (BAS) kindly prepared maps of Figs. 9 and 10, respectively. This is BAMBi (PNRA 2010/A1.10) contribution #9. This contribution is part of the integrated output from the SCAR-AntEco Science Programme and a contribution from the Australian Museum Research Institute.</t>
  </si>
  <si>
    <t>10.1007/s10750-015-2403-1</t>
  </si>
  <si>
    <t>CT7AC</t>
  </si>
  <si>
    <t>WOS:000362964400003</t>
  </si>
  <si>
    <t>Di Giuseppe, G; Dini, F; Vallesi, A; Luporini, P</t>
  </si>
  <si>
    <t>Di Giuseppe, Graziano; Dini, Fernando; Vallesi, Adriana; Luporini, Pierangelo</t>
  </si>
  <si>
    <t>Genetic relationships in bipolar species of the protist ciliate, Euplotes</t>
  </si>
  <si>
    <t>Microbial ecology; Ciliate biodiversity; Bipolarity; Polar life; Marine biogeography</t>
  </si>
  <si>
    <t>MARINE MICROBIAL EUKARYOTES; KING-GEORGE-ISLAND; GLOBAL DISTRIBUTION; ANTARCTIC CILIATE; PROTOZOAN CILIATE; SIGNAL PROTEINS; COLD-ADAPTATION; POLAR CILIATE; CILIOPHORA; NOBILII</t>
  </si>
  <si>
    <t>Protists thrive in polar oceans, where they represent a major driving force for globally important biogeochemical cycles and a key food-web component. Their biogeography is frequently associated to bipolar patterns of distribution. Although conceptually well supported by apparently unrestricted migration rates, the experimental certification of these patterns copes with the protist paucity of morphological characters with taxonomic value and difficulties in applying conventional species concepts. We studied three marine species of the ciliate Euplotes, E. euryhalinus, E. nobilii, and E. petzi, for their bipolar distribution by comparing the SSU-rRNA gene sequences and mating interactions of Antarctic, Patagonian, and Arctic strains. Each species was analogously found not to carry significantly varied SSU-rRNA gene sequences, implying a common occurrence of trans-equatorial genetic mixing. However, mating analyses revealed significant inter-species differences. Scarce Antarctic x Arctic strain mating compatibility distinguished E. petzi from E. euryhalinus and E. nobilii, in which mating pairs between Antarctic and Arctic strains were successfully induced. Yet, E. nobilii was the only one of the two species to show cross-fertilizing and fertile mating pairs. Taking the biological concept of species as discriminatory, it was thus concluded that only E. nobilii warrants the definition of genuine bipolar species.</t>
  </si>
  <si>
    <t>[Di Giuseppe, Graziano; Dini, Fernando] Univ Pisa, Dept Biol, I-56100 Pisa, Italy; [Vallesi, Adriana; Luporini, Pierangelo] Univ Camerino, Lab Eukaryot Microbiol &amp; Anim Biol, Sch Biosci &amp; Vet Med, I-62032 Camerino, Italy</t>
  </si>
  <si>
    <t>University of Pisa; University of Camerino</t>
  </si>
  <si>
    <t>Vallesi, A (corresponding author), Univ Camerino, Lab Eukaryot Microbiol &amp; Anim Biol, Sch Biosci &amp; Vet Med, I-62032 Camerino, Italy.</t>
  </si>
  <si>
    <t>adriana.vallesi@unicam.it; piero.luporini@unicam.it</t>
  </si>
  <si>
    <t>Vallesi, Adriana/I-9933-2016</t>
  </si>
  <si>
    <t>Vallesi, Adriana/0000-0002-4127-090X; Di Giuseppe, Graziano/0000-0002-9999-7650</t>
  </si>
  <si>
    <t>Programma Nazionale di Ricerca in Antartide (PNRA)</t>
  </si>
  <si>
    <t>The authors warmly thank anonymous reviewers for insightful and constructive criticisms, and Dr. Gill Philip for editing the English usage. The research was financially supported by the Programma Nazionale di Ricerca in Antartide (PNRA).</t>
  </si>
  <si>
    <t>10.1007/s10750-015-2274-5</t>
  </si>
  <si>
    <t>WOS:000362964400004</t>
  </si>
  <si>
    <t>Bosi, E; Fondi, M; Maida, I; Perrin, E; de Pascale, D; Tutino, ML; Parrilli, E; Lo Giudice, A; Filloux, A; Fani, R</t>
  </si>
  <si>
    <t>Bosi, Emanuele; Fondi, Marco; Maida, Isabel; Perrin, Elena; de Pascale, Donatella; Tutino, Maria Luisa; Parrilli, Ermenegilda; Lo Giudice, Angelina; Filloux, Alain; Fani, Renato</t>
  </si>
  <si>
    <t>Genome-scale phylogenetic and DNA composition analyses of Antarctic Pseudoalteromonas bacteria reveal inconsistencies in current taxonomic affiliation</t>
  </si>
  <si>
    <t>Pseudoalteromonas; Taxonomy; Antarctic bacteria; Genome analyses; Biotechnology</t>
  </si>
  <si>
    <t>ANTI-BIOFILM ACTIVITY; AD-HOC-COMMITTEE; MARINE BACTERIUM; SEQUENCES; POWER</t>
  </si>
  <si>
    <t>Bacteria belonging to the Pseudoalteromonas genus have important ecological implications in marine environments, playing a role in the control of microbial community as producers of bioactive molecules endowed with antifouling activity and able to antagonize larvae, fungi and bacteria, including important human pathogens. For these reasons, representatives of this genus are very promising for biotechnological and biomedical applications. In this work, we used different genome-scale approaches to infer the taxonomy of 38 Pseudoalteromonas representatives (most of which isolated from Antarctica) and whose complete genome has been sequenced. We show that an accurate re-evaluation of the real taxonomic relationships of Pseudoalteromonas representatives is needed since many inconsistencies with the current taxonomic annotation were observed. Moreover, data obtained with different genome-scale methods are consistent, confirming the reliability of the genomic approaches. On the basis of these data, we propose a re-annotation for some Pseudoalteromonas species. This proposal should be validated in the future by comparing the phenotypes of these strains.</t>
  </si>
  <si>
    <t>[Bosi, Emanuele; Fondi, Marco; Maida, Isabel; Perrin, Elena; Fani, Renato] Univ Florence, Dept Biol, Lab Microbial &amp; Mol Evolut, I-50019 Sesto Fiorentino, FI, Italy; [de Pascale, Donatella] CNR, Inst Prot Biochem, I-80125 Naples, Italy; [Tutino, Maria Luisa; Parrilli, Ermenegilda] Univ Naples Federico II, Dept Chem Sci, I-80126 Naples, Italy; [Lo Giudice, Angelina] CNR, Inst Coastal Marine Environm, IAMC, I-98124 Messina, Italy; [Lo Giudice, Angelina] Univ Messina, Dept Biol &amp; Environm Sci, I-98166 Messina, Italy; [Filloux, Alain] Univ London Imperial Coll Sci Technol &amp; Med, Dept Life Sci, MRC, Ctr Mol Bacteriol &amp; Infect, London SW7 2AZ, England</t>
  </si>
  <si>
    <t>University of Florence; Consiglio Nazionale delle Ricerche (CNR); Istituto di Biochimica delle Proteine (IBP-CNR); University of Naples Federico II; Consiglio Nazionale delle Ricerche (CNR); L'Istituto per l'Ambiente Marino Costiero (IAMC-CNR); University of Messina; Imperial College London</t>
  </si>
  <si>
    <t>Fani, R (corresponding author), Univ Florence, Dept Biol, Lab Microbial &amp; Mol Evolut, Via Madonna del Piano 6, I-50019 Sesto Fiorentino, FI, Italy.</t>
  </si>
  <si>
    <t>renato.fani@unifi.it</t>
  </si>
  <si>
    <t>Perrin, Elena/AAX-2762-2020; parrilli, ermenegilda/JAZ-0586-2023; TUTINO, MARIA LUISA/L-1834-2013; parrilli, ermenegilda/K-4616-2016</t>
  </si>
  <si>
    <t>Perrin, Elena/0000-0001-5148-3178; parrilli, ermenegilda/0000-0002-9002-5409; Tutino, Maria Luisa/0000-0002-4978-6839; Bosi, Emanuele/0000-0002-4769-8667; Fondi, Marco/0000-0001-9291-5467</t>
  </si>
  <si>
    <t>MIUR/PNRA [2013/B4.02, 2013/AZ1.04]; Fondazione Adriano Buzzati-Traverso fellowship; MRC [MR/J006874/1] Funding Source: UKRI</t>
  </si>
  <si>
    <t>MIUR/PNRA(Ministry of Education, Universities and Research (MIUR)); Fondazione Adriano Buzzati-Traverso fellowship; MRC(UK Research &amp; Innovation (UKRI)Medical Research Council UK (MRC))</t>
  </si>
  <si>
    <t>This work is supported by 2013 MIUR/PNRA grants (Programma Nazionale di Ricerche in Antartide) 2013/B4.02 and 2013/AZ1.04. Elena Perrin is financed by a Fondazione Adriano Buzzati-Traverso fellowship. We are very grateful to two anonymous reviewers for their helpful suggestions and comments in improving the manuscript.</t>
  </si>
  <si>
    <t>10.1007/s10750-015-2396-9</t>
  </si>
  <si>
    <t>WOS:000362964400005</t>
  </si>
  <si>
    <t>Huettmann, F; Schmid, MS; Humphries, GRW</t>
  </si>
  <si>
    <t>Huettmann, Falk; Schmid, Moritz Sebastian; Humphries, Grant Richard Woodrow</t>
  </si>
  <si>
    <t>A first overview of open access digital data for the Ross Sea: complexities, ethics, and management opportunities</t>
  </si>
  <si>
    <t>Ross Sea; Open access data; Geographic information system (GIS); Digitalization; Globalization; Wilderness</t>
  </si>
  <si>
    <t>CLIMATE-CHANGE; ADELIE PENGUINS; PUBLIC DATA; SUSTAINABILITY; CONSERVATION; FISHERIES; IMPACTS; MODEL</t>
  </si>
  <si>
    <t>It is now understood that the Ross Sea stands as one of the last relatively pristine (ocean) areas. Many decades of international research have been carried out under the Antarctic Treaty System stipulating that data acquired under this scheme must be shared with the global community. In line with Carlson (Nature 469: 293, 2011, Polar Research 10. 3402/polar.v32i0.20789, 2013),, we find little evidence of enforcement towards making digital geographic information systems (GIS) project data available online for the wider Ross Sea ecosystem. While it is possible to find easily &gt; 40 digital datasets for most areas and pixels worldwide, despite many decades of research in the Ross Sea, only app. 100 digital datasets can be found for the study area. It simply shows that data from many studies in the region are not available. High-quality population and trend data explicit in space and time are mostly missing in the public realm, e.g., from the Commission for the Conservation of Antarctic Marine Living Resources (CCAMLR.org). This presents an ethical dilemma because it still appears that sufficient data exist for a pro-active and pre-cautionary management of this region. No coherent and efficient management scheme truly exists and is applied for this precious part of the world now heavily affected by global stressors and mismanagement of data and resources.</t>
  </si>
  <si>
    <t>[Huettmann, Falk] Univ Alaska Fairbanks, Inst Arctic Biol, Dept Biol &amp; Wildlife, EWHALE Lab, Fairbanks, AK 99775 USA; [Schmid, Moritz Sebastian] Univ Laval, Dept Biol &amp; Quebec Ocean, Takuvik Joint Int Lab, UMI3376, Quebec City, PQ G1V 0A6, Canada; [Humphries, Grant Richard Woodrow] Univ Calif Davis, Dept Neurobiol Physiol &amp; Behav, Davis, CA 95616 USA; [Humphries, Grant Richard Woodrow] Farallon Inst Adv Ecosyst Res, Petaluma, CA 94952 USA</t>
  </si>
  <si>
    <t>University of Alaska System; University of Alaska Fairbanks; Laval University; University of California System; University of California Davis</t>
  </si>
  <si>
    <t>Huettmann, F (corresponding author), Univ Alaska Fairbanks, Inst Arctic Biol, Dept Biol &amp; Wildlife, EWHALE Lab, Fairbanks, AK 99775 USA.</t>
  </si>
  <si>
    <t>fhuettmann@alaska.edu</t>
  </si>
  <si>
    <t>Schmid, Moritz S/AAL-3977-2020</t>
  </si>
  <si>
    <t>Schmid, Moritz S/0000-0002-7742-2338; Humphries, Grant/0000-0001-5783-9892</t>
  </si>
  <si>
    <t>10.1007/s10750-015-2520-x</t>
  </si>
  <si>
    <t>WOS:000362964400006</t>
  </si>
  <si>
    <t>Fassio, G; Modica, MV; Alvaro, MC; Schiaparelli, S; Oliverio, M</t>
  </si>
  <si>
    <t>Fassio, Giulia; Modica, Maria Vittoria; Alvaro, Maria Chiara; Schiaparelli, Stefano; Oliverio, Marco</t>
  </si>
  <si>
    <t>Developmental trade-offs in Southern Ocean mollusc kleptoparasitic species</t>
  </si>
  <si>
    <t>Capulidae; Isolation by distance; Larval ecology; Planktotrophy; Lecithotrophy</t>
  </si>
  <si>
    <t>TRICHOTROPIS-CANCELLATA MOLLUSCA; ROSS SEA; MEROPLANKTON COMMUNITY; INTEGRATIVE TAXONOMY; GASTROPODA; CONNECTIVITY; SNAILS; PHYLOGENETICS; DELIMITATION; REPRODUCTION</t>
  </si>
  <si>
    <t>Connectivity is a key factor in determining the genetic structure of marine populations, and type and duration of the larval phase strongly affect dispersal abilities of species. In Antarctica, invertebrates show a higher proportion of species with limited pelagic dispersal, and any exception to this pattern is worthy of attention. Capulidae is a family of kleptoparasitic gastropods, with two larval strategies. Most species have a peculiar planktotrophic larva, the 'echinospira', which enables a long pelagic dispersal; a minority of species undergo lecithotrophic development. We provide the first molecular phylogenetic framework for the family and define the Antarctic species based on molecular data. Based on this information, and on larval shell morphology, we tested the hypothesis that capulid species with high dispersal capacities via planktotrophic larvae display high genetic connectivity over long distances. Our data showed that whilst larval planktotrophy is the predominant larval strategy of the family worldwide, the vast majority of Antarctic species exhibit non-planktotrophic development. The unique exception, Capulus subcompressus, showed high genetic connectivity between the Ross Sea and Weddell Sea-Antarctic Peninsula. In all other Antarctic species, environmental constraints selected towards intracapsular metamorphosis, despite the associated limits of dispersal and finding a host.</t>
  </si>
  <si>
    <t>[Fassio, Giulia; Modica, Maria Vittoria; Oliverio, Marco] Univ Roma La Sapienza, Dept Biol &amp; Biotechnol Charles Darwin, Zool, I-00185 Rome, Italy; [Alvaro, Maria Chiara; Schiaparelli, Stefano] Univ Genoa, DiSTAV, I-16132 Genoa, Italy; [Alvaro, Maria Chiara; Schiaparelli, Stefano] Museo Nazl Antartide, Sede Genova, I-16132 Genoa, Italy</t>
  </si>
  <si>
    <t>Sapienza University Rome; University of Genoa</t>
  </si>
  <si>
    <t>Oliverio, M (corresponding author), Univ Roma La Sapienza, Dept Biol &amp; Biotechnol Charles Darwin, Zool, Viale Univ 32, I-00185 Rome, Italy.</t>
  </si>
  <si>
    <t>giulia.fassio@uniroma1.it; marco.oliverio@uniroma1.it</t>
  </si>
  <si>
    <t>OLIVERIO, MARCO/F-2229-2010; Modica, Maria Vittoria/P-8407-2018; Schiaparelli, Stefano/AAI-4024-2020; Fassio, Giulia/H-2132-2018</t>
  </si>
  <si>
    <t>Modica, Maria Vittoria/0000-0003-2532-6763; Schiaparelli, Stefano/0000-0002-0137-3605; Fassio, Giulia/0000-0003-1767-1452</t>
  </si>
  <si>
    <t>PNRA [2010/A1.10]; Alfred Wegener Institute (AWI)</t>
  </si>
  <si>
    <t>PNRA; Alfred Wegener Institute (AWI)</t>
  </si>
  <si>
    <t>We thank the PNRA for funding and logistic support during the Italian expedition XXVII and XXVIII (PNRA Project 2010/A1.10 BAMBi Barcoding of Antarctic Marine Biodiversity). Marine research activities during the TAN0402 BioRoss expedition have been jointly supported by Antarctica New Zealand, New Zealand Ministry of Primary Industries (MPI) and the National Institute of Water and Atmospheric research (NIWA). We thank the Alfred Wegener Institute (AWI) for funding and logistic support of the Polarstern cruise PS81, ANT XXIX/3. We are indebted to Claudio Ghiglione for the preparation of the map and to Walter Renda for help with collecting Capulus. We wish to thank Anders Waren and an anonymous reviewer for very constructive criticism of this manuscript. This is BAMBi contribution #9 and part of the integrated output from the SCAR-AntEco Science Programme.</t>
  </si>
  <si>
    <t>10.1007/s10750-015-2318-x</t>
  </si>
  <si>
    <t>WOS:000362964400007</t>
  </si>
  <si>
    <t>Schiaparelli, S; Alvaro, MC; Kilgallen, N; Scinto, A; Lörz, AN</t>
  </si>
  <si>
    <t>Schiaparelli, Stefano; Alvaro, Maria Chiara; Kilgallen, Niamh; Scinto, Alice; Loerz, Anne-Nina</t>
  </si>
  <si>
    <t>Host-shift speciation in Antarctic symbiotic invertebrates: further evidence from the new amphipod species Lepidepecreella debroyeri from the Ross Sea?</t>
  </si>
  <si>
    <t>Amphipoda; Lepidepecreella debroyeri; New species; Antarctica; Ross Sea; Parasitic association; Host-shift speciation</t>
  </si>
  <si>
    <t>EASTERN WEDDELL SEA; OCEAN DEEP-SEA; SOUTHERN-OCEAN; TANTULOCARIDA CRUSTACEA; CLIMATE-CHANGE; LYSIANASSOIDEA; ASSOCIATION; EVOLUTION; URCHINS; GENUS</t>
  </si>
  <si>
    <t>Lepidepecreella debroyeri n. sp. (Amphipoda, Lysianassoidea) is described from specimens collected at Terra Nova Bay (Ross Sea, Antarctica) in the framework of several scientific expeditions of the Italian National Antarctic Research Program. This amphipod is an obligate parasite of the regular sea urchin Sterechinus neumayeri (Meissner, 1900) and also occurs at diving depths. L. debroyeri n. sp. shares with Lepidepecreella andeep Berge, Vader &amp; Lockhart, 2004, an abyssal species described for the Weddell Sea, an almost identical morphology and ecological traits, being both associated with sea urchins of two different families. This close relationship could be the result of a host-shift phenomenon that occurred during the high number of glacial cycles, possibly rendering the preferred host unavailable. L. debroyeri n. sp. shows a high degree of variation in terms of sex ratio and population structure between different host specimens, a fact that could be related to a great mobility of this small parasitic amphipod. The new amphipod species is itself the subject of a hyperparasitic interaction, carrying tantulocarid crustaceans on the pleopods. This represents the first record of a symbiotic interaction between a tantulocarid and an amphipod for the Southern Ocean.</t>
  </si>
  <si>
    <t>[Schiaparelli, Stefano; Alvaro, Maria Chiara; Scinto, Alice] Univ Genoa, Dept Earth Environm &amp; Life Sci DISTAV, Genoa, Italy; [Schiaparelli, Stefano; Alvaro, Maria Chiara] Univ Genoa, Italian Natl Antarctic Museum MNA, Genoa, Italy; [Kilgallen, Niamh; Loerz, Anne-Nina] Natl Inst Water &amp; Atmospher Res NIWA, Wellington, New Zealand; [Loerz, Anne-Nina] Univ Hamburg, Zool Museum, Ctr Nat Kunde CeNak, D-20146 Hamburg, Germany</t>
  </si>
  <si>
    <t>University of Genoa; University of Genoa; National Institute of Water &amp; Atmospheric Research (NIWA) - New Zealand; University of Hamburg</t>
  </si>
  <si>
    <t>Schiaparelli, S (corresponding author), Univ Genoa, Dept Earth Environm &amp; Life Sci DISTAV, Genoa, Italy.</t>
  </si>
  <si>
    <t>Schiaparelli, Stefano/0000-0002-0137-3605</t>
  </si>
  <si>
    <t>PNRA [2004/8.2, 2006/08.01, 2010/A1.10]; Taxonomy Project [COBR1502]; NIWA [CF113354]</t>
  </si>
  <si>
    <t>PNRA; Taxonomy Project; NIWA</t>
  </si>
  <si>
    <t>We thank the PNRA for funding and logistic support during the Italian expeditions XXI (PNRA Project 2004/8.2 Polar DOVE), XXV (PNRA Project 2006/08.01 LGP: Latitudinal Gradient Project) and XXVII (PNRA Project 2010/A1.10 BAMBi Barcoding of Antarctic Marine Biodiversity). Professor Wim Vader kindly supplied bibliographic references. Erika Mackay (NIWA) kindly inked the line drawings and Claudio Ghiglione (MNA) kindly produced the maps. The NIWA authors were funded by the Taxonomy Project COBR1502 (ANL) and the NIWA Capability Fund CF113354 (NK). This contribution is part of the integrated output from the SCAR-AntEco Science Programme.</t>
  </si>
  <si>
    <t>10.1007/s10750-015-2335-9</t>
  </si>
  <si>
    <t>WOS:000362964400008</t>
  </si>
  <si>
    <t>La Ferla, R; Maimone, G; Lo Giudice, A; Azzaro, F; Cosenza, A; Azzaro, M</t>
  </si>
  <si>
    <t>La Ferla, Rosabruna; Maimone, Giovanna; Lo Giudice, Angelina; Azzaro, Filippo; Cosenza, Alessandro; Azzaro, Maurizio</t>
  </si>
  <si>
    <t>Cell size and other phenotypic traits of prokaryotic cells in pelagic areas of the Ross Sea (Antarctica)</t>
  </si>
  <si>
    <t>Prokaryotic sizes; Cell morphology; Biomass; Image analysis; Ross Sea; Antarctica</t>
  </si>
  <si>
    <t>TERRA-NOVA BAY; VERTICAL-DISTRIBUTION; MEDITERRANEAN SEA; MICROBIAL BIOMASS; AUSTRAL SUMMER; BACTERIOPLANKTON; ICE; BACTERIA; LAKE; BIOVOLUME</t>
  </si>
  <si>
    <t>We test the suitability of microbial parameters to assess environmental pressures, and investigate the abundance and phenotypic traits of prokaryotic cells in an Antarctic area. During two oceanographic cruises, carried out in 2001 and 2005, seawater samples were collected in two mooring stations of the Ross Sea. As ancillary parameters, determinations of lipopolysaccharides, chlorophyll a, and/or fractionated adenosine-tri-phosphate were done. Furthermore, in the 2005 survey, six more stations were sampled. Results show that prokaryotic cells-in terms of abundance, shape, and size-change in relation with environmental changes. Prokaryotic abundance was high, where a strong condition of eutrophication was detected. Sizes of cells showed the prevalence of very small forms (&gt; 0.1 mu m(3)), but larger morphotypes were observed in high trophic conditions (till 0.4 mu m(3)). In Antarctic marine systems, such prokaryotic parameters can be used to evaluate environment status.</t>
  </si>
  <si>
    <t>[La Ferla, Rosabruna; Maimone, Giovanna; Lo Giudice, Angelina; Azzaro, Filippo; Cosenza, Alessandro; Azzaro, Maurizio] IAMC CNR, Inst Coastal Marine Environm, Sect Messina, I-98122 Messina, Italy</t>
  </si>
  <si>
    <t>Consiglio Nazionale delle Ricerche (CNR); L'Istituto per l'Ambiente Marino Costiero (IAMC-CNR)</t>
  </si>
  <si>
    <t>La Ferla, R (corresponding author), IAMC CNR, Inst Coastal Marine Environm, Sect Messina, Esplanade S Raineri 86, I-98122 Messina, Italy.</t>
  </si>
  <si>
    <t>rosabruna.laferla@iamc.cnr.it</t>
  </si>
  <si>
    <t>azzaro, maurizio/A-9559-2017; azzaro, Maurizio/AAE-6784-2019</t>
  </si>
  <si>
    <t>azzaro, maurizio/0000-0001-7885-2340; azzaro, Maurizio/0000-0001-7885-2340; la ferla, rosabruna/0000-0003-1029-7349; AZZARO, FILIPPO/0000-0002-5194-3856</t>
  </si>
  <si>
    <t>Italian PNRA (National Programme of Antarctic Research)</t>
  </si>
  <si>
    <t>The research was done in the frame of BIOSESO II and ABIOCLEAR projects funded by the Italian PNRA (National Programme of Antarctic Research). The authors wish to thank two anonymous reviewers and editors for their useful comments as well as the CEFA project of PNRA for the technical support. They also thank the colleagues of IAMC, Dr. Gabriella Caruso and Dr. Giuseppe Frisone, for statistics elaboration and data typing, respectively.</t>
  </si>
  <si>
    <t>10.1007/s10750-015-2426-7</t>
  </si>
  <si>
    <t>WOS:000362964400010</t>
  </si>
  <si>
    <t>La Mesa, M; Castelli, A; Eastman, JT; Riginella, E</t>
  </si>
  <si>
    <t>La Mesa, Mario; Castelli, Alberto; Eastman, Joseph T.; Riginella, Emilio</t>
  </si>
  <si>
    <t>Factors involved in prey resource partitioning in the genus Artedidraco (Notothenioidei, Artedidraconidae) from the western Ross Sea</t>
  </si>
  <si>
    <t>Plunderfishes; Artedidraco; Feeding habits; Food partitioning; Antarctica</t>
  </si>
  <si>
    <t>ANTARCTIC FISHES; WEDDELL SEA; GRAPHICAL ANALYSIS; FEEDING STRATEGY; TROPHIC ECOLOGY; PERCIFORMES; PISCES; COMMUNITIES; ASSEMBLAGES; BIOLOGY</t>
  </si>
  <si>
    <t>Antarctic plunderfishes are demersal species inhabiting the continental shelf of the Ross Sea, with sympatric distributions and similar morphology. Assuming these species are potential competitors for food, we aimed to quantify food overlap among them and to test the existence of factors involved in prey resource partitioning. Dietary composition and feeding niche breadth were estimated through stomach contents analysis of some species of Artedidraco sampled in the western Ross Sea. The fish community consisted of a wide range of feeders, from specialists like A. glareobarbatus and A. shackletoni, which fed exclusively on epifaunal polychaetes, to generalists like A. loennbergi and A. skottsbergi, which fed on a variety of prey. Although all species relied exclusively on benthic prey, diet diversity and prey type largely differed from each other, both contributing to reduce prey overlap and food competition. In a few cases, relatively high food overlap was observed between species with different spatial distributions. Based on our data and on previous studies, prey resource partitioning in plunderfishes is therefore established through morphological and behavioural adaptations, either by differential development of sense organs and trophic structures or by different diet composition and spatial distribution within the shared benthic habitat.</t>
  </si>
  <si>
    <t>[La Mesa, Mario] CNR, Ist Sci Marine, Sede Ancona, I-60125 Ancona, Italy; [Castelli, Alberto] Univ Pisa, Dipartimento Biol, I-56124 Pisa, Italy; [Eastman, Joseph T.] Ohio Univ, Dept Biomed Sci, Athens, OH 45701 USA; [Riginella, Emilio] Univ Padua, Dipartimento Biol, I-35131 Padua, Italy</t>
  </si>
  <si>
    <t>Consiglio Nazionale delle Ricerche (CNR); Istituto di Scienze Marine (ISMAR-CNR); University of Pisa; University System of Ohio; Ohio University; University of Padua</t>
  </si>
  <si>
    <t>La Mesa, M (corresponding author), CNR, Ist Sci Marine, Sede Ancona, Largo Fiera Pesca 1, I-60125 Ancona, Italy.</t>
  </si>
  <si>
    <t>Riginella, Emilio/Q-2987-2019; Eastman, Joseph T./O-6150-2019</t>
  </si>
  <si>
    <t>Riginella, Emilio/0000-0002-1442-8310; Eastman, Joseph T./0000-0003-3868-261X; CASTELLI, ALBERTO/0000-0002-0762-1403</t>
  </si>
  <si>
    <t>National Science Foundation [ANT-0436190]; PNRA (Italian National Antarctic Research Program)</t>
  </si>
  <si>
    <t>National Science Foundation(National Science Foundation (NSF)); PNRA (Italian National Antarctic Research Program)</t>
  </si>
  <si>
    <t>We are grateful to all crew members, personnel and scientific staff aboard of RV Italica for their support in sampling activities. We are also much indebted to Angelika Brandt, Ute Muhlenhardt-Siegel and Jurgen Guererro-Kommritz for taxonomic identification of prey. Finally, we thank two anonymous reviewers and the Editor-in-chief whose comments greatly improved the earlier draft of the manuscript. JT Eastman was supported by the National Science Foundation grant ANT-0436190. The study was financially supported by the PNRA (Italian National Antarctic Research Program).</t>
  </si>
  <si>
    <t>10.1007/s10750-015-2206-4</t>
  </si>
  <si>
    <t>WOS:000362964400014</t>
  </si>
  <si>
    <t>Altiero, T; Giovannini, I; Guidetti, R; Rebecchi, L</t>
  </si>
  <si>
    <t>Altiero, Tiziana; Giovannini, Ilaria; Guidetti, Roberto; Rebecchi, Lorena</t>
  </si>
  <si>
    <t>Life history traits and reproductive mode of the tardigrade Acutuncus antarcticus under laboratory conditions: strategies to colonize the Antarctic environment</t>
  </si>
  <si>
    <t>Karyotype; Antarctica; Life history traits; Reproduction; Parthenogenesis; Stochastic habitats; Adaptive strategies</t>
  </si>
  <si>
    <t>CYCLE; EUTARDIGRADA; MACROBIOTIDAE; DIVERSITY; PHENOLOGY; MITE</t>
  </si>
  <si>
    <t>Global climate change has become an important issue, particularly for organisms living in the Antarctic region, as the predicted temperature increase can affect their life history traits. The reproductive mode and life history traits of one of the most widespread species of tardigrades in Antarctica were analyzed. Specimens of the eutardigrade Acutuncus antarcticus from a temporary freshwater pond at Victoria Land (Antarctica) were individually cultured. This species reproduced continuously by thelytokous meiotic parthenogenesis. Its life cycle was short (60-90 days) and the reproductive output was low, with a short generation time (25-26 days). The maternal effect can be responsible of the phenotypic plasticity observed in life history traits of the three analyzed generations that may be seen as a bet-hedging strategy, as also observed in other animals inhabiting stochastic environments. These traits, along with the cryptobiotic capability of A. antarcticus, are advantageous for exploiting the conditions suitable for growth and reproduction during the short Antarctic summer, and can explain its wide distribution on the Antarctic continent. These results open new avenues of research for determining the role of bet-hedging strategy in organisms living in unpredictable environments.</t>
  </si>
  <si>
    <t>[Altiero, Tiziana] Univ Modena &amp; Reggio Emilia, Dept Educ &amp; Humanities, I-42121 Reggio Emilia, Italy; [Giovannini, Ilaria; Guidetti, Roberto; Rebecchi, Lorena] Univ Modena &amp; Reggio Emilia, Dept Life Sci, I-41125 Modena, Italy</t>
  </si>
  <si>
    <t>Universita di Modena e Reggio Emilia; Universita di Modena e Reggio Emilia</t>
  </si>
  <si>
    <t>Rebecchi, L (corresponding author), Univ Modena &amp; Reggio Emilia, Dept Life Sci, Via Campi 213-D, I-41125 Modena, Italy.</t>
  </si>
  <si>
    <t>Rebecchi, Lorena/E-1653-2015; Guidetti, Roberto/H-2855-2012</t>
  </si>
  <si>
    <t>Rebecchi, Lorena/0000-0001-5610-806X; Guidetti, Roberto/0000-0001-6079-2538</t>
  </si>
  <si>
    <t>PNRA-MIUR (Italy) [2013/AZ1.13]; University of Modena and Reggio Emilia (Italy)</t>
  </si>
  <si>
    <t>PNRA-MIUR (Italy); University of Modena and Reggio Emilia (Italy)</t>
  </si>
  <si>
    <t>This work was supported by the project 2013/AZ1.13 granted by PNRA-MIUR (Italy), and the project Environments, food and health granted by the University of Modena and Reggio Emilia (Italy). The authors are grateful to reviewers for their constructive suggestions, and to Diane R. Nelson (East Tennessee State University, USA) for English revision of the text.</t>
  </si>
  <si>
    <t>10.1007/s10750-015-2315-0</t>
  </si>
  <si>
    <t>WOS:000362964400016</t>
  </si>
  <si>
    <t>Giordano, D; Russo, R; Coppola, D; Altomonte, G; di Prisco, G; Bruno, S; Verde, C</t>
  </si>
  <si>
    <t>Giordano, Daniela; Russo, Roberta; Coppola, Daniela; Altomonte, Giovanna; di Prisco, Guido; Bruno, Stefano; Verde, Cinzia</t>
  </si>
  <si>
    <t>'Cool' adaptations to cold environments: globins in Notothenioidei (Actynopterygii, Perciformes)</t>
  </si>
  <si>
    <t>Notothenioidei; Globin; Structure/function; Evolution; Adaptation; Global warming</t>
  </si>
  <si>
    <t>FISH TREMATOMUS-BERNACCHII; HEMOGLOBINLESS ANTARCTIC ICEFISHES; FUNCTIONALLY DISTINCT HEMOGLOBINS; LIGAND-BINDING PROPERTIES; HYPOXIA-TOLERANT CARP; ZEBRAFISH DANIO-RERIO; BIS-HISTIDYL ADDUCTS; AMINO-ACID-SEQUENCE; SALMON SALMO-SALAR; CRYSTAL-STRUCTURE</t>
  </si>
  <si>
    <t>Notothenioidei, the taxonomic group of teleosts that dominates the Southern Ocean and dwell in the Ross Sea at large, provide an example of marine species that underwent unique adaptations to life at low temperatures and high oxygen concentrations, resulting in morphological, physiological, genomic, and biochemical peculiarities in comparison with warm-water fish. Global Warming raises concerns over the fate of these stenothermal fish, as their adaptation has been accompanied by irreversible genomic losses, which suggest a poor genetic potential to adapt to warmer climates. Specifically, this review focuses on adaptation of proteins belonging to the globin superfamily, which include the respiratory proteins hemoglobin and myoglobin and the non-respiratory proteins neuroglobin and cytoglobin. Here, we describe their molecular adaptations to cold temperatures in the framework of the physiology of oxygen transport and management of oxidative stress in fish species largely populating the Ross Sea.</t>
  </si>
  <si>
    <t>[Giordano, Daniela; Russo, Roberta; Coppola, Daniela; Altomonte, Giovanna; di Prisco, Guido; Bruno, Stefano; Verde, Cinzia] CNR, Inst Biosci &amp; BioResources, I-80131 Naples, Italy; [Bruno, Stefano] Univ Parma, Dept Pharm, I-43100 Parma, Italy</t>
  </si>
  <si>
    <t>Consiglio Nazionale delle Ricerche (CNR); Istituto di Bioscienze e Biorisorse (IBBR-CNR); University of Parma</t>
  </si>
  <si>
    <t>Verde, C (corresponding author), CNR, Inst Biosci &amp; BioResources, Via Pietro Castellino 111, I-80131 Naples, Italy.</t>
  </si>
  <si>
    <t>Giordano, Daniela/AFK-7772-2022; Bruno, Stefano/A-4582-2011</t>
  </si>
  <si>
    <t>Giordano, Daniela/0000-0002-8891-6245; VERDE, Cinzia/0000-0001-6185-282X; Bruno, Stefano/0000-0002-7890-2472</t>
  </si>
  <si>
    <t>Italian National Programme for Antarctic Research (PNRA); Italian Ministry of Education, University and Research [PRIN 2010-2011-20109MXHMR_01]</t>
  </si>
  <si>
    <t>Italian National Programme for Antarctic Research (PNRA); Italian Ministry of Education, University and Research(Ministry of Education, Universities and Research (MIUR))</t>
  </si>
  <si>
    <t>This study was carried out in the framework of the SCAR programme Antarctic Thresholds-Ecosystem Resilience and Adaptation (AnT-ERA). It was financially supported by the Italian National Programme for Antarctic Research (PNRA) and the Italian Ministry of Education, University and Research (PRIN 2010-2011-20109MXHMR_01.). We are grateful to two anonymous reviewers, whose advice has significantly improved the manuscript.</t>
  </si>
  <si>
    <t>10.1007/s10750-015-2306-1</t>
  </si>
  <si>
    <t>WOS:000362964400017</t>
  </si>
  <si>
    <t>Coppola, D; Giordano, D; Abbruzzetti, S; Marchesani, F; Balestrieri, M; di Prisco, G; Viappiani, C; Bruno, S; Verde, C</t>
  </si>
  <si>
    <t>Coppola, Daniela; Giordano, Daniela; Abbruzzetti, Stefania; Marchesani, Francesco; Balestrieri, Marco; di Prisco, Guido; Viappiani, Cristiano; Bruno, Stefano; Verde, Cinzia</t>
  </si>
  <si>
    <t>Functional characterisation of the haemoglobins of the migratory notothenioid fish Dissostichus eleginoides</t>
  </si>
  <si>
    <t>Adaptation; Notothenioidei; Haemoglobin; Regulation; Structure/function</t>
  </si>
  <si>
    <t>OXYGEN-BINDING-PROPERTIES; AMINO-ACID-SEQUENCE; CRYSTAL-STRUCTURE; ANTARCTIC FISHES; HEME-PROTEINS; EVOLUTION; ADAPTATION; TEMPERATE; KINETICS; EQUILIBRIA</t>
  </si>
  <si>
    <t>This study addresses the primary structure, the oxygen-binding properties and the CO-rebinding kinetics of the haemoglobins of the Patagonian toothfish Dissostichus eleginoides. D. eleginoides belongs to the family Nototheniidae, the most diversified of the suborder Notothenioidei, mostly exhibiting an Antarctic distribution. Some of its features are typical of Antarctic species, some are not. For instance, D. eleginoides appears not to have functional antifreeze glycoproteins (consistent with its non-Antarctic distribution). In contrast, it has a major and a minor haemoglobin (similar to many Antarctic notothenioids), and their very low oxygen affinity does not follow the trend of other non-Antarctic notothenioids and appears typical of cold-adapted species. Moreover, the amino-acid sequence reveals high identity with the globins of Antarctic notothenioids, arguing in favour of a common origin within notothenioids, and indicates that the primary structure of the major and minor haemoglobins has undergone modifications only to a limited extent. The ligand-rebinding kinetics of the major haemoglobin of D. eleginoides indicate a strong stabilisation of the quaternary T state at lower pH values.</t>
  </si>
  <si>
    <t>[Coppola, Daniela; Giordano, Daniela; Balestrieri, Marco; di Prisco, Guido; Bruno, Stefano; Verde, Cinzia] CNR, Inst Biosci &amp; BioResources, I-80131 Naples, Italy; [Abbruzzetti, Stefania] Univ Parma, Dipartimento Biosci, I-43124 Parma, Italy; [Abbruzzetti, Stefania; Viappiani, Cristiano] CNR, NEST Ist Nanosci, I-56127 Pisa, Italy; [Marchesani, Francesco; Bruno, Stefano] Univ Parma, Dipartimento Farm, I-43100 Parma, Italy; [Viappiani, Cristiano] Univ Parma, Dipartimento Fis &amp; Sci Terra, I-43124 Parma, Italy; [Verde, Cinzia] Univ Roma 3, Dept Sci, I-00146 Rome, Italy</t>
  </si>
  <si>
    <t>Consiglio Nazionale delle Ricerche (CNR); Istituto di Bioscienze e Biorisorse (IBBR-CNR); University of Parma; Consiglio Nazionale delle Ricerche (CNR); Istituto Nanoscienze (NANO-CNR); University of Parma; University of Parma; Roma Tre University; Italfarmaco</t>
  </si>
  <si>
    <t>Bruno, S (corresponding author), CNR, Inst Biosci &amp; BioResources, Via Pietro Castellino 111, I-80131 Naples, Italy.</t>
  </si>
  <si>
    <t>brunos@unipr.it; c.verde@ibp.cnr.it</t>
  </si>
  <si>
    <t>Coppola, Daniela/ABG-4430-2020; Viappiani, Cristiano/AAC-7579-2019; abbruzzetti, stefania/AAE-5518-2020; Giordano, Daniela/AFK-7772-2022; Balestrieri, Marco/G-1847-2011; Bruno, Stefano/A-4582-2011</t>
  </si>
  <si>
    <t>Viappiani, Cristiano/0000-0001-7470-4770; abbruzzetti, stefania/0000-0001-7685-8554; Giordano, Daniela/0000-0002-8891-6245; Balestrieri, Marco/0000-0003-4343-2148; VERDE, Cinzia/0000-0001-6185-282X; Coppola, Daniela/0000-0001-6699-8967; Marchesani, Francesco/0000-0003-4384-9015; Bruno, Stefano/0000-0002-7890-2472</t>
  </si>
  <si>
    <t>Italian National Programme for Antarctic Research (PNRA); Ministero degli Affari Esteri, Direzione generale per la promozione del sistema Paese (Progetti di Grande Rilevanza, Italia-Argentina)</t>
  </si>
  <si>
    <t>This study has been supported by the Italian National Programme for Antarctic Research (PNRA) and Ministero degli Affari Esteri, Direzione generale per la promozione del sistema Paese (Progetti di Grande Rilevanza, Italia-Argentina 2011-2013). The project is in the framework of the SCAR programme Antarctic Thresholds-Ecosystem Resilience and Adaptation (AnT-ERA). The funders had no role in study design, data collection and analysis, decision to publish or preparation of the manuscript.</t>
  </si>
  <si>
    <t>10.1007/s10750-015-2439-2</t>
  </si>
  <si>
    <t>WOS:000362964400019</t>
  </si>
  <si>
    <t>di Prisco, G; Verde, C</t>
  </si>
  <si>
    <t>di Prisco, Guido; Verde, Cinzia</t>
  </si>
  <si>
    <t>The Ross Sea and its rich life: research on molecular adaptive evolution of stenothermal and eurythermal Antarctic organisms and the Italian contribution</t>
  </si>
  <si>
    <t>Ross Sea; Climate change; Molecular adaptive evolution; Hemoprotein; Enzyme; Metallothionein</t>
  </si>
  <si>
    <t>AMINO-ACID-SEQUENCE; FUNCTIONALLY DISTINCT HEMOGLOBINS; PSEUDOALTEROMONAS-HALOPLANKTIS TAC125; L-GLUTAMATE DEHYDROGENASE; OXYGEN-BINDING PROPERTIES; TERRA-NOVA BAY; CRYSTAL-STRUCTURE; NOTOTHENIOID FISH; CLIMATE-CHANGE; TREMATOMUS-BERNACCHII</t>
  </si>
  <si>
    <t>The official involvement of Italy in Antarctic research dates back to 1985, when Mario Zucchelli Station (the former Terra Nova Bay Station) was established in Terra Nova Bay. Italy joined the Antarctic Treaty in 1987. This article is an overview of the wide-ranging research in marine biology performed in the last three decades by the author's team in the Ross Sea. Fundamental questions have been addressed, related to cold adaptations-with special attention to the molecular bases-evolved by marine organisms along with progressive cooling in this geographic area, also analysed in comparison with other important areas, such as the Peninsula, the Weddell Sea, the sub-Antarctic and the Arctic. The basic stepping stone of this research was the integration of ecophysiology with molecular aspects, in the general framework of biodiversity, adaptation and evolution. Investigations have addressed a number of Ross Sea taxa, comprising fish, birds, urchins, whales, seals and bacteria. Its significance has special meaning in view of the control that Antarctica exerts on the world climate and ocean circulation, which has awakened great interest in the evolutionary biology of the organisms that live there.</t>
  </si>
  <si>
    <t>[di Prisco, Guido; Verde, Cinzia] CNR, Inst Biosci &amp; BioResources, I-80131 Naples, Italy</t>
  </si>
  <si>
    <t>Consiglio Nazionale delle Ricerche (CNR); Istituto di Bioscienze e Biorisorse (IBBR-CNR)</t>
  </si>
  <si>
    <t>di Prisco, G (corresponding author), CNR, Inst Biosci &amp; BioResources, Via Pietro Castellino 111, I-80131 Naples, Italy.</t>
  </si>
  <si>
    <t>guido.diprisco@ibbr.cnr.it</t>
  </si>
  <si>
    <t>VERDE, Cinzia/0000-0001-6185-282X</t>
  </si>
  <si>
    <t>Italian National Programme for Antarctic Research (PNRA)</t>
  </si>
  <si>
    <t>The reviewed work, supported by the Italian National Programme for Antarctic Research (PNRA), was in the framework of the SCAR and IPY programme EBA, of the Coordination Action for Research Activities on Life in Extreme Environments (CAREX), and is now in the framework of the legacy of EBA, namely the SCAR programmes AntEco and AnT-ERA; and of TEAM-Fish. G Altomonte, A Antignani, M Balestrieri, L Camardella, V Carratore, C Caruso, MA Ciardiello, E Cocca, D Coppola, R D'Avino, D de Pascale, A Fago, R Di Fraia, D Giordano, L Grassi, P Marinakis, D Pagnozzi, L Raiola, Alessia Riccio, M Romano, R Russo, the late B Rutigliano, and M Tamburrini are heartily thanked. Their work as team members (technicians, students, postdoctorate fellows, temporary research associates and researchers) has been and is fundamental for the development of this research over the years. We are grateful to three anonymous reviewers, whose advice has significantly improved the manuscript.</t>
  </si>
  <si>
    <t>10.1007/s10750-015-2425-8</t>
  </si>
  <si>
    <t>WOS:000362964400020</t>
  </si>
  <si>
    <t>Hanchet, S; Dunn, A; Parker, S; Horn, P; Stevens, D; Mormede, S</t>
  </si>
  <si>
    <t>Hanchet, Stuart; Dunn, Alistair; Parker, Steven; Horn, Peter; Stevens, Darren; Mormede, Sophie</t>
  </si>
  <si>
    <t>The Antarctic toothfish (Dissostichus mawsoni): biology, ecology, and life history in the Ross Sea region (vol 761, pg 397, 2015)</t>
  </si>
  <si>
    <t>[Hanchet, Stuart; Parker, Steven] Natl Inst Water &amp; Atmospher Res NIWA Ltd, Nelson, New Zealand; [Dunn, Alistair; Horn, Peter; Stevens, Darren; Mormede, Sophie] Natl Inst Water &amp; Atmospher Res NIWA Ltd, Wellington, New Zealand</t>
  </si>
  <si>
    <t>National Institute of Water &amp; Atmospheric Research (NIWA) - New Zealand; National Institute of Water &amp; Atmospheric Research (NIWA) - New Zealand</t>
  </si>
  <si>
    <t>Hanchet, S (corresponding author), Natl Inst Water &amp; Atmospher Res NIWA Ltd, POB 893, Nelson, New Zealand.</t>
  </si>
  <si>
    <t>s.hanchet@niwa.co.nz</t>
  </si>
  <si>
    <t>McMahon, Clive R/D-5713-2013</t>
  </si>
  <si>
    <t>McMahon, Clive R/0000-0001-5241-8917; Horn, Peter/0000-0003-4163-5064</t>
  </si>
  <si>
    <t>10.1007/s10750-015-2513-9</t>
  </si>
  <si>
    <t>WOS:000362964400024</t>
  </si>
  <si>
    <t>Cold-adapted bacteria from a coastal area of the Ross Sea (Terra Nova Bay, Antarctica): linking microbial ecology to biotechnology</t>
  </si>
  <si>
    <t>Antarctic bacteria; Ecology; Biotechnology; Secondary metabolites</t>
  </si>
  <si>
    <t>BURKHOLDERIA-CEPACIA COMPLEX; HYDROCARBON-DEGRADING BACTERIA; POLYCHLORINATED-BIPHENYLS PCBS; HEAVY-METAL CONTAMINATION; WINTER QUARTERS BAY; PSYCHROTROPHIC BACTERIA; ANTIBIOTIC-RESISTANCE; ORGANOCHLORINE PESTICIDES; ANTAGONISTIC INTERACTIONS; CHLORINATED PESTICIDES</t>
  </si>
  <si>
    <t>This review covers available information concerning the bacterial communities inhabiting coastal areas of Terra Nova Bay (Antarctica). Research was mainly focused on seawater, sediment, and benthic filter feeders. Coping with adverse environmental conditions, Antarctic bacteria have evolved peculiar strategies to survive in this harsh environment. In addition to cellular modifications, antagonistic interactions between them might have contributed to their adaptation to permanently low temperatures by reducing the presence of microbial competitors. The interrelationships existing among the members of bacterial communities, between them and their surrounding environment will be discussed. Quite interestingly, environmental selective pressures have led to the evolution of metabolic pathways responsible for the synthesis of unique secondary metabolites exhibiting a variety of biological activities. Finally, human perturbations have posed a serious questioning about the ability of microbial communities to respond to environmental anthropogenic changes in Antarctica. From a biotechnological viewpoint, bacteria inhabiting Terra Nova Bay are intriguing; indeed, many of them are able to degrade hydrocarbons and polychlorinated biphenyls at low temperatures, and tolerate heavy metals and antibiotics. After a brief description of cold-adapted bacteria, we will report on ecological roles of bacterial communities inhabiting the Terra Nova Bay, alongside a focus on biotechnological aspects of their cultivable fraction.</t>
  </si>
  <si>
    <t>[Lo Giudice, Angelina] Natl Res Council IAMC CNR, Inst Coastal Marine Environm, I-98124 Messina, Italy; [Lo Giudice, Angelina] Univ Messina, Dept Biol &amp; Environm Sci, I-98124 Messina, Italy; [Fani, Renato] Univ Florence, Dept Biol, Lab Microbial &amp; Mol Evolut, I-50019 Florence, Italy</t>
  </si>
  <si>
    <t>Lo Giudice, A (corresponding author), Univ Messina, Dept Biol &amp; Environm Sci, Viale F Stagno dAlcontres 31, I-98124 Messina, Italy.</t>
  </si>
  <si>
    <t>alogiudice@unime.it</t>
  </si>
  <si>
    <t>Italian Cystic Fibrosis Research foundation [12/2011]; Ente Cassa di Risparmio di Firenze [1103, 2008]; MNA (Museo Nazionale dell'Antartide); PNRA (Programma Nazionale di Ricerche in Antartide) [PNRA 2013 AZ1.04]; EU KBBE Project Pharmasea [312184]</t>
  </si>
  <si>
    <t>Italian Cystic Fibrosis Research foundation(Ministry of Health, ItalyItalian Cystic Fibrosis Research Foundation); Ente Cassa di Risparmio di Firenze(Fondazione Cassa Risparmio Firenze); MNA (Museo Nazionale dell'Antartide); PNRA (Programma Nazionale di Ricerche in Antartide); EU KBBE Project Pharmasea</t>
  </si>
  <si>
    <t>This work was financially supported by the Italian Cystic Fibrosis Research foundation (Grant FFC#12/2011), the Ente Cassa di Risparmio di Firenze (Grant 1103#2008), the MNA (Museo Nazionale dell'Antartide), and PNRA (Programma Nazionale di Ricerche in Antartide) Grant (PNRA 2013 AZ1.04). We also acknowledge the EU KBBE Project Pharmasea 2012-2016, Grant Agreement no: 312184.</t>
  </si>
  <si>
    <t>10.1007/s10750-015-2497-5</t>
  </si>
  <si>
    <t>WOS:000362964400025</t>
  </si>
  <si>
    <t>Hestetun, JT; Fourt, M; Vacelet, J; Boury-Esnault, N; Rapp, HT</t>
  </si>
  <si>
    <t>Hestetun, J. T.; Fourt, M.; Vacelet, J.; Boury-Esnault, N.; Rapp, H. T.</t>
  </si>
  <si>
    <t>Cladorhizidae (Porifera, Demospongiae, Poecilosclerida) of the deep Atlantic collected during Ifremer cruises, with a biogeographic overview of the Atlantic species</t>
  </si>
  <si>
    <t>JOURNAL OF THE MARINE BIOLOGICAL ASSOCIATION OF THE UNITED KINGDOM</t>
  </si>
  <si>
    <t>Porifera; carnivorous sponges; bathyal; abyssal; Atlantic; new species; taxonomy; Abyssocladia; Asbestopluma; Chondrocladia; Cladorhiza</t>
  </si>
  <si>
    <t>CARNIVOROUS SPONGES; SEA; DIVERSITY; BATHYAL; SHELF</t>
  </si>
  <si>
    <t>The study presents Cladorhizidae collected during Ifremer cruises in the Atlantic Ocean from 1981 to 2004. Fifteen species are described from the genera Abyssocladia, Asbestopluma, Chondrocladia and Cladorhiza, with complete descriptions of five new species. While a couple of species were collected at 670-1010 m depth at the Rockall Bank, most species were collected at middle to lower bathyal and abyssal depths (similar to 2000-5000 m), ranging from the northern Atlantic to the Mid-Atlantic Ridge and the coast of Africa at Gabon-Congo. A biogeographic analysis of currently known Arctic, Atlantic and some Antarctic species shows that the majority of included cladorhizids are described from the north-east Atlantic and Arctic Oceans while a lower number of species are known from other parts of the Atlantic Ocean. Large regions are poorly investigated, and previously undescribed species can be expected when sampling in these areas. A regional mostly endemic cladorhizid fauna is predicted for shelf and upper slope areas. Species in the lower bathyal and abyssal seem on the other hand to have a wider geographical distribution.</t>
  </si>
  <si>
    <t>[Hestetun, J. T.; Rapp, H. T.] Univ Bergen, Dept Biol, N-5020 Bergen, Norway; [Hestetun, J. T.; Rapp, H. T.] Univ Bergen, Ctr Geobiol, N-5020 Bergen, Norway; [Fourt, M.] GIS Posidonie, F-13288 Marseille 9, France; [Vacelet, J.; Boury-Esnault, N.] Univ Aix Marseille, CNRS, Stn Marine Endoume, IMBE,UMR7263, Marseille, France; [Rapp, H. T.] Uni Environm, N-5020 Bergen, Norway</t>
  </si>
  <si>
    <t>University of Bergen; University of Bergen; Centre National de la Recherche Scientifique (CNRS); CNRS - Institute of Ecology &amp; Environment (INEE); Aix-Marseille Universite; Institut de Recherche pour le Developpement (IRD)</t>
  </si>
  <si>
    <t>Hestetun, JT (corresponding author), Univ Bergen, Dept Biol, Thormohlensgate 53A-B, N-5020 Bergen, Norway.</t>
  </si>
  <si>
    <t>jon.hestetun@bio.uib.no</t>
  </si>
  <si>
    <t>Hestetun, Jon Thomassen/AAJ-2431-2020; Fourt, Maïa/ACD-7367-2022</t>
  </si>
  <si>
    <t>Hestetun, Jon Thomassen/0000-0003-2590-2433; Boury-Esnault, Nicole/0000-0003-1728-6749</t>
  </si>
  <si>
    <t>0025-3154</t>
  </si>
  <si>
    <t>1469-7769</t>
  </si>
  <si>
    <t>J MAR BIOL ASSOC UK</t>
  </si>
  <si>
    <t>J. Mar. Biol. Assoc. U.K.</t>
  </si>
  <si>
    <t>10.1017/S0025315413001100</t>
  </si>
  <si>
    <t>CT6GD</t>
  </si>
  <si>
    <t>WOS:000362910300004</t>
  </si>
  <si>
    <t>Chwedorzewska, KJ; Gielwanowska, I; Olech, M; Molina-Montenegro, MA; Wódkiewicz, M; Galera, H</t>
  </si>
  <si>
    <t>Chwedorzewska, K. J.; Gielwanowska, I.; Olech, M.; Molina-Montenegro, M. A.; Wodkiewicz, M.; Galera, H.</t>
  </si>
  <si>
    <t>Poa annua L. in the maritime Antarctic: an overview</t>
  </si>
  <si>
    <t>ANNUAL BLUEGRASS; IMPACTS; PLANTS; CONSERVATION; INVASIONS; KERGUELEN; ISLANDS; CROZET; MARION; DESV.</t>
  </si>
  <si>
    <t>Poa annua is the only flowering plant species that has established a breeding population in the maritime Antarctic, through repeated anthropogenic introduction. The first appearance of this species in the Antarctic was observed in 1953. Annual bluegrass inhabits mainly anthropogenic sites, but recently has entered tundra communities. The functioning of P. annua in the Antarctic could not have been possible without adaptations that enable the plants to persist in the specific climatic conditions typical for this zone. Poa annua is highly adaptable to environmental stress and unstable habitats: huge phenotypic and genotypic variability, small size, plastic life cycle (life-history types ranging from annual to perennial forms). The spreading of P. annua in the Antarctic Peninsula region is a classic example of the expansion process following anthropogenic introduction of an invasive species, and illustrates the dangers to Antarctic terrestrial ecosystems that are associated with increasing human traffic.</t>
  </si>
  <si>
    <t>[Chwedorzewska, K. J.] PAS, Inst Biochem &amp; Biophys, Dept Antarctic Biol, PL-02106 Warsaw, Poland; [Gielwanowska, I.] Univ Warmia &amp; Mazury, Dept Plant Physiol &amp; Biotechnol, PL-10719 Olsztyn, Poland; [Olech, M.] Jagiellonian Univ, Inst Bot, PL-31512 Krakow, Poland; [Molina-Montenegro, M. A.] Univ Catolica Norte, CEAZA, Fac Ciencias Mar, Coquimbo, Chile; [Wodkiewicz, M.; Galera, H.] Univ Warsaw, Dept Plant Ecol &amp; Environm Conservat, Fac Biol, PL-00478 Warsaw, Poland</t>
  </si>
  <si>
    <t>Polish Academy of Sciences; Institute of Biochemistry &amp; Biophysics - Polish Academy of Sciences; University of Warmia &amp; Mazury; Jagiellonian University; Universidad Catolica del Norte; University of Warsaw</t>
  </si>
  <si>
    <t>Chwedorzewska, KJ (corresponding author), PAS, Inst Biochem &amp; Biophys, Dept Antarctic Biol, Pawinskiego 5a, PL-02106 Warsaw, Poland.</t>
  </si>
  <si>
    <t>kchwedorzewska@go2.pl</t>
  </si>
  <si>
    <t>Chwedorzewska, Katarzyna/M-9721-2019; Galera, Halina/V-5347-2018; Galera, Halina/IUQ-1030-2023; Chwedorzewska, Katarzyna J/A-9480-2008</t>
  </si>
  <si>
    <t>Chwedorzewska, Katarzyna/0000-0001-6860-3666; Galera, Halina/0000-0001-6983-0908; Wodkiewicz, Maciej/0000-0002-7358-126X; Gielwanowska, Irena/0000-0002-9001-1285; Molina-Montenegro, Marco/0000-0001-6801-8942</t>
  </si>
  <si>
    <t>Polish Ministry of Scientific Research and Higher Education [2013/09/B/NZ8/03293]</t>
  </si>
  <si>
    <t>Polish Ministry of Scientific Research and Higher Education(Ministry of Science and Higher Education, Poland)</t>
  </si>
  <si>
    <t>Part of this research was supported by the Polish Ministry of Scientific Research and Higher Education grant 2013/09/B/NZ8/03293. We would like to thank two anonymous reviewers for constructive advice and fruitful discussion that has improved our paper.</t>
  </si>
  <si>
    <t>10.1017/S0032247414000916</t>
  </si>
  <si>
    <t>CT7XB</t>
  </si>
  <si>
    <t>WOS:000363027200005</t>
  </si>
  <si>
    <t>Bulkeley, R</t>
  </si>
  <si>
    <t>Bulkeley, Rip</t>
  </si>
  <si>
    <t>The Bellingshausen-Palmer meeting</t>
  </si>
  <si>
    <t>The celebrated meeting between Captain Bellingshausen of the Imperial Russian Navy and the American sealing skipper Nathaniel Brown Palmer, off the South Shetland Islands in February 1821, has often been described by following just one or other of the two men's divergent and in some respects irreconcilable accounts. The most contentious issue is whether or not Palmer told Bellingshausen about the existence of a body of land to the south of the South Shetlands, known today as the Antarctic Peninsula. This note attempts to reach a balanced assessment of the matter by examining evidence from both sides, including several previously unconsidered items. It concludes that, although the truth will never be known with absolute certainty, the basic American account is more plausible, by the narrowest of narrow margins, than the Russian.</t>
  </si>
  <si>
    <t>Bulkeley, R (corresponding author), 38 Lonsdale Rd, Oxford OX2 7EW, England.</t>
  </si>
  <si>
    <t>rip@igy50.net</t>
  </si>
  <si>
    <t>10.1017/S0032247414000783</t>
  </si>
  <si>
    <t>WOS:000363027200006</t>
  </si>
  <si>
    <t>May, K; Lewis, G</t>
  </si>
  <si>
    <t>May, Karen; Lewis, George</t>
  </si>
  <si>
    <t>'They are not the ponies they ought to have been': revisiting Cecil Meares' purchase of Siberian ponies for Captain Scott's British Antarctic (Terra Nova) Expedition (1910-1913)</t>
  </si>
  <si>
    <t>Captain Robert Falcon Scott has been attacked in recent decades because his Terra Nova expedition (1910-1913) had to rely on substandard Siberian ponies. Certain commentators have argued that this was Scott's fault, but the available evidence indicates that blame should rest with the buyer Cecil Meares. Additionally, archive evidence indicates that Scott specifically requested Captain Lawrence Oates to travel to Siberia to assist Meares in 1910, and that Oates refused Scott's request.</t>
  </si>
  <si>
    <t>May, K (corresponding author), 27 Old Gloucester St, London WC1N 3AX, England.</t>
  </si>
  <si>
    <t>karenmay31@gmail.com</t>
  </si>
  <si>
    <t>10.1017/S0032247415000029</t>
  </si>
  <si>
    <t>Science Citation Index Expanded (SCI-EXPANDED); Arts &amp; Humanities Citation Index (A&amp;HCI)</t>
  </si>
  <si>
    <t>WOS:000363027200007</t>
  </si>
  <si>
    <t>Singh, SM; Naik, S; Mulik, RU; Sharma, J; Upadhyay, AK</t>
  </si>
  <si>
    <t>Singh, Shiv Mohan; Naik, Simantini; Mulik, Ravindra Uttam; Sharma, Jagdev; Upadhyay, Ajay Kumar</t>
  </si>
  <si>
    <t>Elemental composition and bacterial occurrence in sediment samples on two sides of Broggerhalvoya, Svalbard</t>
  </si>
  <si>
    <t>PERSISTENT ORGANIC POLLUTANTS; ARCTIC FJORD; HEAVY-METALS; TRACE-METALS; CHUKCHI SEA; MARINE; KONGSFJORDEN; CONTAMINANTS; SPITSBERGEN; SHELF</t>
  </si>
  <si>
    <t>The present study was conducted to determine the elemental concentration and bacterial presence in the ocean on the two sides of Broggerhalvoya, a peninsula in Svalbard. Sediments from 25 different locations were collected and subjected to elemental analysis using inductively coupled plasma mass spectrometry (ICPMS). In total, 21 elements were analysed. The elements in their decreasing order of concentrations on the Kongsfjorden side of Broggerhalvoya were Fe&gt; Mn&gt; Ba &gt; V &gt; Zn &gt; Sr &gt; Rb &gt; Cr &gt; Li &gt; Ni &gt; As &gt; Pb &gt; Cu &gt; Co &gt; Cs &gt; Ag &gt; Be &gt; U&gt; Bi &gt; Tl &gt; Cd while that for Forlandsendet side of Broggerhalvoya they were Fe &gt; Ba &gt; Mn &gt; V&gt; Sr &gt; Zn &gt; Rb &gt; Cr &gt; Li &gt; Ni &gt; Pb &gt; Cu &gt; As &gt; Co &gt; Cs &gt; Be &gt; U&gt; Tl &gt; Bi &gt; Cd. On the other hand, at a coastal outcrop, elements in their decreasing order of concentration were Fe &gt; Mn &gt; Cr &gt; Sr &gt; Ba &gt; Rb &gt; Cr &gt; Zn &gt; V &gt; Rb &gt; Ni &gt; Li &gt; Co &gt; Cu &gt; As &gt; Pb &gt; Cs &gt; Be &gt; Cd &gt; Tl &gt; U &gt; Bi. AMS dates confirmed the age of outcrop sediment to be 12,496 to 42,500 BP. The crustal enrichment factor calculated for all the elements with reference to Fe values, demonstrates that the elements have derived from a crustal source. Total bacterial counts ranged from 3.30 x 10(5) to 3.02 x 10(6) per gm soil sediment. Culturable bacterial counts in these sediments were between 2.00 x 10(2) to 2.09 x 10(5) CFU's per gm. Overall comparison showed high Fe and Mn concentrations around Broggerhalvoya, due to the presence of specific bacteria which play key roles in metal cycling and carry out biogeochemical transformations.</t>
  </si>
  <si>
    <t>[Singh, Shiv Mohan; Naik, Simantini] Natl Ctr Antarctic &amp; Ocean Res, Vasco 403804, Goa, India; [Mulik, Ravindra Uttam; Sharma, Jagdev; Upadhyay, Ajay Kumar] Natl Res Ctr Grapes, Pune 412307, Maharashtra, India</t>
  </si>
  <si>
    <t>Ministry of Earth Sciences (MoES) - India; National Centre for Polar and Ocean Research (NCPOR); Indian Council of Agricultural Research (ICAR); ICAR - National Research Centre for Grapes</t>
  </si>
  <si>
    <t>Singh, SM (corresponding author), Natl Ctr Antarctic &amp; Ocean Res, Vasco 403804, Goa, India.</t>
  </si>
  <si>
    <t>smsingh@ncaor.gov.in</t>
  </si>
  <si>
    <t>Sharma, Jagdev/AGU-5088-2022</t>
  </si>
  <si>
    <t>10.1017/S0032247415000030</t>
  </si>
  <si>
    <t>WOS:000363027200010</t>
  </si>
  <si>
    <t>Wei, ZG; Dong, WJ</t>
  </si>
  <si>
    <t>Wei, Zhigang; Dong, Wenjie</t>
  </si>
  <si>
    <t>Assessment of simulations of snow depth in the Qinghai-Tibetan Plateau using CMIP5 multi-models</t>
  </si>
  <si>
    <t>ATMOSPHERIC CIRCULATION; CLIMATE-CHANGE; COVER; VARIABILITY; CHINA</t>
  </si>
  <si>
    <t>The depths of snow in the Qinghai-Tibetan Plateau simulated by 19 phase five of the Coupled Model Inter-Comparison Project (CMIP5) models are assessed in comparison with the observation ones from passive microwave satellite remote-sensing (PMSR) and 72 weather stations. The annual regional mean snow depths (ARMSDs) from 1851 to 2005 indicate decreases for most of the models but slight increases for CMCC-CM, FGOALS-g2, and CanESM2. The simulated ARMSD anomalies vary from -10 cm to 20 cm, and the amplitudes exhibit obvious decreases over the recent 50 years. In the period from 1986 to 2005, the spatial distributions of the annual mean snow depth (AMSD) simulated by MRI-CGCM3, CCSM4, CESM1-BGC, CESM1-CAM5, and CESM1-WACCM are quite similar to those from the PMSR observations. But the maximum and mean AMSD values simulated by all 19 models are much larger than those observed by PMSR. The inter-annual variation of snow, which occurs primarily in the Middle and East Tibetan Plateau, is simulated relatively well by inmcm4. From 1960 to 2005, the ARMSDs simulated by most of the models show decreases but are increasing according to actual observations. Only five models produce positive trends that agree with the observations. According to the selected indices, the CCSM4, MIROC5, MRI-CGCM3, and FGOALS-g2 models are selected as relatively good models for predicting the plateau snow, and the 21st century changes in the snow climate in the Qinghai-Tibetan Plateau are projected using these four models.</t>
  </si>
  <si>
    <t>[Wei, Zhigang; Dong, Wenjie] Beijing Normal Univ, State Key Lab Earth Surface Proc &amp; Resource Ecol, Beijing 100875, Peoples R China; [Wei, Zhigang; Dong, Wenjie] Beijing Normal Univ, Future Earth Res Inst, Zhuhai, Guangdong, Peoples R China</t>
  </si>
  <si>
    <t>Beijing Normal University; Beijing Normal University; Beijing Normal University Zhuhai</t>
  </si>
  <si>
    <t>Wei, ZG (corresponding author), Beijing Normal Univ, State Key Lab Earth Surface Proc &amp; Resource Ecol, 19 Xinjiekouwai St, Beijing 100875, Peoples R China.</t>
  </si>
  <si>
    <t>wzg@bnu.edu.cn</t>
  </si>
  <si>
    <t>dong, wenjie/F-4314-2012</t>
  </si>
  <si>
    <t>Dong, Wenjie/0000-0002-9635-6292</t>
  </si>
  <si>
    <t>National Natural Science Foundation of China [41330527]; Fund for Creative Research Groups of National Natural Science Foundation of China [41321001]; Global Change Research Program of China [2014CB953903]</t>
  </si>
  <si>
    <t>National Natural Science Foundation of China(National Natural Science Foundation of China (NSFC)); Fund for Creative Research Groups of National Natural Science Foundation of China; Global Change Research Program of China</t>
  </si>
  <si>
    <t>We express gratitude to the anonymous reviewers for their constructive comments and suggestions. This study was supported by National Natural Science Foundation of China (Grant No. 41330527), Fund for Creative Research Groups of National Natural Science Foundation of China (No. 41321001), and the Global Change Research Program of China (2014CB953903).</t>
  </si>
  <si>
    <t>10.1657/AAAR0014-050</t>
  </si>
  <si>
    <t>WOS:000363863300003</t>
  </si>
  <si>
    <t>Green, K; Stein, JA</t>
  </si>
  <si>
    <t>Green, Ken; Stein, John A.</t>
  </si>
  <si>
    <t>Modeling the thermal zones and biodiversity on the high mountains of Meganesia: the importance of local differences</t>
  </si>
  <si>
    <t>SOUTH-EASTERN AUSTRALIA; CLIMATE-CHANGE; VEGETATION; TREELINE; WIDE</t>
  </si>
  <si>
    <t>Alpine areas in Meganesia occur on maritime and continental mountains, and range from tropical to warm and cool temperate. At their current treelines, we measured soil temperatures, which were found to be within the bounds for treeline temperatures worldwide. We modeled areas above these alpine treelines using (1) a growing season mean synoptic temperature of 6.4 degrees C at treeline and (2) monthly temperature extremes. It was possible to adjust the threshold temperatures of the growing season model until predicted areas approximated observed alpine areas for New Guinea, the Australian mainland Snowy Mountains, and Tasmania, but meaningful predictions could not be made for the unknown alpine area of the Victorian Alps. The temperature extreme model was unsuitable for New Guinea and Tasmania but gave better predictive results for the Victorian Alps. We correctly predicted a strong relationship between alpine area and number of alpine vascular plant species and between regional area and number of terrestrial vertebrate species. However, there was no clear relationship between alpine area and alpine terrestrial vertebrate richness. Differences among the mountains were better explained by climatic extremes and insolation. If local explanations are required to model alpine vertebrate fauna, it is difficult to build robust global models and consequently make general predictions of climate change impacts.</t>
  </si>
  <si>
    <t>[Green, Ken] Natl Pk &amp; Wildlife Serv, Snowy Mt Reg, Jindabyne, NSW 2627, Australia; [Stein, John A.] Australian Natl Univ, ANU Coll Med Biol &amp; Environm, Fenner Sch Environm &amp; Soc, Canberra, ACT 0200, Australia</t>
  </si>
  <si>
    <t>Australian National University</t>
  </si>
  <si>
    <t>Green, K (corresponding author), Natl Pk &amp; Wildlife Serv, Snowy Mt Reg, POB 2228, Jindabyne, NSW 2627, Australia.</t>
  </si>
  <si>
    <t>kenpetergreen@gmail.com</t>
  </si>
  <si>
    <t>10.1657/AAAR0014-083</t>
  </si>
  <si>
    <t>WOS:000363863300007</t>
  </si>
  <si>
    <t>Elliott, GP; Cowell, CM</t>
  </si>
  <si>
    <t>Elliott, Grant P.; Cowell, C. Mark</t>
  </si>
  <si>
    <t>Slope aspect mediates fine-scale tree establishment patterns at upper treeline during wet and dry periods of the 20th century</t>
  </si>
  <si>
    <t>MOUNTAIN NATIONAL-PARK; WESTERN NORTH-AMERICA; FOREST-TUNDRA ECOTONE; REGIME SHIFTS; ALPINE-TREELINE; ROCKY-MOUNTAINS; CLIMATE; DYNAMICS; VARIABILITY; PRECIPITATION</t>
  </si>
  <si>
    <t>Previous research collectively demonstrates the importance of taking local moisture availability and biotic threshold responses into account when seeking to reveal the ecological manifestations of climate change within upper treeline ecotones. Yet dendroecological studies that explicitly address the role of slope aspect in this context are non-existent. In this paper, we examine whether slope aspect and related temperature-precipitation interactions mediate abrupt increases in tree establishment and pulses of upper treeline advance (&gt;= 10 m) on contrasting north-and south-facing slopes during wet and dry periods of the 20th century. We used regime-shift analysis to quantify episodic changes in the rate of tree regeneration at each site (p &lt; 0.05). We employed a climatic water deficit approach to define fine-scale moisture conditions to compare with dendroecological data from opposite aspects on eleven mountain peaks along a latitudinal gradient in the U.S. Rocky Mountains. Regime-shift analysis measured abrupt, yet asynchronous increases in tree establishment across contrasting slope aspects on 10 of 11 mountain peaks. Upper treeline advance was significantly greater (p &lt; 0.05) during drought on north-facing slopes. On south-facing slopes, ecotonal dynamics varied more with respect to fluxes in the climatic water deficit; namely because of differences in local hydroclimate regimes. Collectively, these results underscore the importance of considering both slope aspect and temperature-moisture interactions when elucidating climate-vegetation interactions within upper treeline ecotones.</t>
  </si>
  <si>
    <t>[Elliott, Grant P.; Cowell, C. Mark] Univ Missouri, Dept Geog, Columbia, MO 65211 USA</t>
  </si>
  <si>
    <t>University of Missouri System; University of Missouri Columbia</t>
  </si>
  <si>
    <t>Elliott, GP (corresponding author), Univ Missouri, Dept Geog, Columbia, MO 65211 USA.</t>
  </si>
  <si>
    <t>elliottg@missouri.edu</t>
  </si>
  <si>
    <t>U.S. National Science Foundation [0826012]; American Alpine Club; Association of American Geographers; Division Of Behavioral and Cognitive Sci; Direct For Social, Behav &amp; Economic Scie [0826012] Funding Source: National Science Foundation</t>
  </si>
  <si>
    <t>U.S. National Science Foundation(National Science Foundation (NSF)); American Alpine Club; Association of American Geographers; Division Of Behavioral and Cognitive Sci; Direct For Social, Behav &amp; Economic Scie(National Science Foundation (NSF)NSF - Directorate for Social, Behavioral &amp; Economic Sciences (SBE))</t>
  </si>
  <si>
    <t>The fieldwork component of this research was funded by the U.S. National Science Foundation (#0826012), American Alpine Club, and Association of American Geographers. We thank Robert Ryan for producing the study area map. Evan Larson, Chris Petruccelli, and three anonymous reviewers provided a careful review of the manuscript.</t>
  </si>
  <si>
    <t>10.1657/AAAR0014-025</t>
  </si>
  <si>
    <t>WOS:000363863300008</t>
  </si>
  <si>
    <t>Veen, GF; Sundqvist, MK; Metcalfe, D; Wilson, SD</t>
  </si>
  <si>
    <t>Veen, G. F. (Ciska); Sundqvist, Maja K.; Metcalfe, Daniel; Wilson, Scott D.</t>
  </si>
  <si>
    <t>Above-ground and below-ground plant responses to fertilization in two subarctic ecosystems</t>
  </si>
  <si>
    <t>COLONIZATION; ABUNDANCE</t>
  </si>
  <si>
    <t>Soil nutrient supply is likely to change in the Arctic due to altered process rates associated with climate change. Here, we compare the responses of herbaceous tundra and birch forest understory to fertilization, considering both above-and below-ground responses. We added nitrogen and phosphorus to plots in both vegetation types for three years near Abisko, northern Sweden, and measured the effect on above-and below-ground plant community properties and soil characteristics. Fertilization increased ground-layer shoot mass, the cover of grasses, and tended to enhance total root length below-ground, while it reduced the cover of low statured deciduous dwarf-shrubs. The only statistically significant interaction between vegetation type and fertilization was for grass cover, which increased twofold in forest understory but sixfold in tundra following fertilization. The lack of interactions for other variables suggests that the ground layers in these contrasting vegetation types have similar responses to fertilization. The nutrient-driven increase in grass cover and species-specific differences in productivity and root characters may alter ecosystem dynamics and C cycling in the long-term, but our study indicates that the response of birch forest understory and tundra vegetation may be consistent.</t>
  </si>
  <si>
    <t>[Veen, G. F. (Ciska)] Swedish Univ Agr Sci, Dept Forest Ecol &amp; Management, SE-90183 Umea, Sweden; [Veen, G. F. (Ciska)] Netherlands Inst Ecol, Dept Terr Ecol, NL-6700 AB Wageningen, Netherlands; [Sundqvist, Maja K.] Umea Univ, Dept Ecol &amp; Environm Sci, SE-90187 Umea, Sweden; [Sundqvist, Maja K.] Univ Copenhagen, Nat Hist Museum Denmark, Ctr Macroecol Evolut &amp; Climate, DK-2100 Copenhagen, Denmark; [Metcalfe, Daniel] Lund Univ, Dept Phys Geog &amp; Ecosyst Sci, SE-22362 Lund, Sweden; [Wilson, Scott D.] Univ Regina, Dept Biol, Regina, SK S4S 0A2, Canada; [Wilson, Scott D.] Umea Univ, Dept Ecol &amp; Environm Sci, CIRC, SE-98107 Abisko, Sweden</t>
  </si>
  <si>
    <t>Swedish University of Agricultural Sciences; Royal Netherlands Academy of Arts &amp; Sciences; Netherlands Institute of Ecology (NIOO-KNAW); Umea University; University of Copenhagen; Lund University; University of Regina; Umea University</t>
  </si>
  <si>
    <t>Veen, GF (corresponding author), Swedish Univ Agr Sci, Dept Forest Ecol &amp; Management, SE-90183 Umea, Sweden.</t>
  </si>
  <si>
    <t>c.veen@nioo.knaw.nl</t>
  </si>
  <si>
    <t>Wilson, Scott D./D-6923-2011; Veen, Ciska/A-2981-2012; Nummer2, CMEC/HKE-1900-2023; Sundqvist, Maja K/C-6100-2015; KNAW, NIOO-KNAW/A-4320-2012</t>
  </si>
  <si>
    <t>Veen, Ciska/0000-0001-7736-9998; KNAW, NIOO-KNAW/0000-0002-3835-159X</t>
  </si>
  <si>
    <t>RUBICON grant from the Netherlands Organization for Scientific Research (NWO); Natural Sciences and Engineering Research Council of Canada</t>
  </si>
  <si>
    <t>RUBICON grant from the Netherlands Organization for Scientific Research (NWO)(Netherlands Organization for Scientific Research (NWO)); Natural Sciences and Engineering Research Council of Canada(Natural Sciences and Engineering Research Council of Canada (NSERC)CGIAR)</t>
  </si>
  <si>
    <t>We thank Jon De Long, A. Kadereit, and Lone Ravensbergen for help in the field, and L. Gough and anonymous reviewers for improving the paper. Veen was funded by a RUBICON grant from the Netherlands Organization for Scientific Research (NWO). Wilson was funded by the Natural Sciences and Engineering Research Council of Canada.</t>
  </si>
  <si>
    <t>10.1657/AAAR0014-085</t>
  </si>
  <si>
    <t>WOS:000363863300009</t>
  </si>
  <si>
    <t>Xie, CW; Gough, WA; Zhao, L; Wu, TH; Liu, WH</t>
  </si>
  <si>
    <t>Xie Changwei; Gough, William A.; Zhao Lin; Wu Tonghua; Liu Wenhui</t>
  </si>
  <si>
    <t>Temperature-dependent adjustments of the permafrost thermal profiles on the Qinghai-Tibet Plateau, China</t>
  </si>
  <si>
    <t>ACTIVE-LAYER; STATE</t>
  </si>
  <si>
    <t>Using continuous data obtained from 17 monitoring sites, the permafrost temperature profiles and the depths of zero annual amplitude (DZAA) on the Qinghai-Tibet Plateau are examined. Permafrost thermal trumpet curves are generally narrow and the DZAAs are generally shallow in warm permafrost regions, especially at sites where the permafrost temperature is close to 0 degrees C. The observed DZAAs in warm permafrost regions are indeed generally less than 7.0 m and for three sites less than 4.0 m. In low-temperature permafrost areas, the situation is reversed: the thermal trumpet curves are generally wide and the DZAAs are generally deep. Theoretical and numerical analyses clearly show there is a causal relationship between permafrost warming and the decrease of the DZAA. Latent heat effects are buffering the increase of permafrost temperature and result in narrow thermal trumpet curves and shallow DZAAs. Based on observations and numerical analyses, this research suggests that most of the permafrost on the Qinghai-Tibet Plateau is undergoing internal thaw and the latent heat effects have important implications on the permafrost thermal regime. The temperature-dependent adjustments in permafrost will promote both the downward and upward degradation of permafrost as a result of climate warming.</t>
  </si>
  <si>
    <t>[Xie Changwei; Zhao Lin; Wu Tonghua; Liu Wenhui] Chinese Acad Sci, Cryosphere Res Stn Qinghai Tibet Plateau, State Key Lab Cryosher Sci, Cold &amp; Arid Reg Environm &amp; Engn Res Inst, Lanzhou 730000, Peoples R China; [Gough, William A.] Univ Toronto Scarborough, Dept Phys &amp; Environm Sci, Scarborough, ON M1C 1A4, Canada</t>
  </si>
  <si>
    <t>Chinese Academy of Sciences; Cold &amp; Arid Regions Environmental &amp; Engineering Research Institute, CAS; University of Toronto; University Toronto Scarborough</t>
  </si>
  <si>
    <t>Xie, CW (corresponding author), Chinese Acad Sci, Cryosphere Res Stn Qinghai Tibet Plateau, State Key Lab Cryosher Sci, Cold &amp; Arid Reg Environm &amp; Engn Res Inst, Lanzhou 730000, Peoples R China.</t>
  </si>
  <si>
    <t>xiecw@lzb.ac.cn</t>
  </si>
  <si>
    <t>Zhao, Lin/M-9536-2018; Wu, Tonghua/AAE-4563-2019; xie, Changwei/AAL-6165-2021; Gough, William A/L-5231-2013</t>
  </si>
  <si>
    <t>Zhao, Lin/0000-0003-0245-8413;</t>
  </si>
  <si>
    <t>National Major Scientific Project of China, Crospheric Change and Impacts Research [2013BA01803]; State Key Laboratory of Crospheric Sciences [SKLCS-ZZ-2012-02-03]; National Natural Sciences Foundation of China [41271086]; Hundred Talents Program of Chinese Academy of Sciences [51Y551831]</t>
  </si>
  <si>
    <t>National Major Scientific Project of China, Crospheric Change and Impacts Research; State Key Laboratory of Crospheric Sciences; National Natural Sciences Foundation of China(National Natural Science Foundation of China (NSFC)); Hundred Talents Program of Chinese Academy of Sciences(Chinese Academy of Sciences)</t>
  </si>
  <si>
    <t>This work was supported by a grant from the National Major Scientific Project of China, Crospheric Change and Impacts Research (2013BA01803), State Key Laboratory of Crospheric Sciences (SKLCS-ZZ-2012-02-03), the National Natural Sciences Foundation of China (41271086), and the Hundred Talents Program of Chinese Academy of Sciences Grant to Xie Changwei (51Y551831).</t>
  </si>
  <si>
    <t>10.1657/AAAR00C-13-128</t>
  </si>
  <si>
    <t>WOS:000363863300011</t>
  </si>
  <si>
    <t>Brown, SP; Olson, BJSC; Jumpponen, A</t>
  </si>
  <si>
    <t>Brown, Shawn P.; Olson, Bradley J. S. C.; Jumpponen, Ari</t>
  </si>
  <si>
    <t>Fungi and algae co-occur in snow: an issue of shared habitat or algal facilitation of heterotrophs?</t>
  </si>
  <si>
    <t>SOUTH-POLE SNOW; CHLAMYDOMONAS-NIVALIS; ARCTIC SNOW; BACTERIAL-ACTIVITY; COMMUNITIES; ENVIRONMENT; ADAPTATION; DIVERSITY; ARGENTINA; CHYTRIDS</t>
  </si>
  <si>
    <t>Late season alpine snows are often colonized by psychrophilic snow algae that may provide a source of nutrients for microbes. Such late season snows are a harsh environment, but support a diverse and complex fungal community. We used culture independent methods (Illumina MiSeq) to test if the presence of snow algae influences fungal communities. We compared algae-colonized snows to adjacent (3 m distant) noncolonized snows in a paired experimental design. Our data indicate that several fungi are locally enriched in algae colonized snows. Although many such fungi were basidiomycetous yeasts, our analyses identified a large number of snow-borne members of phylum Chytridiomycota. While the ecology and function of these Chytridiomycetes remain unclear, we hypothesize that their enrichment in the algal patches suggests that they depend on algae for nutrition. We propose that these chytrids are important components in snow ecosystems, highlighting the underestimation of their diversity and importance. Taken together, our data strongly indicate that fungal communities are heterogeneous in snow even among adjacent samples. Further, fungal and algal communities may be influenced by similar environmental drivers resulting in their co-occurrence in snow.</t>
  </si>
  <si>
    <t>[Brown, Shawn P.; Olson, Bradley J. S. C.; Jumpponen, Ari] Kansas State Univ, Div Biol, Manhattan, KS 66506 USA; [Olson, Bradley J. S. C.; Jumpponen, Ari] Kansas State Univ, Ecol Genom Inst, Manhattan, KS 66506 USA</t>
  </si>
  <si>
    <t>Kansas State University; Kansas State University</t>
  </si>
  <si>
    <t>Brown, SP (corresponding author), Univ Illinois, Dept Plant Biol, 249 Morrill Hall,505 South Goodwin Ave, Urbana, IL 61801 USA.</t>
  </si>
  <si>
    <t>spbrown1@illinois.edu</t>
  </si>
  <si>
    <t>Brown, Shawn/I-4925-2019</t>
  </si>
  <si>
    <t>Brown, Shawn/0000-0002-4687-1720</t>
  </si>
  <si>
    <t>National Science Foundation (NSF) GK-12 fellowship [DGE-0841414]; Kansas Academy of Science; Division Of Environmental Biology; Direct For Biological Sciences [1027341] Funding Source: National Science Foundation</t>
  </si>
  <si>
    <t>National Science Foundation (NSF) GK-12 fellowship(National Science Foundation (NSF)); Kansas Academy of Science; Division Of Environmental Biology; Direct For Biological Sciences(National Science Foundation (NSF)NSF - Directorate for Biological Sciences (BIO))</t>
  </si>
  <si>
    <t>The authors thank Vera Brown, Ashlyn Jumpponen, Corin White, and Kale Lothamer for assistance in sampling. We thank anonymous reviewers of previous versions of this contribution for providing useful suggestions that improved this manuscript. We are indebted to those anonymous strangers who assisted Brown during a field injury. We are extremely appreciative to the Douglas County, Washington, Sheriff's Office for not confiscating our samples when dispatched about suspicious people in a park with gloves and syringes. Brown was supported by a National Science Foundation (NSF) GK-12 fellowship (DGE-0841414 to C. Ferguson) and the Kansas Academy of Science.</t>
  </si>
  <si>
    <t>10.1657/AAAR0014-071</t>
  </si>
  <si>
    <t>WOS:000363863300012</t>
  </si>
  <si>
    <t>Camarero, JJ; García-Ruiz, JM; Sangüsa-Barreda, G; Galván, JD; Alla, AQ; Sanjuán, Y; Beguería, S; Gutiérrez, E</t>
  </si>
  <si>
    <t>Julio Camarero, J.; Maria Garcia-Ruiz, Jose; Sanguesa-Barreda, Gabriel; Galvan, Juan Diego; Alla, Arben Q.; Sanjuan, Yasmina; Begueria, Santiago; Gutierrez, Emilia</t>
  </si>
  <si>
    <t>Recent and intense dynamics in a formerly static Pyrenean treeline</t>
  </si>
  <si>
    <t>SUB-ALPINE FOREST; PINUS-SYLVESTRIS; CLIMATE-CHANGE; TEMPERATURE-VARIATIONS; ROCKY-MOUNTAINS; SWEDISH SCANDES; SPATIAL-PATTERN; GLOBAL-CHANGE; OLD TREES; LINE</t>
  </si>
  <si>
    <t>Alpine treelines are considered monitors of the effects of climate on forest growth and dynamics. Treelines are expected to react to current climate warming by showing upslope migrations. However, treeline dynamics are often characterized by lagged responses to rising temperatures, that is, treeline inertia. In addition, encroachment within the treeline ecotone seems to be a more widespread response to climate warming than treeline ascent. We investigate how the treeline responds to climate in a Pyrenean site with an intense Mountain pine (Pinus uncinata) regeneration but also abundant dead trees. We use dendrochronology to reconstruct treeline dynamics (growth, tree recruitment, and death) and to build an age structure of Pyrenean Mountain pine forests, and relate them to temperature reconstructions of the study area. We also describe the spatial structure and estimate the size reproductive threshold of pine recruits. The study treeline showed profuse pine recruitment in the 1980s. These recruits were spatially aggregated and reached the 50% probability of reproduction at 24 years old. Most Pyrenean Mountain pines were recruited in the first half of the 18th century, a warm period when growth was stable, while old treeline trees recruited not only in those decades but also in previous warm periods. Pine deaths concentrated in the cool transition between the mid 17th and the early 18th centuries and mainly from 1820 to 1860, when growth declined as a consequence of temperatures rapidly dropping at the end of the Little Ice Age. Only the amount of dead pines at the treeline was negatively related to temperatures, indicating that cool periods cause high adult mortality rates and trigger long-term treeline decline. But this decline was interrupted by intense regeneration and treeline encroachment, two features that characterize recent treeline dynamics in some mountains. This concurs with the view of a rapid response of alpine treelines to climate during the late 20th century.</t>
  </si>
  <si>
    <t>[Julio Camarero, J.; Maria Garcia-Ruiz, Jose; Sanguesa-Barreda, Gabriel; Sanjuan, Yasmina] CSIC, IPE, E-50059 Zaragoza, Spain; [Galvan, Juan Diego] Swiss Fed Res Inst WSL, CH-8903 Birmensdorf, Switzerland; [Alla, Arben Q.] Univ Bujqesor Tiranes, Fak Shkencave Pyjore, Tirana, Albania; [Begueria, Santiago] CSIC, EEAD, E-50059 Zaragoza, Spain; [Gutierrez, Emilia] Univ Barcelona, Fac Biol, Dept Ecol, E-08028 Barcelona, Spain</t>
  </si>
  <si>
    <t>Consejo Superior de Investigaciones Cientificas (CSIC); CSIC - Instituto Pirenaico de Ecologia (IPE); Swiss Federal Institutes of Technology Domain; Swiss Federal Institute for Forest, Snow &amp; Landscape Research; Consejo Superior de Investigaciones Cientificas (CSIC); CSIC - Estacion Experimental de Aula Dei (EEAD); University of Barcelona</t>
  </si>
  <si>
    <t>Camarero, JJ (corresponding author), CSIC, IPE, Ave Montanana 1005, E-50059 Zaragoza, Spain.</t>
  </si>
  <si>
    <t>jjcamarero@ipe.csic.es</t>
  </si>
  <si>
    <t>Camarero, J. Julio/A-8602-2013; Gutierrez, Emilia/O-7568-2014; García-Ruiz, José M./D-4535-2012; Sangüesa-Barreda, Gabriel/ABE-4520-2020; Alla, Arben Q./KFR-3309-2024; Beguería, Santiago/A-7269-2010</t>
  </si>
  <si>
    <t>Camarero, J. Julio/0000-0003-2436-2922; Gutierrez, Emilia/0000-0002-6085-5700; García-Ruiz, José M./0000-0002-8535-817X; Sangüesa-Barreda, Gabriel/0000-0002-7722-2424; Alla, Arben Q./0000-0002-6937-2940</t>
  </si>
  <si>
    <t>Spanish Ministry of Economy and Competitiveness [AMB95-0160, CGL2011-26654]; Spanish Ministry of Agriculture and Environment, Organismo Autonomo Parques Nacionales, Spain [387/2011, 1032S/2013]; European Union-European Cooperation in Science and Technology (EU-COST) Action Enhancing the resilience capacity of SENSitive mountain FORest ecosystems under environmental change (SENSFOR) [ES1203]</t>
  </si>
  <si>
    <t>Spanish Ministry of Economy and Competitiveness(Spanish Government); Spanish Ministry of Agriculture and Environment, Organismo Autonomo Parques Nacionales, Spain; European Union-European Cooperation in Science and Technology (EU-COST) Action Enhancing the resilience capacity of SENSitive mountain FORest ecosystems under environmental change (SENSFOR)</t>
  </si>
  <si>
    <t>This study was supported by projects AMB95-0160 and CGL2011-26654 (Spanish Ministry of Economy and Competitiveness) and 387/2011 and 1032S/2013 (Spanish Ministry of Agriculture and Environment, Organismo Autonomo Parques Nacionales, Spain). We also are thankful for the support provided by European Union-European Cooperation in Science and Technology (EU-COST) Action Enhancing the resilience capacity of SENSitive mountain FORest ecosystems under environmental change (SENSFOR, ES1203).</t>
  </si>
  <si>
    <t>10.1657/AAAR0015-001</t>
  </si>
  <si>
    <t>WOS:000363863300014</t>
  </si>
  <si>
    <t>Zvyagintsev, AM; Vargin, PN; Peshin, S</t>
  </si>
  <si>
    <t>Zvyagintsev, A. M.; Vargin, P. N.; Peshin, S.</t>
  </si>
  <si>
    <t>Total Ozone Variations and Trends during the Period 1979-2014</t>
  </si>
  <si>
    <t>ATMOSPHERIC AND OCEANIC OPTICS</t>
  </si>
  <si>
    <t>total ozone content; ozone layer changes; ozone trend; stratospheric circulation; multiple regression</t>
  </si>
  <si>
    <t>REGRESSION-ANALYSIS; ATMOSPHERIC DYNAMICS; STATISTICAL-ANALYSIS; STRATOSPHERIC OZONE; SATELLITE DATA; DATA SETS; MIDLATITUDES; CHEMISTRY</t>
  </si>
  <si>
    <t>Variations and trends in the total ozone (TO) content over the period 1979-2014 are studied using monthly mean data from ERA-Interim reanalysis database in different latitudinal belts and TOMS/SBUV/OMI satellite data. We estimated how TO variations, averaged over different latitudinal belts and globally, are modulated by Arctic and Antarctic oscillations, quasi-biennial oscillations of zonal wind in the equatorial stratosphere, El Nino - Southern Oscillation, zonal average meridional heat flux in the lower stratosphere, solar activity (SA), stratospheric content of ozone-depleting substances (ODS), and volcanic aerosol particles. Variations in global TO can be described well using regression dependence on ODS and SA; and certain of the above-mentioned factors should be additionally taken into consideration for a more accurate quantitative description of TO time behavior in certain latitudinal belts.</t>
  </si>
  <si>
    <t>[Zvyagintsev, A. M.; Vargin, P. N.] Cent Aerol Observ, Ul Pervomayskaya 3, Dolgoprudnyi 141700, Moscow Region, Russia; [Peshin, S.] Indian Meteorol Dept, Environm Monitoring Res Ctr, New Delhi 110003, India</t>
  </si>
  <si>
    <t>Ministry of Earth Sciences (MoES) - India; India Meteorological Department (IMD)</t>
  </si>
  <si>
    <t>Zvyagintsev, AM (corresponding author), Cent Aerol Observ, Ul Pervomayskaya 3, Dolgoprudnyi 141700, Moscow Region, Russia.</t>
  </si>
  <si>
    <t>zvyagintsev45@yandex.ru; p_vargin@mail.ru; sk.peshin@imd.gov.in</t>
  </si>
  <si>
    <t>Vargin, Pavel N./R-1154-2018</t>
  </si>
  <si>
    <t>1024-8560</t>
  </si>
  <si>
    <t>2070-0393</t>
  </si>
  <si>
    <t>ATMOS OCEAN OPT</t>
  </si>
  <si>
    <t>Atmos. Ocean. Opt.</t>
  </si>
  <si>
    <t>10.1134/S1024856015060196</t>
  </si>
  <si>
    <t>VC1HV</t>
  </si>
  <si>
    <t>WOS:000428980300014</t>
  </si>
  <si>
    <t>Grotti, M; Soggia, F; Ardini, F; Magi, E; Becagli, S; Traversi, R; Udisti, R</t>
  </si>
  <si>
    <t>Grotti, Marco; Soggia, Francesco; Ardini, Francisco; Magi, Emanuele; Becagli, Silvia; Traversi, Rita; Udisti, Roberto</t>
  </si>
  <si>
    <t>Year-round record of dissolved and particulate metals in surface snow at Dome Concordia (East Antarctica)</t>
  </si>
  <si>
    <t>CHEMOSPHERE</t>
  </si>
  <si>
    <t>Antarctica; Trace elements; Partitioning; Particulate matter; Surface snow; Source assessment</t>
  </si>
  <si>
    <t>PLASMA-MASS SPECTROMETRY; TRACE-ELEMENTS; HEAVY-METALS; CHEMICAL-COMPOSITION; COATS LAND; ICE; DEPOSITION; GREENLAND; AEROSOL; ATMOSPHERE</t>
  </si>
  <si>
    <t>From January to December 2010, surface snow samples were collected with monthly resolution at the Concordia station (75 degrees 06'S, 123 degrees 20'E), on the Antarctic plateau, and analysed for major and trace elements in both dissolved and particulate (i.e. insoluble particles, &gt;0.45 pm) phase. Additional surface snow samples were collected with daily resolution, for the determination of sea-salt sodium and not-sea-salt calcium, in order to support the discussion on the seasonal variations of trace elements. Concentrations of alkaline and alkaline-earth elements were higher in winter (April-October) than in summer (November-March) by a factor of 1.2-3.3, in agreement with the higher concentration of sea-salt atmospheric particles reaching the Antarctic plateau during the winter. Similarly, trace elements were generally higher in winter by a factor of 1.2-1.5, whereas Al and Fe did not show any significant seasonal trend. Partitioning between dissolved and particulate phases did not change with the sampling period, but it depended only on the element: alkaline and alkaline-earth elements, as well as Co, Cu, Mn, Pb and Zn were for the most part (&gt;80%) in the dissolved phase, whereas Al and Fe were mainly associated with the particulate phase (&gt;80%) and Cd, Cr, V were nearly equally distributed between the phases. Finally, the estimated marine and crustal enrichment factors indicated that Cd, Cr, Cu, Pb and Zn have a dominant anthropogenic origin, with a possible contribution from the Concordia station activities. (C) 2014 Elsevier Ltd. All rights reserved.</t>
  </si>
  <si>
    <t>[Grotti, Marco; Soggia, Francesco; Ardini, Francisco; Magi, Emanuele] Univ Genoa, Dept Chem &amp; Ind Chem, I-16146 Genoa, Italy; [Becagli, Silvia; Traversi, Rita; Udisti, Roberto] Univ Florence, Dept Chem Ugo Schd, I-50019 Sesto Fiorentino, FI, Italy</t>
  </si>
  <si>
    <t>University of Genoa; University of Florence</t>
  </si>
  <si>
    <t>Grotti, M (corresponding author), Univ Genoa, Dept Chem &amp; Ind Chem, Via Dodecaneso 31, I-16146 Genoa, Italy.</t>
  </si>
  <si>
    <t>grotti@unige.it</t>
  </si>
  <si>
    <t>Becagli, Silvia/GNW-2665-2022; Udisti, Roberto/M-7966-2015; Magi, Emanuele/C-9564-2011; Grotti, Marco/HGU-3949-2022; Ardini, Francisco/Q-1965-2017; Traversi, Rita/M-7586-2015</t>
  </si>
  <si>
    <t>Udisti, Roberto/0000-0003-4440-8238; Magi, Emanuele/0000-0002-8183-5020; Grotti, Marco/0000-0001-6956-5761; Ardini, Francisco/0000-0003-0094-9227; Traversi, Rita/0000-0002-9790-2195; Becagli, Silvia/0000-0003-3633-4849</t>
  </si>
  <si>
    <t>Italian National Program for Research in Antarctica</t>
  </si>
  <si>
    <t>Italian National Program for Research in Antarctica(Ministry of Education, Universities and Research (MIUR))</t>
  </si>
  <si>
    <t>This study was financially supported by the Italian National Program for Research in Antarctica.</t>
  </si>
  <si>
    <t>0045-6535</t>
  </si>
  <si>
    <t>1879-1298</t>
  </si>
  <si>
    <t>Chemosphere</t>
  </si>
  <si>
    <t>10.1016/j.chemosphere.2014.10.094</t>
  </si>
  <si>
    <t>CS0SP</t>
  </si>
  <si>
    <t>WOS:000361772800120</t>
  </si>
  <si>
    <t>Wang, YT; Hou, SG; Sun, WJ; Lenaerts, JTM; van den Broeke, MR; van Wessem, JM</t>
  </si>
  <si>
    <t>Wang, Yetang; Hou, Shugui; Sun, Weijun; Lenaerts, Jan T. M.; van den Broeke, Michiel R.; van Wessem, J. M.</t>
  </si>
  <si>
    <t>Recent surface mass balance from Syowa Station to Dome F, East Antarctica: comparison of field observations, atmospheric reanalyses, and a regional atmospheric climate model</t>
  </si>
  <si>
    <t>Surface mass balance; Antarctica; Spatial variability; Temporal variability; Model assessment</t>
  </si>
  <si>
    <t>DRONNING MAUD-LAND; SNOW ACCUMULATION; SPATIAL VARIABILITY; TEMPORAL VARIABILITY; ICE-CORE; FUJI; PRECIPITATION; SUBLIMATION; DENSITY; ROUTE</t>
  </si>
  <si>
    <t>Stake measurements at 2 km intervals are used to determine the spatial and temporal surface mass balance (SMB) in recent decades along the Japanese Antarctic Research Expedition traverse route from Syowa Station to Dome F. To determine SMB variability at regional scales, this traverse route is divided into four regions, i.e., coastal, lower katabatic, upper katabatic and inland plateau. We also perform a regional evaluation of large scale SMB simulated by the regional atmospheric climate model versions 2.1 and 2.3 (RACMO2.1 and RACMO2.3), and the four more recent global reanalyses. Large-scale spatial variability in the multi-year averaged SMB reveals robust relationships with continentality and surface elevation. In the katabatic regions, SMB variability is also highly associated with surface slope, which in turn is affected by bedrock topography. Stake observation records show large inter-annual variability in SMB, but did not indicate any significant trends over both the last 40 years for the coastal and lower katabatic regions, and the last 20 years record for the upper katabatic and inland plateau regions. The four reanalyses and the regional climate model reproduce the macro-scale spatial pattern well for the multi-year averaged SMB, but fail to capture the mesoscale SMB increase at the distance interval similar to 300 to similar to 400 km from Syowa station. Thanks to the updated scheme in the cloud microphysics, RACMO2.3 shows the best spatial agreement with stake measurements over the inland plateau region. ERA-interim, JRA-55 and MERRA exhibit high agreement with the inter-annual variability of observed SMB in the coastal, upper katabatic and inland plateau regions, and moderate agreement in the lower katabatic region, while NCEP2 and RACMO2.1 inter-annual variability shows no significant correlation with the observations for the inland plateau region.</t>
  </si>
  <si>
    <t>[Wang, Yetang; Sun, Weijun] Shandong Normal Univ, Coll Populat Resources &amp; Environm, Jinan 250014, Peoples R China; [Wang, Yetang] Shandong Marine Resource &amp; Environm Res Inst, Yantai 264006, Peoples R China; [Hou, Shugui] Nanjing Univ, Key Lab Coast &amp; Isl Dev, Sch Geog &amp; Oceanog Sci, MOE, Nanjing 210093, Jiangsu, Peoples R China; [Lenaerts, Jan T. M.; van den Broeke, Michiel R.; van Wessem, J. M.] Univ Utrecht, Inst Marine &amp; Atmospher Res Utrecht, Utrecht, Netherlands</t>
  </si>
  <si>
    <t>Shandong Normal University; Nanjing University; Utrecht University</t>
  </si>
  <si>
    <t>Wang, YT (corresponding author), Shandong Normal Univ, Coll Populat Resources &amp; Environm, Jinan 250014, Peoples R China.</t>
  </si>
  <si>
    <t>wangyetang@163.com</t>
  </si>
  <si>
    <t>sun, weijun/GZB-2595-2022; Van den Broeke, Michiel R./F-7867-2011; van Wessem, Melchior/AAB-1987-2019; Lenaerts, Jan/D-9423-2012</t>
  </si>
  <si>
    <t>Van den Broeke, Michiel R./0000-0003-4662-7565; Lenaerts, Jan/0000-0003-4309-4011; van Wessem, Melchior/0000-0003-3221-791X; Hou, Shugui/0000-0002-0905-3542</t>
  </si>
  <si>
    <t>National Key Basic Research Program of China [2013CBA01804]; Natural Science Foundation of China [41206175, 41171052]; State Key Laboratory of Cryospheric Science, Cold and Arid Regions Environmental and Engineering Research Institute, CAS [SKLCS-2012-08, SKLCS-OP-2013-01]; State Oceanic Administration [CHINARE2012-02-02]; Ministry of Education [20110091110025, 1082020904]; China Postdoctoral Science Foundation [2014M551952]</t>
  </si>
  <si>
    <t>National Key Basic Research Program of China(National Basic Research Program of China); Natural Science Foundation of China(National Natural Science Foundation of China (NSFC)); State Key Laboratory of Cryospheric Science, Cold and Arid Regions Environmental and Engineering Research Institute, CAS; State Oceanic Administration; Ministry of Education; China Postdoctoral Science Foundation(China Postdoctoral Science Foundation)</t>
  </si>
  <si>
    <t>We would like to thank National Institute of Polar Research for providing net accumulation data, Shin Sugiyama for providing snow density data, Roger J. Braithwaite and Shuangye Wu for improving the language of the paper, and two reviewers for their helpful comments and advices. The project was funded by National Key Basic Research Program of China (2013CBA01804), the Natural Science Foundation of China (41206175, 41171052), State Key Laboratory of Cryospheric Science, Cold and Arid Regions Environmental and Engineering Research Institute, CAS (SKLCS-2012-08 and SKLCS-OP-2013-01), the State Oceanic Administration (CHINARE2012-02-02), the Ministry of Education (20110091110025 and 1082020904), and China Postdoctoral Science Foundation (2014M551952).</t>
  </si>
  <si>
    <t>9-10</t>
  </si>
  <si>
    <t>10.1007/s00382-015-2512-6</t>
  </si>
  <si>
    <t>CV0PE</t>
  </si>
  <si>
    <t>WOS:000363952100036</t>
  </si>
  <si>
    <t>Alvarez, LMM; Lo Balbo, A; Cormack, WP; Ruberto, LAM</t>
  </si>
  <si>
    <t>Alvarez, L. M. Martinez; Lo Balbo, A.; Cormack, W. P. Mac; Ruberto, L. A. M.</t>
  </si>
  <si>
    <t>Bioremediation of a petroleum hydrocarbon-contaminated Antarctic soil: Optimization of a biostimulation strategy using response-surface methodology (RSM)</t>
  </si>
  <si>
    <t>Hydrocarbon-contaminated soil; Biostimulation; Response-surface methodology; Antarctica</t>
  </si>
  <si>
    <t>MICROBIAL COMMUNITY; DIESEL OIL; N-ALKANES; BIODEGRADATION; TEMPERATURE; BIOAUGMENTATION; NITROGEN; SYSTEM; WATER</t>
  </si>
  <si>
    <t>Bioremediation is a biotechnological approach to clean up contaminated soils. Among bioremediation strategies, biostimulation is a simple method which involves the modification of the soil physicochemical conditions in order to enhance the biological degradation of contaminants. One of the most common ways to do this is by the addition of macronutrients, mainly Nitrogen (N) and Phosphorus (P). Optimization of the amounts of N and P for a soil biostimulation strategy represents a key step prior to its application to a full-scale process. In this work, the response-surface methodology (RSM) was applied to optimize a biostimulation process for a hydrocarbon-contaminated Antarctic soil, considering a Carbon:Nitrogen:Phosporus (C:N:P) ratio of 100:10:1 as a reference. A faced-centered central composite design was used to determine the levels of the variables that lead to the optimum response values. Flasks containing contaminated soil and receiving different N and P amounts were incubated at 15 degrees C for 80 days. Biological activity and hydrocarbon concentration were evaluated. Results predicted that for the soil used in this experiment, the addition of 0.183 g N/kg and 0.0179 g P/kg leads to the highest hydrocarbon removal efficiency. The resulting C:N:P ratio (100:17.6:1.73) was different from that taken as reference (100:10:1), highlighting the usefulness of such an optimization. The hydrocarbon concentration decreased from 1042 (+/- 73) mg kg(-1) to 470 (+/- 37) mg kg(-1) in the most efficient combination tested. (C) 2015 Elsevier B.V. All rights reserved.</t>
  </si>
  <si>
    <t>[Alvarez, L. M. Martinez; Cormack, W. P. Mac; Ruberto, L. A. M.] CABA, Inst Antartico Argentino, Buenos Aires, DF, Argentina; [Lo Balbo, A.] Univ Buenos Aires, CABA, Fac Farm &amp; Bioquim, RA-1053 Buenos Aires, DF, Argentina; [Alvarez, L. M. Martinez; Cormack, W. P. Mac; Ruberto, L. A. M.] Univ Buenos Aires, CABA, Inst Nanobiotecnol Conicet, RA-1053 Buenos Aires, DF, Argentina</t>
  </si>
  <si>
    <t>Instituto Antartico Argentino; University of Buenos Aires; University of Buenos Aires</t>
  </si>
  <si>
    <t>Ruberto, LAM (corresponding author), CABA, Inst Antartico Argentino, Balcarce 290,3er Piso,C1064AAF, Buenos Aires, DF, Argentina.</t>
  </si>
  <si>
    <t>Iruberto@ffyb.uba.ar</t>
  </si>
  <si>
    <t>Mac Cormack, Walter/0000-0002-5280-5463; Martinez Alvarez, Lucas/0000-0002-9418-7501; Ruberto, Lucas Adolfo Mauro/0000-0001-5604-772X</t>
  </si>
  <si>
    <t>Agencia Nacional de Promocion Cientifica y Tecnologica (ANPCyT) [PICTO 2010-0124]; Universidad de Buenos Aires [UBA 20020100100378]; European Commission through the Marie Curie Action IRSES, IMCONet (Interdisciplinary Modeling of climate change in coastal Western Antarctica-Network for staff Exchange and Training) [318718]</t>
  </si>
  <si>
    <t>Agencia Nacional de Promocion Cientifica y Tecnologica (ANPCyT)(ANPCyTSpanish Government); Universidad de Buenos Aires(University of Buenos Aires); European Commission through the Marie Curie Action IRSES, IMCONet (Interdisciplinary Modeling of climate change in coastal Western Antarctica-Network for staff Exchange and Training)</t>
  </si>
  <si>
    <t>This research was carried out under an agreement between the Instituto Antartico Argentino and the Facultad de Farmacia y Bioquimica of the Universidad de Buenos Aires, Argentina. This work was supported by grants PICTO 2010-0124 from the Agencia Nacional de Promocion Cientifica y Tecnologica (ANPCyT) and UBA 20020100100378 from Universidad de Buenos Aires. We also had financial support from the European Commission through the Marie Curie Action IRSES, project no 318718, IMCONet (Interdisciplinary Modeling of climate change in coastal Western Antarctica-Network for staff Exchange and Training).</t>
  </si>
  <si>
    <t>10.1016/j.coldregions.2015.07.005</t>
  </si>
  <si>
    <t>CS9AQ</t>
  </si>
  <si>
    <t>WOS:000362381900006</t>
  </si>
  <si>
    <t>Zhang, HB; Johnson, SB; Flores, VR; Vrijenhoek, RC</t>
  </si>
  <si>
    <t>Zhang, Haibin; Johnson, Shannon B.; Flores, Vanessa R.; Vrijenhoek, Robert C.</t>
  </si>
  <si>
    <t>Intergradation between discrete lineages of Tevnia jerichonana, a deep-sea hydrothermal vent tubeworm</t>
  </si>
  <si>
    <t>Intergrade zone; Tevnia jerichonana; Annelida; Polychaeta; Siboglinidae; Hydrothermal vent</t>
  </si>
  <si>
    <t>EAST PACIFIC RISE; GENETIC DIVERSITY; HYBRID ZONE; RIFTIA-PACHYPTILA; ADAPTATION; DIFFERENTIATION; PHYLOGEOGRAPHY; BATHYMODIOLUS; MYTILIDAE; INFERENCE</t>
  </si>
  <si>
    <t>We describe a broad zone of intergradation between genetically differentiated, northern and southern lineages of the hydrothermal vent tubeworm, Tevnia jerichonana. DNA sequences from four genes, nuclear HSP and ATPs alpha and mitochondrial COI and Cytb were examined in samples from eastern Pacific vent localities between 13 degrees N and 38 degrees S latitude. Allelic frequencies at these loci exhibited concordant latitudinal dines, and genetic differentiation (pairwise Phi(ST)'s) increased with geographical distances between sample localities. Though this pattern of differentiation suggested isolation-by-distance (IBD), it appeared to result from hierarchical population structure. Genotypic assignment tests identified two population clusters comprised of samples from the northern East Pacific Rise (NEPR: 9-13 degrees N) and an extension of the Pacific-Antarctic Ridge (PAR: 31-32 degrees S) with a zone of intergradation along the southern East Pacific Rise (SEPR: 7-17 degrees S). The overall degrees of DNA sequence divergence between the NEPR and PAR populations were slight and not indicative of lengthy isolation. Bayesian assignment methods suggested that the SEPR populations constitute intergrades that connect the NEPR and PAR populations. Though it typically is difficult to distinguish between primary and secondary intergradation, our results were consistent with parallel studies of vent-restricted species that suggest a high degree of demographic instability along the superfast-spreading SEPR axis. Frequent local extinctions and immigration from NEPR and PAR refugia probably shaped the observed pattern of intergradation. (C) 2015 Elsevier Ltd. All rights reserved.</t>
  </si>
  <si>
    <t>[Zhang, Haibin; Johnson, Shannon B.; Flores, Vanessa R.; Vrijenhoek, Robert C.] Monterey Bay Aquarium Res Inst, Moss Landing, CA USA</t>
  </si>
  <si>
    <t>Monterey Bay Aquarium Research Institute</t>
  </si>
  <si>
    <t>Zhang, HB (corresponding author), Chinese Acad Sci, Sanya Inst Deep Sea Sci &amp; Engn, Sanya 572000, Peoples R China.</t>
  </si>
  <si>
    <t>hzhang@sidsse.ac.cn</t>
  </si>
  <si>
    <t>NSF, USA [OCE8917311, OCE9212771, OCE9302205, OCE9633131, OCE9910799, OCE0241613]; Monterey Bay Aquarium Research Institute [901026]; David and Lucile Packard Foundation</t>
  </si>
  <si>
    <t>NSF, USA(National Science Foundation (NSF)); Monterey Bay Aquarium Research Institute; David and Lucile Packard Foundation(The David &amp; Lucile Packard Foundation)</t>
  </si>
  <si>
    <t>We thank the captains and crews of the R/V Atlantis and the pilots of the DSV Alvin for their expert help. Corinna Breusing and two anonymous reviewers provided helpful comments on the manuscript. NSF, USA, Grants OCE8917311, OCE9212771, OCE9302205, OCE9633131, OCE9910799 and OCE0241613 to RCV funded oceanographic expeditions conducted between 1989 and 2005. HZ was supported by Monterey Bay Aquarium Research Institute (Project No. 901026) with a post-doctoral fellowship funded by The David and Lucile Packard Foundation.</t>
  </si>
  <si>
    <t>10.1016/j.dsr2.2015.04.028</t>
  </si>
  <si>
    <t>CX0IG</t>
  </si>
  <si>
    <t>WOS:000365379500007</t>
  </si>
  <si>
    <t>Ratcliffe, N; Hill, SL; Staniland, IJ; Brown, R; Adlard, S; Horswill, C; Trathan, PN</t>
  </si>
  <si>
    <t>Ratcliffe, Norman; Hill, Simeon L.; Staniland, Iain J.; Brown, Ruth; Adlard, Stacey; Horswill, Catharine; Trathan, Philip N.</t>
  </si>
  <si>
    <t>Do krill fisheries compete with macaroni penguins? Spatial overlap in prey consumption and catches during winter</t>
  </si>
  <si>
    <t>DIVERSITY AND DISTRIBUTIONS</t>
  </si>
  <si>
    <t>Antarctic krill; bioenergetics model; competition; ecosystem fisheries management; geolocation; penguin; spatio-temporal overlap</t>
  </si>
  <si>
    <t>SCALE MANAGEMENT UNITS; ANTARCTIC KRILL; SOUTH GEORGIA; EUDYPTES-CHRYSOLOPHUS; EUPHAUSIA-SUPERBA; FOOD-CONSUMPTION; SAND LANCE; FUR SEALS; ECOSYSTEM; SEABIRDS</t>
  </si>
  <si>
    <t>Aim To infer the potential for competition between an important Antarctic predator, the macaroni penguin, and the krill fishery by examining the spatial overlap in prey consumption and catches. Location Scotia Sea and adjacent waters. Methods The study focused on the winter period as this is the only time of the year when spatio-temporal overlaps between macaroni penguin foraging and the krill fishery can occur. We tracked adult macaroni penguins from a colony in South Georgia using global location sensors to determine winter distribution, and bioenergetics models to calculate the biomass of food consumed during the winter period. We combined these to produce a surface of the tonnes of krill consumed, which could be compared directly with the spatial distribution of the tonnes of krill caught by the fishery. Results Adult macaroni penguins from South Georgia consumed 135,826 tonnes of krill (95% CIs: 83,446-188,140) during the winter, which is similar to the 98,431 tonnes caught by fisheries over the same period. However, macaroni penguins had a very wide pelagic distribution across the Scotia Sea, whereas the fishery was restricted to three small areas on shelf edges, such that their spatial overlap was negligible. The proportion of the estimated krill stock taken by macaroni penguins and the krill fishery was small at both the scale of the Scotia Sea and the local areas within which the fisheries operate. Main conclusions Competition between macaroni penguins and the krill fishery is low under current management and far less than that among the various species of krill predators that occur in the Scotia Sea. Our method will allow quantification of changes in competition between macaroni penguins and krill fisheries should the latter expand in the future, and provides a framework for assessing predator-fishery competition in other systems.</t>
  </si>
  <si>
    <t>[Ratcliffe, Norman; Hill, Simeon L.; Staniland, Iain J.; Brown, Ruth; Adlard, Stacey; Horswill, Catharine; Trathan, Philip N.] British Antarctic Survey, Cambridge CB3 0ET, England</t>
  </si>
  <si>
    <t>Ratcliffe, N (corresponding author), British Antarctic Survey, High Cross,Madingley Rd, Cambridge CB3 0ET, England.</t>
  </si>
  <si>
    <t>notc@bas.ac.uk</t>
  </si>
  <si>
    <t>Simeon, Hill L/B-2307-2008; Staniland, Iain/I-4725-2012</t>
  </si>
  <si>
    <t>Staniland, Iain/0000-0003-2736-9134; Horswill, Cat/0000-0002-1795-0753</t>
  </si>
  <si>
    <t>Natural Environment Research Council; EU BEST; NERC [bas0100035] Funding Source: UKRI; Natural Environment Research Council [bas0100035] Funding Source: researchfish</t>
  </si>
  <si>
    <t>Natural Environment Research Council(UK Research &amp; Innovation (UKRI)Natural Environment Research Council (NERC)); EU BEST;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</si>
  <si>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Natural Environment Research Council and a grant from EU BEST. Permission for the fieldwork was granted by GSGSSI. Animal welfare was overseen by the British Antarctic Survey Animal Ethics Committee. Jen Lawson and Jon Ashburner assisted with the fieldwork. Mike Sumner provided valuable advice on the use of tripEstimation. We thank Hugh Venables for sourcing the sea surface height data and David Ramm, the CCAMLR Secretariat and the fishermen for granting access to the krill fishery data.</t>
  </si>
  <si>
    <t>1366-9516</t>
  </si>
  <si>
    <t>1472-4642</t>
  </si>
  <si>
    <t>DIVERS DISTRIB</t>
  </si>
  <si>
    <t>Divers. Distrib.</t>
  </si>
  <si>
    <t>10.1111/ddi.12366</t>
  </si>
  <si>
    <t>CT4RY</t>
  </si>
  <si>
    <t>WOS:000362795700007</t>
  </si>
  <si>
    <t>Darvill, CM; Bentley, MJ; Stokes, CR; Hein, AS; Rodés, A</t>
  </si>
  <si>
    <t>Darvill, Christopher M.; Bentley, Michael J.; Stokes, Chris R.; Hein, Andrew S.; Rodes, Angel</t>
  </si>
  <si>
    <t>Extensive MIS 3 glaciation in southernmost Patagonia revealed by cosmogenic nuclide dating of outwash sediments</t>
  </si>
  <si>
    <t>Patagonia; cosmogenic nuclide dating; depth profile; Last Glacial Cycle; MIS 3</t>
  </si>
  <si>
    <t>BE-10 PRODUCTION-RATE; SOUTH-AMERICA; BAHIA INUTIL; LAST GLACIATION; CENTRAL STRAIT; CHRONOLOGY; MAXIMUM; MAGELLAN; ALPS; GEOMORPHOLOGY</t>
  </si>
  <si>
    <t>The timing and extent of former glacial advances can demonstrate leads and lags during periods of climatic change and their forcing, but this requires robust glacial chronologies. In parts of southernmost Patagonia, dating pre-global Last Glacial Maximum (gLGM) ice limits has proven difficult due to post-deposition processes affecting the build-up of cosmogenic nuclides in moraine boulders. Here we provide ages for the Rio Cullen and San Sebastian glacial limits of the former Bahia Inutil-San Sebastian (BI-SSb) ice lobe on Tierra del Fuego (53-54 degrees S), previously hypothesised to represent advances during Marine Isotope Stages (MIS) 12 and 10, respectively. Our approach uses cosmogenic Be-10 and Al-26 exposure dating, but targets glacial outwash associated with these limits and uses depth-profiles and surface cobble samples, thereby accounting for surface deflation and inheritance. The data reveal that the limits formed more recently than previously thought, giving ages of 45.6 ka (+139.9/-14.3) for the Rio Cullen, and 30.1 ka (+45.6/-23.1) for the San Sebastian limits. These dates indicate extensive glaciation in southern Patagonia during MIS 3, prior to the well-constrained, but much less extensive MIS 2 (gLGM) limit. This suggests the pattern of ice advances in the region was different to northern Patagonia, with the terrestrial limits relating to the last glacial cycle, rather than progressively less extensive glaciations over hundreds of thousands of years. However, the dates are consistent with MIS 3 glaciation elsewhere in the southern mid-latitudes, and the combination of cooler summers and warmer winters with increased precipitation, may have caused extensive glaciation prior to the gLGM. (C) 2015 The Authors. Published by Elsevier B.V.</t>
  </si>
  <si>
    <t>[Darvill, Christopher M.; Bentley, Michael J.; Stokes, Chris R.] Univ Durham, Dept Geog, Durham DH1 3LE, England; [Darvill, Christopher M.] British Antarctic Survey, Cambridge CB3 0ET, England; [Hein, Andrew S.] Univ Edinburgh, Sch Geosci, Edinburgh EH8 9XP, Midlothian, Scotland; [Rodes, Angel] Scottish Univ Environm Res Ctr, E Kilbride G75 0QU, Lanark, Scotland</t>
  </si>
  <si>
    <t>Durham University; UK Research &amp; Innovation (UKRI); Natural Environment Research Council (NERC); NERC British Antarctic Survey; University of Edinburgh; Scottish Universities Research &amp; Reactor Center</t>
  </si>
  <si>
    <t>Darvill, CM (corresponding author), British Antarctic Survey, Madingley Rd, Cambridge CB3 0ET, England.</t>
  </si>
  <si>
    <t>christopher.darvill@durham.ac.uk</t>
  </si>
  <si>
    <t>Bentley, Michael J/F-7386-2011; Rodes, Angel/C-9228-2011; Hein, Andrew/JWO-3756-2024; Darvill, Christopher M./M-2672-2013; Stokes, Chris/A-1957-2011</t>
  </si>
  <si>
    <t>Bentley, Michael J/0000-0002-2048-0019; Rodes, Angel/0000-0001-8488-7689; Darvill, Christopher/0000-0001-8175-2658; Hein, Andrew/0000-0003-3397-3813; Stokes, Chris/0000-0003-3355-1573</t>
  </si>
  <si>
    <t>UK NERC [NE/j500215/1]; NERC CIAF grant [9127/1012]; NERC [bas0100030, ciaf010001] Funding Source: UKRI; Natural Environment Research Council [bas0100030, ciaf010001, 1079590] Funding Source: researchfish</t>
  </si>
  <si>
    <t>UK NERC(UK Research &amp; Innovation (UKRI)Natural Environment Research Council (NERC)); NERC CIAF grant; NERC(UK Research &amp; Innovation (UKRI)Natural Environment Research Council (NERC)); Natural Environment Research Council(UK Research &amp; Innovation (UKRI)Natural Environment Research Council (NERC))</t>
  </si>
  <si>
    <t>We are grateful to Mark Hulbert and Paul Lincoln for fieldwork assistance. The research was funded by a UK NERC Ph.D. studentship (NE/j500215/1) awarded to CMD at Durham University. 10Be and 26Al analyses were supported by NERC CIAF grant 9127/1012, and we thank Delia Gheorghiu, Allan Davidson and Sheng Xu for their help at CIAF and SUERC AMS Laboratory. Thanks to Jorge Rabassa, Andrea Coronato, Juan Carlos Aravena and the Cullen Estancia for their assistance. This paper benefited from the comments of two anonymous reviewers, to whom we extend our gratitude.</t>
  </si>
  <si>
    <t>10.1016/j.epsl.2015.07.030</t>
  </si>
  <si>
    <t>CS4QE</t>
  </si>
  <si>
    <t>Green Accepted, hybrid, Green Published</t>
  </si>
  <si>
    <t>WOS:000362060200017</t>
  </si>
  <si>
    <t>Matsuoka, K; Hindmarsh, RCA; Moholdt, G; Bentley, MJ; Pritchard, HD; Brown, J; Conway, H; Drews, R; Durand, G; Goldberg, D; Hattermann, T; Kingslake, J; Lenaerts, JTM; Martín, C; Mulvaney, R; Nicholls, KW; Pattyn, F; Ross, N; Scambos, T; Whitehouse, PL</t>
  </si>
  <si>
    <t>Matsuoka, Kenichi; Hindmarsh, Richard C. A.; Moholdt, Geir; Bentley, Michael J.; Pritchard, Hamish D.; Brown, Joel; Conway, Howard; Drews, Reinhard; Durand, Gael; Goldberg, Daniel; Hattermann, Tore; Kingslake, Jonathan; Lenaerts, Jan T. M.; Martin, Carlos; Mulvaney, Robert; Nicholls, Keith W.; Pattyn, Frank; Ross, Neil; Scambos, Ted; Whitehouse, Pippa L.</t>
  </si>
  <si>
    <t>Antarctic ice rises and rumples: Their properties and significance for ice-sheet dynamics and evolution</t>
  </si>
  <si>
    <t>EARTH-SCIENCE REVIEWS</t>
  </si>
  <si>
    <t>Antarctic Ice Sheet; Holocene deglaciation; Sea-level rise; Pinning point; Ice dome</t>
  </si>
  <si>
    <t>PINE ISLAND GLACIER; DRONNING MAUD LAND; GROUNDING-LINE RETREAT; CIRCUMPOLAR DEEP-WATER; BASAL MELT RATES; WEST ANTARCTICA; SIPLE-DOME; MASS-BALANCE; WEDDELL-SEA; ROSS SEA</t>
  </si>
  <si>
    <t>Locally grounded features in ice shelves, called ice rises and rumples, play a key role buttressing discharge from the Antarctic Ice Sheet and regulating its contribution to sea level. Ice rises typically rise several hundreds of meters above the surrounding ice shelf; shelf flow is diverted around them. On the other hand, shelf ice flows across ice rumples, which typically rise only a few tens of meters above the ice shelf. Ice rises contain rich histories of deglaciation and climate that extend back over timescales ranging from a few millennia to beyond the last glacial maximum. Numerical model results have shown that the buttressing effects of ice rises and rumples are significant, but details of processes and how they evolve remain poorly understood. Fundamental information about the conditions and processes that cause transitions between floating ice shelves, ice rises and ice rumples is needed in order to assess their impact on ice-sheet behavior. Targeted high-resolution observational data are needed to evaluate and improve prognostic numerical models and parameterizations of the effects of small-scale pinning points on grounding-zone dynamics. (C) 2015 The Authors. Published by Elsevier B.V. This is an open access article under the CC BY license</t>
  </si>
  <si>
    <t>[Matsuoka, Kenichi; Moholdt, Geir; Brown, Joel] Norwegian Polar Res Inst, N-9296 Tromso, Norway; [Hindmarsh, Richard C. A.; Pritchard, Hamish D.; Kingslake, Jonathan; Martin, Carlos; Mulvaney, Robert; Nicholls, Keith W.] British Antarctic Survey, Cambridge CB3 0ET, England; [Bentley, Michael J.; Whitehouse, Pippa L.] Univ Durham, Dept Geog, Durham DH1 3LE, England; [Conway, Howard] Univ Washington, Dept Earth &amp; Space Sci, Seattle, WA 98195 USA; [Drews, Reinhard; Pattyn, Frank] Univ Libre Bruxelles, Lab Glaciol, B-1050 Brussels, Belgium; [Durand, Gael] CNRS, LGGE, F-38041 Grenoble, France; [Durand, Gael] Univ Grenoble Alps, LGGE, F-38041 Grenoble, France; [Goldberg, Daniel] Univ Edinburgh, Sch Geosci, Edinburgh EH8 9XP, Midlothian, Scotland; [Hattermann, Tore] Akvaplan Niva AS, N-9296 Tromso, Norway; [Hattermann, Tore] Helmholtz Ctr Polar &amp; Marine Res, Alfred Wegener Inst, Bremerhaven, Germany; [Lenaerts, Jan T. M.] Univ Utrecht, Inst Marine &amp; Atmospher Res, NL-3508 TA Utrecht, Netherlands; [Ross, Neil] Newcastle Univ, Sch Geog Polit &amp; Sociol, Newcastle Upon Tyne NE1 7RU, Tyne &amp; Wear, England; [Scambos, Ted] Univ Colorado, Natl Snow &amp; Ice Data Ctr, Cooperat Inst Res Environm Sci, Boulder, CO 80309 USA</t>
  </si>
  <si>
    <t>Norwegian Polar Institute; UK Research &amp; Innovation (UKRI); Natural Environment Research Council (NERC); NERC British Antarctic Survey; Durham University; University of Washington; University of Washington Seattle; Universite Libre de Bruxelles; Centre National de la Recherche Scientifique (CNRS); Communaute Universite Grenoble Alpes; Universite Grenoble Alpes (UGA); Communaute Universite Grenoble Alpes; Universite Grenoble Alpes (UGA); University of Edinburgh; Akvaplan-niva; Helmholtz Association; Alfred Wegener Institute, Helmholtz Centre for Polar &amp; Marine Research; Utrecht University; Newcastle University - UK; University of Colorado System; University of Colorado Boulder</t>
  </si>
  <si>
    <t>Matsuoka, K (corresponding author), Norwegian Polar Res Inst, N-9296 Tromso, Norway.</t>
  </si>
  <si>
    <t>matsuoka@npolar.no</t>
  </si>
  <si>
    <t>Hindmarsh, Richard/N-1195-2019; Drews, reinhard/AAP-4134-2021; Pritchard, Hamish Daniel/AAU-4696-2021; Mulvaney, Robert/K-3929-2012; Lenaerts, Jan/D-9423-2012; Bentley, Michael J/F-7386-2011; Pattyn, Frank/AAA-9640-2019; Martin, Carlos/S-2778-2018; Matsuoka, Kenichi/B-7298-2017</t>
  </si>
  <si>
    <t>Hindmarsh, Richard/0000-0003-1633-2416; Drews, reinhard/0000-0002-2328-294X; Lenaerts, Jan/0000-0003-4309-4011; Bentley, Michael J/0000-0002-2048-0019; Pattyn, Frank/0000-0003-4805-5636; Brown, Joel/0000-0001-5823-3083; Durand, Gael/0000-0001-8979-2355; Martin, Carlos/0000-0002-2661-169X; Hattermann, Tore/0000-0002-5538-2267; Matsuoka, Kenichi/0000-0002-3587-3405; Whitehouse, Pippa/0000-0002-9092-3444; Conway, Howard/0000-0003-4634-3474; SCAMBOS, Ted A./0000-0003-4268-6322</t>
  </si>
  <si>
    <t>Standing Science Group on Physical Sciences of the Scientific Committee on Antarctic Research (SCAR); World Climate Research Programme's Climate and Cryosphere (CliC) project; Association of Polar Early Career Scientists (APECS); Research Council of Norway's MILUTV-ARENAER program; British Antarctic Survey; NPI's Center for Ice; Climate; Ecosystems; Directorate For Geosciences; Office of Polar Programs (OPP) [1141866] Funding Source: National Science Foundation; Office of Polar Programs (OPP); Directorate For Geosciences [0944307] Funding Source: National Science Foundation; NERC [NE/K003674/1, NE/K003933/1, NE/J008176/1, NE/F014260/1, NE/J008087/1, NE/F01550X/1, bas0100034, NE/J008095/1, NE/F015526/1, NE/F01452X/1] Funding Source: UKRI; Natural Environment Research Council [NE/J008095/1, NE/J008176/1, NE/F014260/1, NE/K003933/1, bas0100034, NE/F01452X/1, NE/J008087/1, NE/F015526/1, NE/K003674/1, NE/F01550X/1] Funding Source: researchfish</t>
  </si>
  <si>
    <t>Standing Science Group on Physical Sciences of the Scientific Committee on Antarctic Research (SCAR); World Climate Research Programme's Climate and Cryosphere (CliC) project; Association of Polar Early Career Scientists (APECS); Research Council of Norway's MILUTV-ARENAER program; British Antarctic Survey; NPI's Center for Ice; Climate; Ecosystems; Directorate For Geosciences; Office of Polar Programs (OPP)(National Science Foundation (NSF)NSF - Directorate for Geosciences (GEO));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</si>
  <si>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This manuscript is an outcome of an International Workshop on Antarctic Ice Rises held at the Norwegian Polar Institute (NPI) in Tromso, 2013. We acknowledge sponsors of this workshop: Standing Science Group on Physical Sciences of the Scientific Committee on Antarctic Research (SCAR), World Climate Research Programme's Climate and Cryosphere (CliC) project, Association of Polar Early Career Scientists (APECS), Research Council of Norway's MILUTV-ARENAER program, British Antarctic Survey, and NPI's Center for Ice, Climate, and Ecosystems. Fig. 2 was constructed by Audun Igesund of NPI and Fig. 7 by Chris Orton of Durham University. Maps in this paper (Figs. 1, 3, 5, 6 and 10) were prepared using Quantarctica (www.quantarctica.org). Workshop outcomes, such as talk slides and video, posters, and short video clips (FrostBytes) introducing poster presentations for non specialists are hosted by CliC and available at http://www.climatecryosphere.org/meetings/past/2013/ice-rises-2013.</t>
  </si>
  <si>
    <t>0012-8252</t>
  </si>
  <si>
    <t>1872-6828</t>
  </si>
  <si>
    <t>EARTH-SCI REV</t>
  </si>
  <si>
    <t>Earth-Sci. Rev.</t>
  </si>
  <si>
    <t>10.1016/j.earscirev.2015.09.004</t>
  </si>
  <si>
    <t>CW2BN</t>
  </si>
  <si>
    <t>hybrid, Green Published, Green Accepted, Green Submitted</t>
  </si>
  <si>
    <t>WOS:000364796200033</t>
  </si>
  <si>
    <t>Jenouvrier, S; Péron, C; Weimerskirch, H</t>
  </si>
  <si>
    <t>Jenouvrier, Stephanie; Peron, Clara; Weimerskirch, Henri</t>
  </si>
  <si>
    <t>Extreme climate events and individual heterogeneity shape life-history traits and population dynamics</t>
  </si>
  <si>
    <t>ECOLOGICAL MONOGRAPHS</t>
  </si>
  <si>
    <t>body condition; foraging behaviors; Fulmarus glacialoides; individual quality; individual stochasticity; life-history trade-offs; sea ice; sensitivities; Southern Fulmar; stochastic population growth; Terre Adelie; East Antarctica</t>
  </si>
  <si>
    <t>LONG-LIVED SEABIRD; ENVIRONMENTAL VARIABILITY; EMPEROR PENGUIN; REPRODUCTIVE-PERFORMANCE; RECAPTURE MODELS; BREEDING SUCCESS; ANTARCTIC KRILL; ADELIE LAND; SELECTION; SURVIVAL</t>
  </si>
  <si>
    <t>Extreme climatic conditions and their ecological impacts are currently emerging as critical features of climate change. We studied extreme sea ice condition (ESIC) and found it impacts both life-history traits and population dynamics of an Antarctic seabird well beyond ordinary variability. The Southern Fulmar (Fulmarus glacialoides) is an ice-dependent seabird, and individuals forage near the ice edge. During an extreme unfavorable year (when sea ice area is reduced and distance between ice edge and colony is high), observed foraging trips were greater in distance and duration. As a result, adults brought less food to their chicks, which fledged in the poorest body condition. During such unfavorable years, breeding success was extremely low and population growth rate () was greatly reduced. The opposite pattern occurred during extreme favorable years. Previous breeding status had a strong influence on life-history traits and population dynamics, and their responses to extreme conditions. Successful breeders had a higher chance of breeding and raising their chick successfully during the following breeding season as compared to other breeding stages, regardless of environmental conditions. Consequently, they coped better with unfavorable ESIC. The effect of change in successful breeder vital rates on was greater than for other stages' vital rates, except for pre-breeder recruitment probabilities, which most affected . For environments characterized by ordinary sea ice conditions, interindividual differences were more likely to persist over the life of individuals and randomness in individual pathways was low, suggesting individual heterogeneity in vital rates arising from innate or acquired phenotypic traits. Additionally, unfavorable ESIC tended to exacerbate individual differences in intrinsic quality, expressed through differences in reproductive status. We discuss the strong effects of ESIC on Southern Fulmar life-history traits in an evolutionary context. ESICs strongly affect fitness components and act as potentially important agents of natural selection of life histories related to intrinsic quality and intermittent breeding. In addition, recruitment is a highly plastic trait that, if heritable, could have a critical role in evolution of life histories. Finally, we find that changes in the frequency of extreme events may strongly impact persistence of Southern Fulmar populations.</t>
  </si>
  <si>
    <t>[Jenouvrier, Stephanie] Woods Hole Oceanog Inst, Biol Dept MS 50, Woods Hole, MA 02543 USA; [Jenouvrier, Stephanie; Weimerskirch, Henri] Univ La Rochelle, UMR CNRS 7372, Ctr Etud Biol Chize, F-79360 Villiers En Bois, France; [Peron, Clara] Univ Tasmania, Inst Marine &amp; Antarctic Studies, Kingston, Tas 7050, Australia; [Peron, Clara] Australian Antarctic Div, Kingston, Tas 7050, Australia</t>
  </si>
  <si>
    <t>Woods Hole Oceanographic Institution; La Rochelle Universite; University of Tasmania; Australian Antarctic Division</t>
  </si>
  <si>
    <t>Jenouvrier, S (corresponding author), Woods Hole Oceanog Inst, Biol Dept MS 50, Woods Hole, MA 02543 USA.</t>
  </si>
  <si>
    <t>sjenouvrier@whoi.edu</t>
  </si>
  <si>
    <t>Weimerskirch, Henri/F-5562-2013; Weimerskirch, Henri/K-7306-2019</t>
  </si>
  <si>
    <t>Weimerskirch, Henri/0000-0002-0457-586X; jenouvrier, stephanie/0000-0003-3324-2383</t>
  </si>
  <si>
    <t>Institute Paul Emile Victor [IPEV 109]; Ocean Life Institute; WHOI Unrestricted funds; NSF [1257545, 1246407]; European Research Council Advanced Grant under the European Community [ERC-2012-ADG_20120314]; Division Of Environmental Biology; Direct For Biological Sciences [1257545] Funding Source: National Science Foundation; Office of Polar Programs (OPP); Directorate For Geosciences [1246407] Funding Source: National Science Foundation</t>
  </si>
  <si>
    <t>Institute Paul Emile Victor; Ocean Life Institute; WHOI Unrestricted funds; NSF(National Science Foundation (NSF)); European Research Council Advanced Grant under the European Community(European Research Council (ERC)); Division Of Environmental Biology; Direct For Biological Sciences(National Science Foundation (NSF)NSF - Directorate for Biological Sciences (BIO)); Office of Polar Programs (OPP); Directorate For Geosciences(National Science Foundation (NSF)NSF - Directorate for Geosciences (GEO))</t>
  </si>
  <si>
    <t>We acknowledge Institute Paul Emile Victor (Programme IPEV 109), and Terres Australes et Antarctiques Francaises for Terre Adelie fulmar data. S. Jenouvrier acknowledges support from Ocean Life Institute and WHOI Unrestricted funds, and NSF projects #1257545 and #1246407. The study is a contribution to the Program EARLYLIFE funded by a European Research Council Advanced Grant under the European Community's Seven Framework Program FP7/2007-2013 (Grant Agreement ERC-2012-ADG_20120314 to Henri Weimerskirch). We acknowledge D. Besson and K. Delord for fulmar data management, D. Pinaud, J. Collet, and L. Guery for preliminary analysis; H. Caswell, C. Barbraud, J. M. Gaillard, and U. Steiner for constructive discussions. We are also immensely grateful to L. Aubry, D. Koons, and E. Moberg for fruitful discussions, their critical comments on the manuscript, and their participation in editing the manuscript. We thank an anonymous reviewer.</t>
  </si>
  <si>
    <t>0012-9615</t>
  </si>
  <si>
    <t>1557-7015</t>
  </si>
  <si>
    <t>ECOL MONOGR</t>
  </si>
  <si>
    <t>Ecol. Monogr.</t>
  </si>
  <si>
    <t>10.1890/14-1834.1</t>
  </si>
  <si>
    <t>CW4LF</t>
  </si>
  <si>
    <t>WOS:000364962200006</t>
  </si>
  <si>
    <t>Guan, HD; He, XG; Zhang, XP</t>
  </si>
  <si>
    <t>Guan, Huade; He, Xinguang; Zhang, Xinping</t>
  </si>
  <si>
    <t>A comprehensive examination of global atmospheric CO2 teleconnections using wavelet-based multi-resolution analysis</t>
  </si>
  <si>
    <t>ENVIRONMENTAL EARTH SCIENCES</t>
  </si>
  <si>
    <t>CO2 concentration; Teleconnection; Climatic oscillation; Wavelet analysis</t>
  </si>
  <si>
    <t>NET PRIMARY PRODUCTION; CARBON-DIOXIDE; INTERANNUAL VARIABILITY; ECOSYSTEMS; LAND; TEMPERATURE; SENSITIVITY; MODULATION; FLUXES; GROWTH</t>
  </si>
  <si>
    <t>Interannual variability of the atmospheric CO2 accumulation is at a similar magnitude of decadal average CO2 accumulation in the atmosphere. Part of observed variability in the atmospheric CO2 can be interpreted by large-scale climate variability. Teleconnection between the atmospheric CO2 anomalous tendency and selected large-scale coupled oceanic and atmospheric oscillations (AO, NAO, PDO, IOD, ENSO and SAM) are examined using wavelet-based multi-resolution analysis. The results indicate that all six oscillation indices appear to be associated with monthly CO2 concentration at most of the 13 examined stations. About 70 % of interannual variability of CO2 anomalous tendency at Mauna Loa and South Pole can be interpreted by the climatic indices. The temperature effects on the CO2 anomalous tendency are overall positive. At the monthly scale, they interpret 14 % variability in CO2 anomalous tendency in 1980-2011. At two high elevation stations (Mauna Loa and South Pole) with large footprints, the teleconnection signal is stronger (interpreting 20 and 25 % variability in monthly CO2 anomalous tendency, respectively). Including global mean monthly air temperature time series, slightly but significantly in the statistical sense, improves the proportion of monthly CO2 anomalous tendency being interpreted at most of the examined stations. The signs (positive vs. negative) in the association between monthly CO2 anomalous tendency and the significant climatic indices appear to reflect physical mechanisms leading to such teleconnections.</t>
  </si>
  <si>
    <t>[Guan, Huade; He, Xinguang; Zhang, Xinping] Hunan Normal Univ, Coll Resource &amp; Environm Sci, Changsha, Hunan, Peoples R China; [Guan, Huade] Flinders Univ S Australia, Sch Environm, Adelaide, SA 5001, Australia; [Guan, Huade] Flinders Univ S Australia, Natl Ctr Groundwater Res &amp; Training, Adelaide, SA 5001, Australia</t>
  </si>
  <si>
    <t>Hunan Normal University; Flinders University South Australia; Flinders University South Australia</t>
  </si>
  <si>
    <t>Guan, HD (corresponding author), Hunan Normal Univ, Coll Resource &amp; Environm Sci, Changsha, Hunan, Peoples R China.</t>
  </si>
  <si>
    <t>huade.guan@flinders.edu.au</t>
  </si>
  <si>
    <t>Guan, Huade/E-9262-2015</t>
  </si>
  <si>
    <t>Guan, Huade/0000-0001-5425-6974</t>
  </si>
  <si>
    <t>Construct Program of Key Discipline in Hunan Province [2012001]; Hunan Bairen Program, China; Flinders University</t>
  </si>
  <si>
    <t>Construct Program of Key Discipline in Hunan Province; Hunan Bairen Program, China; Flinders University</t>
  </si>
  <si>
    <t>National Oceanic and Atmospheric Administration (NOAA) Global Greenhouse Gas Reference Network, and Scripps Institution of Oceanography, USA, provided monthly CO2 concentration data. Climate data were provided by Climate Prediction Centre of NOAA and National Aeronautics and Space Administration, USA, British Antarctic Survey, Japan Agency from Marine-Earth Science and Technology, and University of Washington. The data used in this manuscript can be downloaded from the official websites of these organisations, or provided upon email contact at huade.guan@flinders.edu.au. This study was funded by the Construct Program of Key Discipline in Hunan Province (NO. 2012001), Hunan Bairen Program, China, and Flinders University.</t>
  </si>
  <si>
    <t>1866-6280</t>
  </si>
  <si>
    <t>1866-6299</t>
  </si>
  <si>
    <t>ENVIRON EARTH SCI</t>
  </si>
  <si>
    <t>Environ. Earth Sci.</t>
  </si>
  <si>
    <t>10.1007/s12665-015-4705-z</t>
  </si>
  <si>
    <t>Environmental Sciences; Geosciences, Multidisciplinary; Water Resources</t>
  </si>
  <si>
    <t>Environmental Sciences &amp; Ecology; Geology; Water Resources</t>
  </si>
  <si>
    <t>CT6EA</t>
  </si>
  <si>
    <t>WOS:000362903400021</t>
  </si>
  <si>
    <t>Hodson, A; Brock, B; Pearce, D; Laybourn-Parry, J; Tranter, M</t>
  </si>
  <si>
    <t>Hodson, Andy; Brock, Ben; Pearce, David; Laybourn-Parry, Johanna; Tranter, Martyn</t>
  </si>
  <si>
    <t>Cryospheric ecosystems: a synthesis of snowpack and glacial research</t>
  </si>
  <si>
    <t>ENVIRONMENTAL RESEARCH LETTERS</t>
  </si>
  <si>
    <t>ANTARCTIC ICE-SHEET; ORGANIC-MATTER; ARCTIC GLACIER; MICROBIAL COMMUNITIES; ALPINE GLACIERS; TIEN-SHAN; CARBON; SVALBARD; BIOGEOCHEMISTRY; CRYOCONITE</t>
  </si>
  <si>
    <t>The fourteen letters that contributed to this focus issue on cryospheric ecosytems provide an excellent basis for considering the state of the science following a marked increase in research attention since the new millennium. Research letters from the focus issue provide significant insights into the biogeochemical and biological processes associated with snow, glacier ice and glacial sediments. This has been achieved via a significant, empirical effort that has given particular emphasis to glacier surface habitats. However, far less is known about aerobiology, glacial snow covers, supraglacial lakes and sub-ice sedimentary habitats, whose access for sampling and in-situ monitoring remains a great challenge to scientists. Furthermore, the use of models to explore key fluxes, processes and impacts of a changing glacial cryosphere are conspicuous by their absence. As a result, a range of process investigations and modelling studies are required to address the increasing urgency and uncertainty that is associated with understanding the response of cryospheric ecosystems to global change.</t>
  </si>
  <si>
    <t>[Hodson, Andy] Univ Sheffield, Dept Geog, Sheffield S10 2TN, S Yorkshire, England; [Hodson, Andy] Univ Ctr Svalbard, Arctic Geol, N-9171 Longyearbyen, Norway; [Brock, Ben] Northumbria Univ, Dept Geog, Newcastle Upon Tyne NE1 8ST, Tyne &amp; Wear, England; [Pearce, David] Northumbria Univ, Dept Appl Sci, Newcastle Upon Tyne NE1 8ST, Tyne &amp; Wear, England; [Pearce, David] Univ Ctr Svalbard, Arctic Biol, N-9171 Longyearbyen, Norway; [Laybourn-Parry, Johanna; Tranter, Martyn] Univ Bristol, Sch Geog Sci, Bristol BS8 1S, Avon, England</t>
  </si>
  <si>
    <t>University of Sheffield; University Centre Svalbard (UNIS); Northumbria University; Northumbria University; University Centre Svalbard (UNIS); University of Bristol</t>
  </si>
  <si>
    <t>Hodson, A (corresponding author), Univ Sheffield, Dept Geog, Sheffield S10 2TN, S Yorkshire, England.</t>
  </si>
  <si>
    <t>Brock, Benjamin William/D-9976-2016; Tranter, Martyn/E-3722-2010</t>
  </si>
  <si>
    <t>Brock, Benjamin William/0000-0002-5377-0776; Hodson, Andrew/0000-0002-1255-7987; Tranter, Martyn/0000-0003-2071-3094; Pearce, David/0000-0001-5292-4596</t>
  </si>
  <si>
    <t>NERC [NE/H014446/1] Funding Source: UKRI; Natural Environment Research Council [NE/H014446/1] Funding Source: researchfish</t>
  </si>
  <si>
    <t>1748-9326</t>
  </si>
  <si>
    <t>ENVIRON RES LETT</t>
  </si>
  <si>
    <t>Environ. Res. Lett.</t>
  </si>
  <si>
    <t>10.1088/1748-9326/10/11/110201</t>
  </si>
  <si>
    <t>CZ6ZO</t>
  </si>
  <si>
    <t>WOS:000367249900001</t>
  </si>
  <si>
    <t>Chukov, SN; Abakumov, EV; Tomashunas, VM</t>
  </si>
  <si>
    <t>Chukov, S. N.; Abakumov, E. V.; Tomashunas, V. M.</t>
  </si>
  <si>
    <t>Characterization of humic acids from antarctic soils by nuclear magnetic resonance</t>
  </si>
  <si>
    <t>elemental composition of humic acids; NMR spectra of humic acids; hydrophilicity of humic acids; humus formation</t>
  </si>
  <si>
    <t>WEST ANTARCTICA; ORGANIC-MATTER; TRANSFORMATION; HUMUS</t>
  </si>
  <si>
    <t>The elemental composition and structural features of humic acids (HAs) from Antarctic soils (King George Island, Larsemann Hills, Lindsay Island) have been studied. It has been found that their elemental composition and molecular structure are intermediate between those of the HAs and fulvic acids (FAs) of Eurasian soils (from the average values). The degree of hydrophilicity of the studied HAs is comparable to that of FAs. The low content of aromatic moieties in the HAs is related to the absence or very low proportions of phenyl propane fragments in the sources of humus formation. It has been shown that the HAs from Antarctic soils compose a separate group of humic acids whose specific features are related to hard climatic conditions and specific features of humus formation sources.</t>
  </si>
  <si>
    <t>[Chukov, S. N.; Abakumov, E. V.] St Petersburg State Univ, St Petersburg 199178, Russia; [Tomashunas, V. M.] Arctic &amp; Antarctic Res Inst, St Petersburg 199397, Russia</t>
  </si>
  <si>
    <t>Chukov, SN (corresponding author), St Petersburg State Univ, 16 Liniya VO 29, St Petersburg 199178, Russia.</t>
  </si>
  <si>
    <t>S_Chukov@mail.ru; E_abakumov@mail.ru</t>
  </si>
  <si>
    <t>Abakumov, e_abakumov@mail.ru/ADJ-1297-2022; Abakumov, Evgeny/AAO-8580-2020; Chukov, Serafim/K-9461-2013</t>
  </si>
  <si>
    <t>Abakumov, e_abakumov@mail.ru/0000-0002-5248-9018; Abakumov, Evgeny/0000-0002-5248-9018; Chukov, Serafim/0000-0002-8425-8804</t>
  </si>
  <si>
    <t>Russian Foundation for Basic Research [15-04-06118-a]; Russian Federation [MD-2615.2015.4]</t>
  </si>
  <si>
    <t>Russian Foundation for Basic Research(Russian Foundation for Basic Research (RFBR)Spanish Government); Russian Federation(Russian Federation)</t>
  </si>
  <si>
    <t>This work was supported in part by the Russian Foundation for Basic Research (project no. 15-04-06118-a) and the Grant of the President of the Russian Federation for young doctors in sciences (project no. MD-2615.2015.4).</t>
  </si>
  <si>
    <t>10.1134/S1064229315110046</t>
  </si>
  <si>
    <t>CV4FQ</t>
  </si>
  <si>
    <t>WOS:000364222800004</t>
  </si>
  <si>
    <t>Santiago, IF; Soares, MA; Rosa, CA; Rosa, LH</t>
  </si>
  <si>
    <t>Santiago, Iara F.; Soares, Marco Aurelio; Rosa, Carlos A.; Rosa, Luiz H.</t>
  </si>
  <si>
    <t>Lichensphere: a protected natural microhabitat of the non-lichenised fungal communities living in extreme environments of Antarctica</t>
  </si>
  <si>
    <t>EXTREMOPHILES</t>
  </si>
  <si>
    <t>Antarctica; Ecology; Extremophiles; Fungi; Lichensphere; Symbiosis</t>
  </si>
  <si>
    <t>ENDOPHYTIC FUNGI; DIVERSITY; MACROALGAE; TAXONOMY; ECOLOGY; REGION; NOV.</t>
  </si>
  <si>
    <t>We surveyed the diversity, distribution and ecology of non-lichenised fungal communities associated with the Antarctic lichens Usnea antarctica and Usnea aurantiaco-atra across Antarctica. The phylogenetic study of the 438 fungi isolates identified 74 taxa from 21 genera of Ascomycota, Basidiomycota and Zygomycota. The most abundant taxa were Pseudogymnoascus sp., Thelebolus sp., Antarctomyces psychrotrophicus and Cryptococcus victoriae, which are considered endemic and/or highly adapted to Antarctica. Thirty-five fungi may represent new and/or endemic species. The fungal communities displayed high diversity, richness and dominance indices; however, the similarity among the communities was variable. After discovering rich and diverse fungal communities composed of symbionts, decomposers, parasites and endemic and cold-adapted cosmopolitan taxa, we introduced the term lichensphere. We hypothesised that the lichensphere may represent a protected natural microhabitat with favourable conditions able to help non-lichenised fungi and other Antarctic life forms survive and disperse in the extreme environments of Antarctica.</t>
  </si>
  <si>
    <t>[Santiago, Iara F.; Soares, Marco Aurelio; Rosa, Carlos A.; Rosa, Luiz H.] Univ Fed Minas Gerais, Dept Microbiol, Lab Systemat &amp; Biomol Fungi, BR-31270901 Belo Horizonte, MG, Brazil</t>
  </si>
  <si>
    <t>Universidade Federal de Minas Gerais</t>
  </si>
  <si>
    <t>Rosa, LH (corresponding author), Univ Fed Minas Gerais, Dept Microbiol, Lab Systemat &amp; Biomol Fungi, BR-31270901 Belo Horizonte, MG, Brazil.</t>
  </si>
  <si>
    <t>lhrosa@icb.ufmg.br</t>
  </si>
  <si>
    <t>CNPq PROANTAR [407230/2013-0]; INCT Criosfera</t>
  </si>
  <si>
    <t>CNPq PROANTAR(Conselho Nacional de Desenvolvimento Cientifico e Tecnologico (CNPQ)); INCT Criosfera</t>
  </si>
  <si>
    <t>We acknowledge the financial support from CNPq PROANTAR 407230/2013-0 and INCT Criosfera. We also thank Dr. A. F. Spielmann for the lichen identifications.</t>
  </si>
  <si>
    <t>SPRINGER JAPAN KK</t>
  </si>
  <si>
    <t>SHIROYAMA TRUST TOWER 5F, 4-3-1 TORANOMON, MINATO-KU, TOKYO, 105-6005, JAPAN</t>
  </si>
  <si>
    <t>1431-0651</t>
  </si>
  <si>
    <t>1433-4909</t>
  </si>
  <si>
    <t>Extremophiles</t>
  </si>
  <si>
    <t>10.1007/s00792-015-0781-y</t>
  </si>
  <si>
    <t>CU9NF</t>
  </si>
  <si>
    <t>WOS:000363870500004</t>
  </si>
  <si>
    <t>Lario, LD; Chaud, L; Almeida, MD; Converti, A; Sette, LD; Pessoa, A</t>
  </si>
  <si>
    <t>Lario, Luciana Daniela; Chaud, Luciana; Almeida, Maria das Gracas; Converti, Attilio; Duraes Sette, Lara; Pessoa, Adalberto</t>
  </si>
  <si>
    <t>Production, purification, and characterization of an extracellular acid protease from the marine Antarctic yeast Rhodotorula mucilaginosa L7</t>
  </si>
  <si>
    <t>FUNGAL BIOLOGY</t>
  </si>
  <si>
    <t>Cold-adapted yeast; Enzyme characterization; Extracellular protease</t>
  </si>
  <si>
    <t>PROTEINASE; ENZYMES; PEPTIDASE; STRAIN</t>
  </si>
  <si>
    <t>The production, purification, and characterization of an extracellular protease released by Rhodotorula mucilaginosa L7 were evaluated in this study. This strain was isolated from an Antarctic marine alga and previously selected among others based on the capacity to produce the highest extracellular proteolytic activity in preliminary tests. R. mucilaginosa L7 was grown in Saboraud-dextrose medium at 25 degrees C, and the cell growth, pH of the medium, extracellular protease production and the glucose and protein consumption were determined as a function of time. The protease was then purified, and the effects of pH, temperature, and salt concentration on the catalytic activity and enzyme stability were determined. Enzyme production started at the beginning of the exponential phase of growth and reached a maximum after 48 h, which was accompanied by a decrease in the pH as well as reductions of the protein and glucose concentrations in the medium. The purified protease presented optimal catalytic activity at pH 5.0 and 50 degrees C. Finally, the enzyme was stable in the presence of high concentrations of NaCl. These characteristics are of interest for future studies and may lead to potential biotechnological applications that require enzyme activity and stability under acidic conditions and/or high salt concentrations. (C) 2015 The British Mycological Society. Published by Elsevier Ltd. All rights reserved.</t>
  </si>
  <si>
    <t>[Lario, Luciana Daniela; Pessoa, Adalberto] Univ Sao Paulo, Sch Pharmaceut Sci, Dept Biochem &amp; Pharmaceut Technol, BR-05508900 Sao Paulo, SP, Brazil; [Chaud, Luciana; Almeida, Maria das Gracas] Univ Sao Paulo, Dept Biotechnol, Lorena, SP, Brazil; [Converti, Attilio] Univ Genoa, Pole Chem Engn, Dept Civil Chem &amp; Environm Engn, I-16145 Genoa, Italy; [Duraes Sette, Lara] Statal Paulista Univ Julio Mesquita Filho UNESP, Dept Biochem &amp; Microbiol, Inst Biosci, BR-13506900 Rio Claro, SP, Brazil</t>
  </si>
  <si>
    <t>Universidade de Sao Paulo; Universidade de Sao Paulo; University of Genoa</t>
  </si>
  <si>
    <t>Lario, LD (corresponding author), Univ Sao Paulo, Fac Pharmaceut Sci, Ave Lineu Prestes 580, BR-05508000 Sao Paulo, SP, Brazil.</t>
  </si>
  <si>
    <t>lucianalario@usp.br</t>
  </si>
  <si>
    <t>Converti, Attilio/C-4368-2013; Sette, Lara Durães/C-8298-2013; Pessoa-Junior, Adalberto/B-7963-2012; Converti, Attilio/AAD-6023-2021</t>
  </si>
  <si>
    <t>Converti, Attilio/0000-0003-2488-6080; Sette, Lara Durães/0000-0002-5980-3786; Pessoa-Junior, Adalberto/0000-0002-5268-8690; Converti, Attilio/0000-0003-2488-6080</t>
  </si>
  <si>
    <t>Fundacao de Amparo a Pesquisa do Estado de Sao Paulo (FAPESP) [2012/23726-4]; FAPESP [2013/19486-0]; Coordination of High-Level Personnel Training (CAPES) [2609/2013]; Fundacao de Amparo a Pesquisa do Estado de Sao Paulo (FAPESP) [13/19486-0, 12/23726-4] Funding Source: FAPESP</t>
  </si>
  <si>
    <t>Fundacao de Amparo a Pesquisa do Estado de Sao Paulo (FAPESP)(Fundacao de Amparo a Pesquisa do Estado de Sao Paulo (FAPESP)); FAPESP(Fundacao de Amparo a Pesquisa do Estado de Sao Paulo (FAPESP)); Coordination of High-Level Personnel Training (CAPES)(Coordenacao de Aperfeicoamento de Pessoal de Nivel Superior (CAPES)); Fundacao de Amparo a Pesquisa do Estado de Sao Paulo (FAPESP)(Fundacao de Amparo a Pesquisa do Estado de Sao Paulo (FAPESP))</t>
  </si>
  <si>
    <t>This work was funded by the Fundacao de Amparo a Pesquisa do Estado de Sao Paulo (FAPESP PhD fellowship process n 2012/23726-4 awarded to Luciana Lario, and FAPESP grant 2013/19486-0 awarded to Lara Sette), and by the Coordination of High-Level Personnel Training (CAPES), linked to the Brazilian Ministry of Education (Science without Borders Program, ref. n. 2609/2013 awarded to Attilio Converti).</t>
  </si>
  <si>
    <t>1878-6146</t>
  </si>
  <si>
    <t>1878-6162</t>
  </si>
  <si>
    <t>FUNGAL BIOL-UK</t>
  </si>
  <si>
    <t>Fungal Biol.</t>
  </si>
  <si>
    <t>10.1016/j.funbio.2015.08.012</t>
  </si>
  <si>
    <t>CV4VE</t>
  </si>
  <si>
    <t>WOS:000364263800014</t>
  </si>
  <si>
    <t>Anju, P; Dhananjai, KP</t>
  </si>
  <si>
    <t>Anju, Pandey; Dhananjai, Pandey K.</t>
  </si>
  <si>
    <t>Mechanism of crustal extension in the Laxmi Basin, Arabian Sea</t>
  </si>
  <si>
    <t>GEODESY AND GEODYNAMICS</t>
  </si>
  <si>
    <t>Laxmi Basin; Panikkar Ridge; Continental extension; Mantle exhumation; Detachment surface</t>
  </si>
  <si>
    <t>PASSIVE CONTINENTAL MARGINS; POOR RIFTED MARGINS; MAGMA-POOR; FLOOD BASALTS; INDIAN-OCEAN; EVOLUTION; BREAKUP; WEST; LITHOSPHERE; MANTLE</t>
  </si>
  <si>
    <t>Continental rifting and magmatism has been extensively studied worldwide as it is believed that continental rifting, break up of continents and associated magmatism lead to genesis of new oceanic crust. However, various regions of the world show that these processes may lead to genesis of other types of crust than the oceanic crust. Laxmi Basin in the western continental margin of the India is one such region with an enigmatic crust. Due to its extreme strategic significance for the palaeogeographic reconstruction of continents during Cretaceous continental breakup of India, this basin has attracted various workers for more than two decades. However, still the issue of nature of crust in the basin remains controversial. In this contribution, in order to identify nature of crust, mechanism of continental extension in the Laxmi Basin has been studied for the first time through newly acquired seismic data from the basin. Here, we propose a plausible mechanism of crustal extension in the Laxmi Basin which eventually constrains the nature of crust of the Laxmi Basin. We have demonstrated that the crust in the Laxmi Basin can be categorised in two zones of stretched and transitional crust. In the stretched zone several fault bounded horst and graben structures are identified which preserve syn- and post-rift sediments along with different periods of hiatus in sedimentations as unconformities. These faults are identified as listric faults in the upper crust which sole out in the detachment faults. Detachment faults decouples the upper brittle and lower ductile crust. The transitional crust is identified as heavily intruded by sills and basaltic volcanic which were emplaced due to melting of subcontinental mantle (SCM) after hyper-stretching of crust and serpentinisation of the SCM. Panikkar Ridge is proposed to be one such basaltic volcanic body derived from melting of lower part of the SCM. (C) 2015, Institute of Seismology, China Earthquake Administration, etc. Production and hosting by Elsevier B.V. on behalf of KeAi Communications Co., Ltd. This is an open access article under the CC BY-NC-ND license (http://creativecommons.org/licenses/by-nc-nd/4.0/).</t>
  </si>
  <si>
    <t>[Anju, Pandey; Dhananjai, Pandey K.] Minist Earth Sci, ESSO Natl Ctr Antarctic &amp; Ocean Res, Vasco Da Gama 403804, Goa, India</t>
  </si>
  <si>
    <t>Anju, P (corresponding author), Minist Earth Sci, ESSO Natl Ctr Antarctic &amp; Ocean Res, Vasco Da Gama 403804, Goa, India.</t>
  </si>
  <si>
    <t>anju.pandey@ncaor.gov.in</t>
  </si>
  <si>
    <t>Pandey, Dhananjai/S-3843-2019</t>
  </si>
  <si>
    <t>Pandey, Dhananjai/0000-0001-6899-8995; Pandey, Anju/0009-0004-7299-3512</t>
  </si>
  <si>
    <t>16 DONGHUANGCHENGGEN NORTH ST, BEIJING, 100717, PEOPLES R CHINA</t>
  </si>
  <si>
    <t>1674-9847</t>
  </si>
  <si>
    <t>GEOD GEODYN</t>
  </si>
  <si>
    <t>J. Geod. Geodyn.</t>
  </si>
  <si>
    <t>10.1016/j.geog.2015.12.006</t>
  </si>
  <si>
    <t>DY1ZT</t>
  </si>
  <si>
    <t>WOS:000384893600002</t>
  </si>
  <si>
    <t>Lyons, WB; Dailey, KR; Welch, KA; Deuerling, KM; Welch, SA; McKnight, DM</t>
  </si>
  <si>
    <t>Lyons, W. Berry; Dailey, Kelsey R.; Welch, Kathleen A.; Deuerling, Kelly M.; Welch, Susan A.; McKnight, Diane M.</t>
  </si>
  <si>
    <t>Antarctic streams as a potential source of iron for the Southern Ocean</t>
  </si>
  <si>
    <t>MCMURDO DRY VALLEYS; GLACIAL MELTWATER STREAMS; ICE-SHEET; TAYLOR VALLEY; ROSS SEA; TRACE-METALS; GEOCHEMISTRY; PENINSULA; DYNAMICS; WATERS</t>
  </si>
  <si>
    <t>Due to iron's role in oceanic primary production, there has been great interest in quantifying the importance of Fe in regions where concentrations are very low and macronutrients, nitrate and phosphate, are available. Measurements of filterable (i.e., &lt;0.4 mu m) Fe concentrations in streams from Taylor Valley, McMurdo Dry Valleys, Antarctica, suggest that coastal-zone stream Fe input to the Southern Ocean could potentially play an important role in primary production in nearshore regions. Filterable Fe (fFe) data from streams in the McMurdo Dry Valleys were used to represent glacier meltwater that flows through ice-free landscape with the potential of transporting Fe to the Antarctic coastal zone. Estimates of potential fFe flux to the Antarctic Peninsula region using our mean fFe concentration of 10.6 mu g L-1 combined with an estimate of ice-free area for the Antarctic Peninsula result in an fFe flux of 1.2 x 10(7) g yr(-1). Although small compared to iceberg and aeolian Fe fluxes, future stream input to the Southern Ocean could increase due to glacier retreat and melting, thus increasing the fFe flux from glacier meltwater streams.</t>
  </si>
  <si>
    <t>[Lyons, W. Berry; Dailey, Kelsey R.; Welch, Kathleen A.; Deuerling, Kelly M.; Welch, Susan A.] Ohio State Univ, Sch Earth Sci, Byrd Polar &amp; Climate Res Ctr, Columbus, OH 43210 USA; [McKnight, Diane M.] Univ Colorado, Inst Arctic &amp; Alpine Res, Boulder, CO 80303 USA</t>
  </si>
  <si>
    <t>University System of Ohio; Ohio State University; University of Colorado System; University of Colorado Boulder</t>
  </si>
  <si>
    <t>Lyons, WB (corresponding author), Ohio State Univ, Sch Earth Sci, Byrd Polar &amp; Climate Res Ctr, Columbus, OH 43210 USA.</t>
  </si>
  <si>
    <t>Welch, Kathleen/0000-0003-1028-3086; Welch, Susan/0000-0002-2890-0065</t>
  </si>
  <si>
    <t>National Science Foundation Office of Polar Programs grants [ANT-1115245, ANT-1142059]; Office of Polar Programs (OPP); Directorate For Geosciences [1115245] Funding Source: National Science Foundation</t>
  </si>
  <si>
    <t>National Science Foundation Office of Polar Programs grants; Office of Polar Programs (OPP); Directorate For Geosciences(National Science Foundation (NSF)NSF - Directorate for Geosciences (GEO))</t>
  </si>
  <si>
    <t>This work was supported by National Science Foundation Office of Polar Programs grants ANT-1115245 and ANT-1142059. We are extremely grateful to members of the MCM-LTER Stream Team for collecting the McMurdo samples. C. Jaros and M. Obryk kindly provided stream flow and lake volume change data for McMurdo. We greatly appreciate the extremely helpful reviews of the paper by four anonymous reviewers and R. Raiswell. Their collective input added greatly to our thinking and to this paper.</t>
  </si>
  <si>
    <t>10.1130/G36989.1</t>
  </si>
  <si>
    <t>CV1ZW</t>
  </si>
  <si>
    <t>WOS:000364057700019</t>
  </si>
  <si>
    <t>Avinash, K; Manjunath, BR; Kurian, PJ</t>
  </si>
  <si>
    <t>Avinash, Kumar; Manjunath, Busnur R.; Kurian, P. John</t>
  </si>
  <si>
    <t>Glacial-interglacial productivity contrasts along the eastern Arabian Sea: Dominance of convective mixing over upwelling</t>
  </si>
  <si>
    <t>GEOSCIENCE FRONTIERS</t>
  </si>
  <si>
    <t>The western continental margin of India is one of the highly productive regions in the global ocean. Primary productivity is induced by upwelling and convective mixing during the southwest and northeast monsoons respectively. Realizing the importance of high primary productivity, a sediment core was collected below the current oxygen minimum zone (OMZ) from the southwestern continental margin of India. This was dated by AMS radiocarbon and as many as 60 paleoclimate/paceoceanographic proxies, such as particle size, biogenic components, major, trace and rare earth elements (REEs) which were measured for the first time to determine sources of sediment, biogeochemical processes operating in the water column and their variations since the last glacial cycle. R-mode factor analysis of comprehensive data indicates that the dominant regulator of paleoproductivity is the southwest monsoon wind induced upwelling. Other paleoproductivity related factors identified are the marine biogenic component and biogenic detritus (as an exported component from the water column added to the bottom sediment). All paleoproductivity components increased significantly during the marine isotope stage-1 (MIS-1) compared to those accumulated from MIS-4 to MIS-2. The second group of factors identified are the terrigenous sediments with heavy minerals like zircon and ilmenite. The terrigenous sediment, in particular, increased during MIS-2 when the sea-level was lower; however, the heavy mineral component fluctuated over time implying pulsed inputs of sediment. The diagenetic fraction and reducing component are the third group of factors identified which varied with time with increased accumulation during the MIS transitions. The primary productivity along the southwestern continental margin of India seems to have been controlled principally by the upwelling during the southwest monsoon season that was weaker from MIS-4 to MIS-2, as relative to that during the MIS-1. In contrast, increased glacial productivity noticed in sediments deposited below the current oxygen minimum zone (OMZ) along the north of the study area that can be linked to entrainment of nutrients through the intensified convective mixing of surface water during the northeast monsoon. The sequestration of greenhouse gases by the western continental margin of India was higher during glacial than interglacial cycles. (C) 2015, China University of Geosciences (Beijing) and Peking University. Production and hosting by Elsevier B.V.</t>
  </si>
  <si>
    <t>[Avinash, Kumar; Kurian, P. John] Minist Earth Sci, Natl Ctr Antarctic &amp; Ocean Res, Earth Syst Sci Org, Headland Sada 403804, Goa, India; [Manjunath, Busnur R.] Mangalore Univ, Dept Marine Geol, Mangalagangothri 574199, Karnataka, India</t>
  </si>
  <si>
    <t>Ministry of Earth Sciences (MoES) - India; National Centre for Polar and Ocean Research (NCPOR); Earth System Science Organization (ESSO); Mangalore University</t>
  </si>
  <si>
    <t>Avinash, K (corresponding author), Minist Earth Sci, Natl Ctr Antarctic &amp; Ocean Res, Earth Syst Sci Org, Headland Sada 403804, Goa, India.</t>
  </si>
  <si>
    <t>kumaravinash13@gmail.com</t>
  </si>
  <si>
    <t>Avinash, Kumar/0000-0002-6511-8435</t>
  </si>
  <si>
    <t>CHINA UNIV GEOSCIENCES, BEIJING</t>
  </si>
  <si>
    <t>HAIDIAN DISTRICT</t>
  </si>
  <si>
    <t>29 XUEYUAN RD, HAIDIAN DISTRICT, 100083, PEOPLES R CHINA</t>
  </si>
  <si>
    <t>1674-9871</t>
  </si>
  <si>
    <t>GEOSCI FRONT</t>
  </si>
  <si>
    <t>Geosci. Front.</t>
  </si>
  <si>
    <t>10.1016/j.gsf.2015.03.003</t>
  </si>
  <si>
    <t>CX8EC</t>
  </si>
  <si>
    <t>WOS:000365934400011</t>
  </si>
  <si>
    <t>Menviel, L; Mouchet, A; Meissner, KJ; Joos, F; England, MH</t>
  </si>
  <si>
    <t>Menviel, L.; Mouchet, A.; Meissner, K. J.; Joos, F.; England, M. H.</t>
  </si>
  <si>
    <t>Impact of oceanic circulation changes on atmospheric δ13CO2</t>
  </si>
  <si>
    <t>CARBON-ISOTOPE FRACTIONATION; DEEP-WATER FORMATION; NORTH PACIFIC; LAST DEGLACIATION; SOUTHERN-OCEAN; GAS-EXCHANGE; WIND-SPEED; CO2; CYCLE; MODEL</t>
  </si>
  <si>
    <t>delta(CO2)-C-13 measured in Antarctic ice cores provides constraints on oceanic and terrestrial carbon cycle processes linked with millennial-scale changes in atmospheric CO2. However, the interpretation of delta(CO2)-C-13 is not straightforward. Using carbon isotope-enabled versions of the LOVECLIM and Bern3D models, we perform a set of sensitivity experiments in which the formation rates of North Atlantic Deep Water (NADW), North Pacific Deep Water (NPDW), Antarctic Bottom Water (AABW), and Antarctic Intermediate Water (AAIW) are varied. We study the impact of these circulation changes on atmospheric delta(CO2)-C-13 as well as on the oceanic delta C-13 distribution. In general, we find that the formation rates of AABW, NADW, NPDW, and AAIW are negatively correlated with changes in delta(CO2)-C-13: namely, strong oceanic ventilation decreases atmospheric delta(CO2)-C-13. However, since large-scale oceanic circulation reorganizations also impact nutrient utilization and the Earth's climate, the relationship between atmospheric delta(CO2)-C-13 levels and ocean ventilation rate is not unequivocal. In both models atmospheric delta(CO2)-C-13 is very sensitive to changes in AABW formation rates: increased AABW formation enhances the transport of low delta C-13 waters to the surface and decreases atmospheric delta(CO2)-C-13. By contrast, the impact of NADW changes on atmospheric delta(CO2)-C-13 is less robust and might be model dependent. This results from complex interplay between global climate, carbon cycle, and the formation rate of NADW, a water body characterized by relatively high delta C-13.</t>
  </si>
  <si>
    <t>[Menviel, L.; Meissner, K. J.; England, M. H.] Univ New S Wales, Climate Change Res Ctr, Sydney, NSW, Australia; [Menviel, L.; Meissner, K. J.; England, M. H.] ARC Ctr Excellence Climate Syst Sci, Sydney, NSW, Australia; [Mouchet, A.] IPSL CEA CNRS UVSQ, Lab Sci Climat &amp; Environm, Gif Sur Yvette, France; [Mouchet, A.] Univ Liege, Dept Astrophys Geophys &amp; Oceanog, Liege, Belgium; [Joos, F.] Univ Bern, Inst Phys, Climate &amp; Environm Phys, Bern, Switzerland; [Joos, F.] Univ Bern, Oeschger Ctr Climate Change Res, Bern, Switzerland</t>
  </si>
  <si>
    <t>University of New South Wales Sydney; ARC Centre of Excellence for Climate System Science; CEA; Centre National de la Recherche Scientifique (CNRS); Universite Paris Saclay; University of Liege; University of Bern; University of Bern</t>
  </si>
  <si>
    <t>Menviel, L (corresponding author), Univ New S Wales, Climate Change Res Ctr, Sydney, NSW, Australia.</t>
  </si>
  <si>
    <t>l.menviel@unsw.edu.au</t>
  </si>
  <si>
    <t>England, Matthew/A-7539-2011; Menviel, Laurie/O-7833-2019; Joos, Fortunat/B-4118-2018; Mouchet, Anne/K-1911-2014; Menviel, Laurie/D-6902-2013</t>
  </si>
  <si>
    <t>England, Matthew/0000-0001-9696-2930; Joos, Fortunat/0000-0002-9483-6030; Meissner, Katrin/0000-0002-0716-7415; Mouchet, Anne/0000-0002-8846-3063; Menviel, Laurie/0000-0002-5068-1591</t>
  </si>
  <si>
    <t>Australian Research Council [DE150100107, FL100100214]; UNSW Goldstar award; Swiss National Science Foundation; Australian Research Council [FL100100214, DE150100107] Funding Source: Australian Research Council</t>
  </si>
  <si>
    <t>Australian Research Council(Australian Research Council); UNSW Goldstar award; Swiss National Science Foundation(Swiss National Science Foundation (SNSF)); Australian Research Council(Australian Research Council)</t>
  </si>
  <si>
    <t>This project was supported by the Australian Research Council. L. Menviel and M. England acknowledge funding from the Australian Research Council grants DE150100107 and FL100100214, respectively. K. Meissner acknowledges support from the UNSW Goldstar award. F.J. acknowledges funding by the Swiss National Science Foundation. We thank the Editor S. Mikaloff Fletcher, the Associate Editor K. Matsumoto, and R.J. Toggweiler, as well as an anonymous reviewer for insightful comments. We thank Raphael Roth for performing the modern experiment with the Bern3D model and W.T. Hiscock for graphical design. LOVECLIM experiments were performed on a computational cluster owned by the Faculty of Science of the University of New South Wales, Sydney, Australia. Bern3D experiments were performed on a computational cluster owned by the Department of Environmental Physics of the University of Bern, Switzerland. Results of the modeling experiments are available upon request to the authors. The authors wish to acknowledge use of the Ferret program for analysis and graphics in this paper. Ferret is a product of NOAA's Pacific Marine Environmental Laboratory. (Information is available at http://ferret.pmel.noaa.gov/Ferret/).</t>
  </si>
  <si>
    <t>10.1002/2015GB005207</t>
  </si>
  <si>
    <t>WOS:000368907500006</t>
  </si>
  <si>
    <t>Iakovenko, NS; Smykla, J; Convey, P; Kasparová, E; Kozeretska, IA; Trokhymets, V; Dykyy, I; Plewka, M; Devetter, M; Duris, Z; Janko, K</t>
  </si>
  <si>
    <t>Iakovenko, N. S.; Smykla, J.; Convey, P.; Kasparova, E.; Kozeretska, I. A.; Trokhymets, V.; Dykyy, I.; Plewka, M.; Devetter, M.; Duris, Z.; Janko, K.</t>
  </si>
  <si>
    <t>Antarctic bdelloid rotifers: diversity, endemism and evolution</t>
  </si>
  <si>
    <t>Bdelloidea; DNA taxonomy; Molecular biogeography; 4x rule; Generalized mixed Yule coalescent; Poisson tree processes</t>
  </si>
  <si>
    <t>Antarctica is an isolated continent whose conditions challenge the survival of living organisms. High levels of endemism are now known in many Antarctic organisms, including algae, tardigrades, nematodes and microarthropods. Bdelloid rotifers are a key, widespread and abundant group of Antarctic microscopic invertebrates. However, their diversity, regional distribution and endemism have received little attention until recently. We provide the first authoritative review on Antarctic Bdelloidea, based on published data and new collections. Our analysis reveals the extreme levels of bdelloid endemism in Antarctica. Sixty-six bdelloid morphospecies are now confirmed from the continent, and 83-91 putative species are identified using molecular approaches (depending on the delimitation method used). Twelve previously unknown species are described based on both morphology and molecular analyses. Molecular analyses indicate that only two putative species found in Antarctica proved to be truly cosmopolitan. The level of endemism based on the available data set (95%) is higher than that in any other continent, with many bdelloid species occurring only in maritime or continental Antarctica. These findings are consistent with the long-term presence of Bdelloidea in Antarctica, with their considerable isolation facilitating intraregional radiation, providing further evidence that does not support the microbial global ubiquity hypothesis that everything is everywhere..</t>
  </si>
  <si>
    <t>[Iakovenko, N. S.; Duris, Z.; Janko, K.] Univ Ostrava, Fac Sci, Dept Biol &amp; Ecol, Ostrava 71000, Czech Republic; [Iakovenko, N. S.] NAS Ukraine, Dept Invertebrate Fauna &amp; Systemat, Schmalhausen Inst Zool, UA-01601 Kiev, Ukraine; [Smykla, J.] Polish Acad Sci, Dept Biodivers, Inst Nat Conservat, PL-31120 Krakow, Poland; [Convey, P.] British Antarctic Survey, NERC, Cambridge CB3 0ET, England; [Kasparova, E.; Janko, K.] Inst Anim Physiol &amp; Genet AS CR, Lab Fish Genet, Libechov 27721, Czech Republic; [Kozeretska, I. A.; Trokhymets, V.] Taras Shevchenko Natl Univ Kiev, Educ &amp; Sci Ctr, Inst Biol, UA-01033 Kiev, Ukraine; [Dykyy, I.] Ivan Franko Natl Univ Lviv, Dept Zool, UA-79005 Lvov, Ukraine; [Plewka, M.] State Gymnasium, Dept Biol, D-58285 Gevelsberg, Germany; [Devetter, M.] Acad Sci Czech Republic, Inst Soil Biol, Ctr Biol, CR-37005 Ceske Budejovice, Czech Republic</t>
  </si>
  <si>
    <t>University of Ostrava; National Academy of Sciences Ukraine; Schmalhausen Institute of Zoology of NASU; Polish Academy of Sciences; UK Research &amp; Innovation (UKRI); Natural Environment Research Council (NERC); NERC British Antarctic Survey; Czech Academy of Sciences; Institute of Animal Physiology &amp; Genetics of the Czech Academy of Sciences; Ministry of Education &amp; Science of Ukraine; Taras Shevchenko National University of Kyiv; Ministry of Education &amp; Science of Ukraine; Ivan Franko National University Lviv; Czech Academy of Sciences; Biology Centre of the Czech Academy of Sciences</t>
  </si>
  <si>
    <t>Iakovenko, NS (corresponding author), NAS Ukraine, Dept Invertebrate Fauna &amp; Systemat, Schmalhausen Inst Zool, Bogdana Khmelnitskogo Str 15, UA-01601 Kiev, Ukraine.</t>
  </si>
  <si>
    <t>rotifer1@gmail.com</t>
  </si>
  <si>
    <t>Kasparova, Eva/G-7184-2014; Convey, Peter/AAV-5728-2020; Devetter, Miloslav/AAE-1676-2021; Devetter, Miloslav/G-1087-2014; Smykla, Jerzy/N-3288-2014; Iakovenko, Nataliia/S-6462-2018; Kozeretska, Iryna/F-1383-2010</t>
  </si>
  <si>
    <t>Convey, Peter/0000-0001-8497-9903; Devetter, Miloslav/0000-0003-1767-4266; Trokhymets, Vladlen/0000-0001-6367-1897; Smykla, Jerzy/0000-0001-8228-6695; Iakovenko, Nataliia/0000-0003-4458-9884; Stefkova Kasparova, Eva/0000-0003-4321-8213; Kozeretska, Iryna/0000-0002-6485-1408</t>
  </si>
  <si>
    <t>Centre for Polar Ecology of the University of South Bohemia; Polish Academy of Sciences; National Academy of Sciences of Ukraine; Academy of Sciences of the Czech Republic; National Antarctic Scientific Centre of Ukraine; Centre Animalia at the Schmalhausen Institute of Zoology, Kiev; Polish Ministry of Science and Higher Education (PMSHE) Program for Supporting International Mobility of Scientists and PMSHE [2P04F00127, NN304069033, NN305376438]; National Science Foundation [ANT 0739575]; Grant Agency of the Czech Academy of Sciences [KJB600450903]; Czech Ministry of Education [LM2010009]; European Social Fund; Institute of Environmental Technologies, Ostrava - Research and Development for Innovations Operational Program - Structural Funds of European Union [CZ.1.05/2.1.00/03.0100]; State Budget of the Czech Republic; Natural Environmental Research Council; [CZ.1.07/2.2.00/28.0190]; Natural Environment Research Council [bas0100026] Funding Source: researchfish; NERC [bas0100026] Funding Source: UKRI</t>
  </si>
  <si>
    <t>Centre for Polar Ecology of the University of South Bohemia; Polish Academy of Sciences; National Academy of Sciences of Ukraine; Academy of Sciences of the Czech Republic(Czech Academy of Sciences); National Antarctic Scientific Centre of Ukraine; Centre Animalia at the Schmalhausen Institute of Zoology, Kiev; Polish Ministry of Science and Higher Education (PMSHE) Program for Supporting International Mobility of Scientists and PMSHE; National Science Foundation(National Science Foundation (NSF)); Grant Agency of the Czech Academy of Sciences(Grant Agency of the Czech Republic); Czech Ministry of Education(Ministry of Education, Youth &amp; Sports - Czech Republic); European Social Fund(European Social Fund (ESF)); Institute of Environmental Technologies, Ostrava - Research and Development for Innovations Operational Program - Structural Funds of European Union; State Budget of the Czech Republic; Natural Environmental Research Council(UK Research &amp; Innovation (UKRI)Natural Environment Research Council (NERC)); ; Natural Environment Research Council(UK Research &amp; Innovation (UKRI)Natural Environment Research Council (NERC)); NERC(UK Research &amp; Innovation (UKRI)Natural Environment Research Council (NERC))</t>
  </si>
  <si>
    <t>We thank Dr. D. Fontaneto, Prof. W. H. De Smet and Prof. L. A. Kutikova for providing a number of poorly accessible literature sources and Dr. Ioanna Vankova for her kind help and consultations on the Latin names for the new species. Prof. T. G. Barraclough is acknowledged for providing important suggestions on species delimitation methods and the code for PCA. Dr. V. N. Fursov is acknowledged for the help in imaging rotifers. We acknowledge the Centre for Polar Ecology of the University of South Bohemia, Polish Academy of Sciences, National Academy of Sciences of Ukraine, the Academy of Sciences of the Czech Republic, the National Antarctic Scientific Centre of Ukraine and the Centre Animalia at the Schmalhausen Institute of Zoology, Kiev, for the financial support and providing equipment and Raytheon Polar Services for logistical support. Funding also was provided by the Polish Ministry of Science and Higher Education (PMSHE) Program for Supporting International Mobility of Scientists and PMSHE grant nos. 2P04F00127, NN304069033 and NN305376438 (JS), the National Science Foundation project no. ANT 0739575 (JS), the Grant Agency of the Czech Academy of Sciences grant no. KJB600450903 (KJ, NI, EK), Czech Ministry of Education project no. LM2010009 (KJ), European Social Fund and the Czech Republic-supported project no. CZ.1.07/2.2.00/28.0190 (KJ), the Institute of Environmental Technologies, Ostrava, CZ.1.05/2.1.00/03.0100 supported by the Research and Development for Innovations Operational Program financed by Structural Funds of European Union and State Budget of the Czech Republic (ZD.). PC is supported by the Natural Environmental Research Council core funding to the British Antarctic Survey's core 'Enviornmental Change and Evolution' program. This paper contributes to the SCAR 'State of the Antarctic Ecosystem' program.</t>
  </si>
  <si>
    <t>10.1007/s10750-015-2463-2</t>
  </si>
  <si>
    <t>WOS:000362964400002</t>
  </si>
  <si>
    <t>Rajanahally, MA; Lester, PJ; Convey, P</t>
  </si>
  <si>
    <t>Rajanahally, Meghana A.; Lester, Phil J.; Convey, Peter</t>
  </si>
  <si>
    <t>Aspects of resilience of polar sea ice algae to changes in their environment</t>
  </si>
  <si>
    <t>Sea ice algae; Photoprotection; Stress; Ultraviolet-B; Ross Sea; Antarctic Peninsula; Arctic Ocean</t>
  </si>
  <si>
    <t>SUPEROXIDE-DISMUTASE; QUANTUM YIELD; EXCESSIVE IRRADIANCE; MCMURDO SOUND; ZONE WEST; TEMPERATURE; PHYTOPLANKTON; MICROALGAE; RADIATION; RESPONSES</t>
  </si>
  <si>
    <t>Sea ice algae are primary producers of the ice-covered oceans in both polar regions. Changes in sea ice distribution are potentially altering exposure to photosynthetically active radiation (PAR) and ultraviolet-B (UV-B) wavelengths of light. Incubations using monospecific cultures of common species from the Ross Sea, Antarctic Peninsula and Arctic Ocean were carried out at ecologically relevant light levels during periods of 7 days to examine tolerance to conditions likely to be faced during sea ice thinning and melt. Algal responses were assessed using chlorophyll fluorescence techniques and superoxide dismutase (SOD) activity. Quantum yields of cultures incubated in the dark and at ambient light did not differ. At higher light levels, the Ross Sea and Arctic cultures showed no significant change in photosynthetic health. Cultures from the Antarctic Peninsula showed a significant decrease. Antarctic cultures showed no detectable changes in SOD activity. Arctic culture showed dynamic changes, initially increasing, then decreasing to the end of the study. The general lack of significant changes signals the need for further parameters to be assessed during such experiments. The coupling between measured parameters appeared to protect photosynthetic health, even though significant effects have been detected in other studies when subjected to PAR or UV-B alone.</t>
  </si>
  <si>
    <t>[Rajanahally, Meghana A.; Lester, Phil J.; Convey, Peter] Victoria Univ Wellington, Sch Biol Sci, Wellington 6140, New Zealand; [Convey, Peter] British Antarctic Survey, NERC, Cambridge CB3 0ET, England</t>
  </si>
  <si>
    <t>Victoria University Wellington; UK Research &amp; Innovation (UKRI); Natural Environment Research Council (NERC); NERC British Antarctic Survey</t>
  </si>
  <si>
    <t>Convey, P (corresponding author), British Antarctic Survey, NERC, High Cross,Madingley Rd, Cambridge CB3 0ET, England.</t>
  </si>
  <si>
    <t>Convey, Peter/AAV-5728-2020; Lester, Phil/A-1296-2008</t>
  </si>
  <si>
    <t>Convey, Peter/0000-0001-8497-9903; Lester, Phil/0000-0002-1801-5687</t>
  </si>
  <si>
    <t>VUW [100241]; FRST [VICX0706]; NERC; NERC [bas0100036] Funding Source: UKRI; Natural Environment Research Council [bas0100036] Funding Source: researchfish</t>
  </si>
  <si>
    <t>VUW; FRST(New Zealand Foundation for Research, Science and Technology);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</si>
  <si>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acknowledge support from VUW Grant 100241, and FRST Grant VICX0706. MAF permits 2009037596 and 2010040450 were used to transport cultures and samples from Antarctica to New Zealand. The authors thank Antarctica New Zealand for logistic support in the field. Dr. Claire Hughes and Associate Professor Else Hegspeth are thanked for the provision of cultures originally obtained from the Antarctic Peninsula and Arctic Ocean. Two anonymous reviewers are thanked for constructive comments. PC is supported by NERC core funding to the BAS Biodiversity, Evolution and Adaptation Programme. This paper also contributes to the SCAR AnT-ERA International Science Programme.</t>
  </si>
  <si>
    <t>10.1007/s10750-015-2362-6</t>
  </si>
  <si>
    <t>WOS:000362964400015</t>
  </si>
  <si>
    <t>Sattin, G; Bakiu, R; Tolomeo, AM; Carraro, A; Coppola, D; Ferro, D; Patarnello, T; Santovito, G</t>
  </si>
  <si>
    <t>Sattin, G.; Bakiu, R.; Tolomeo, A. M.; Carraro, A.; Coppola, D.; Ferro, D.; Patarnello, T.; Santovito, G.</t>
  </si>
  <si>
    <t>Characterization and expression of a new cytoplasmic glutathione peroxidase 1 gene in the Antarctic fish Trematomus bernacchii</t>
  </si>
  <si>
    <t>Antarctica; Fish; Gene expression; Glutathione peroxidase; Molecular evolution; Selenoprotein</t>
  </si>
  <si>
    <t>MOLECULAR EVOLUTION; MODELS; INSIGHTS; HISTORY; MAXIMUM; CLONING; CYCLE</t>
  </si>
  <si>
    <t>Glutathione peroxidases are a family of antioxidant enzymes catalyzing the reduction of H2O2 or organic hydroperoxides. In the present study, we report the molecular characterization and gene expression analysis of a new GPx-1 from the Antarctic fish Trematomus bernacchii. To expand our knowledge on the GPx-1 s evolution within the group of Antarctic fish, in this work, we also presented the cDNA sequencing of this enzyme in other three species, belonging to two families-Nototheniidae (Trematomus eulepidotus, T. lepidorhinus) and Bathydraconidae (Cygnodraco mawsoni). The deduced amino acid sequences were compared with GPx-1 s of other vertebrates by multiple alignment, in order to evaluate the conservation of amino acids involved in the enzyme activity. The results of phylogenetic analyses indicated that fish GPx-1 s possibly originated from independent duplication events, and Antarctic GPx-1 s evolved according to the molecular and morphological phylogeny of Antarctic fish. Basal GPx-1 mRNA expression analyses in various tissues of T. bernacchii specimens indicated that liver and heart displayed the highest mRNA accumulation; probably a protection of these organs against lipid peroxidation is needed.</t>
  </si>
  <si>
    <t>[Sattin, G.] Univ Padua, Dept Mol Med, I-35100 Padua, Italy; [Bakiu, R.] Agr Univ Tirana, Dept Fisheries &amp; Aquaculture, Tirana, Albania; [Tolomeo, A. M.; Carraro, A.; Santovito, G.] Univ Padua, Dept Biol, I-35100 Padua, Italy; [Coppola, D.] CNR IBP, Inst Biosci &amp; BioResources, Naples, Italy; [Ferro, D.] Univ Munster, Inst Evolut &amp; Biodivers, D-48149 Munster, Germany; [Patarnello, T.] Univ Padua, Dept Comparat Biomed &amp; Food Sci, Legnaro, PD, Italy</t>
  </si>
  <si>
    <t>University of Padua; University of Padua; Consiglio Nazionale delle Ricerche (CNR); Istituto di Biochimica delle Proteine (IBP-CNR); Istituto di Bioscienze e Biorisorse (IBBR-CNR); University of Munster; University of Padua</t>
  </si>
  <si>
    <t>Santovito, G (corresponding author), Univ Padua, Dept Biol, Via Bassi 58-B, I-35100 Padua, Italy.</t>
  </si>
  <si>
    <t>Bakiu, Rigers/AFC-7827-2022; Ferro, Diana/HKM-9570-2023; Santovito, Gianfranco/ABB-9484-2021; Carraro, Andrea/AAG-4437-2019; Tolomeo, Anna Maria/AAA-2275-2022</t>
  </si>
  <si>
    <t>Bakiu, Rigers/0000-0002-9613-4606; Ferro, Diana/0000-0003-1774-7509; Santovito, Gianfranco/0000-0001-8260-7006; Carraro, Andrea/0000-0001-9564-9491; Tolomeo, Anna Maria/0000-0001-5077-0845</t>
  </si>
  <si>
    <t>10.1007/s10750-015-2488-6</t>
  </si>
  <si>
    <t>WOS:000362964400021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</si>
</sst>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T1001"/>
  <sheetViews>
    <sheetView tabSelected="1" workbookViewId="0">
      <selection activeCell="K28" sqref="K28"/>
    </sheetView>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74</v>
      </c>
      <c r="V2" t="s">
        <v>81</v>
      </c>
      <c r="W2" t="s">
        <v>82</v>
      </c>
      <c r="X2" t="s">
        <v>83</v>
      </c>
      <c r="Y2" t="s">
        <v>84</v>
      </c>
      <c r="Z2" t="s">
        <v>85</v>
      </c>
      <c r="AA2" t="s">
        <v>86</v>
      </c>
      <c r="AB2" t="s">
        <v>74</v>
      </c>
      <c r="AC2" t="s">
        <v>74</v>
      </c>
      <c r="AD2" t="s">
        <v>74</v>
      </c>
      <c r="AE2" t="s">
        <v>74</v>
      </c>
      <c r="AF2" t="s">
        <v>74</v>
      </c>
      <c r="AG2">
        <v>6</v>
      </c>
      <c r="AH2">
        <v>0</v>
      </c>
      <c r="AI2">
        <v>0</v>
      </c>
      <c r="AJ2">
        <v>0</v>
      </c>
      <c r="AK2">
        <v>0</v>
      </c>
      <c r="AL2" t="s">
        <v>87</v>
      </c>
      <c r="AM2" t="s">
        <v>88</v>
      </c>
      <c r="AN2" t="s">
        <v>89</v>
      </c>
      <c r="AO2" t="s">
        <v>90</v>
      </c>
      <c r="AP2" t="s">
        <v>91</v>
      </c>
      <c r="AQ2" t="s">
        <v>74</v>
      </c>
      <c r="AR2" t="s">
        <v>92</v>
      </c>
      <c r="AS2" t="s">
        <v>93</v>
      </c>
      <c r="AT2" t="s">
        <v>74</v>
      </c>
      <c r="AU2">
        <v>2016</v>
      </c>
      <c r="AV2">
        <v>56</v>
      </c>
      <c r="AW2">
        <v>3</v>
      </c>
      <c r="AX2" t="s">
        <v>74</v>
      </c>
      <c r="AY2" t="s">
        <v>74</v>
      </c>
      <c r="AZ2" t="s">
        <v>74</v>
      </c>
      <c r="BA2" t="s">
        <v>74</v>
      </c>
      <c r="BB2">
        <v>387</v>
      </c>
      <c r="BC2">
        <v>398</v>
      </c>
      <c r="BD2" t="s">
        <v>74</v>
      </c>
      <c r="BE2" t="s">
        <v>94</v>
      </c>
      <c r="BF2" t="str">
        <f>HYPERLINK("http://dx.doi.org/10.15356/2076-6734-2016-3-387-398","http://dx.doi.org/10.15356/2076-6734-2016-3-387-398")</f>
        <v>http://dx.doi.org/10.15356/2076-6734-2016-3-387-398</v>
      </c>
      <c r="BG2" t="s">
        <v>74</v>
      </c>
      <c r="BH2" t="s">
        <v>74</v>
      </c>
      <c r="BI2">
        <v>12</v>
      </c>
      <c r="BJ2" t="s">
        <v>95</v>
      </c>
      <c r="BK2" t="s">
        <v>96</v>
      </c>
      <c r="BL2" t="s">
        <v>97</v>
      </c>
      <c r="BM2" t="s">
        <v>98</v>
      </c>
      <c r="BN2" t="s">
        <v>74</v>
      </c>
      <c r="BO2" t="s">
        <v>99</v>
      </c>
      <c r="BP2" t="s">
        <v>74</v>
      </c>
      <c r="BQ2" t="s">
        <v>74</v>
      </c>
      <c r="BR2" t="s">
        <v>100</v>
      </c>
      <c r="BS2" t="s">
        <v>101</v>
      </c>
      <c r="BT2" t="str">
        <f>HYPERLINK("https%3A%2F%2Fwww.webofscience.com%2Fwos%2Fwoscc%2Ffull-record%2FWOS:000408236100008","View Full Record in Web of Science")</f>
        <v>View Full Record in Web of Science</v>
      </c>
    </row>
    <row r="3" spans="1:72" x14ac:dyDescent="0.15">
      <c r="A3" t="s">
        <v>72</v>
      </c>
      <c r="B3" t="s">
        <v>102</v>
      </c>
      <c r="C3" t="s">
        <v>74</v>
      </c>
      <c r="D3" t="s">
        <v>74</v>
      </c>
      <c r="E3" t="s">
        <v>74</v>
      </c>
      <c r="F3" t="s">
        <v>103</v>
      </c>
      <c r="G3" t="s">
        <v>74</v>
      </c>
      <c r="H3" t="s">
        <v>74</v>
      </c>
      <c r="I3" t="s">
        <v>104</v>
      </c>
      <c r="J3" t="s">
        <v>77</v>
      </c>
      <c r="K3" t="s">
        <v>74</v>
      </c>
      <c r="L3" t="s">
        <v>74</v>
      </c>
      <c r="M3" t="s">
        <v>78</v>
      </c>
      <c r="N3" t="s">
        <v>79</v>
      </c>
      <c r="O3" t="s">
        <v>74</v>
      </c>
      <c r="P3" t="s">
        <v>74</v>
      </c>
      <c r="Q3" t="s">
        <v>74</v>
      </c>
      <c r="R3" t="s">
        <v>74</v>
      </c>
      <c r="S3" t="s">
        <v>74</v>
      </c>
      <c r="T3" t="s">
        <v>105</v>
      </c>
      <c r="U3" t="s">
        <v>74</v>
      </c>
      <c r="V3" t="s">
        <v>106</v>
      </c>
      <c r="W3" t="s">
        <v>107</v>
      </c>
      <c r="X3" t="s">
        <v>108</v>
      </c>
      <c r="Y3" t="s">
        <v>109</v>
      </c>
      <c r="Z3" t="s">
        <v>110</v>
      </c>
      <c r="AA3" t="s">
        <v>111</v>
      </c>
      <c r="AB3" t="s">
        <v>112</v>
      </c>
      <c r="AC3" t="s">
        <v>74</v>
      </c>
      <c r="AD3" t="s">
        <v>74</v>
      </c>
      <c r="AE3" t="s">
        <v>74</v>
      </c>
      <c r="AF3" t="s">
        <v>74</v>
      </c>
      <c r="AG3">
        <v>19</v>
      </c>
      <c r="AH3">
        <v>3</v>
      </c>
      <c r="AI3">
        <v>6</v>
      </c>
      <c r="AJ3">
        <v>0</v>
      </c>
      <c r="AK3">
        <v>2</v>
      </c>
      <c r="AL3" t="s">
        <v>87</v>
      </c>
      <c r="AM3" t="s">
        <v>88</v>
      </c>
      <c r="AN3" t="s">
        <v>89</v>
      </c>
      <c r="AO3" t="s">
        <v>90</v>
      </c>
      <c r="AP3" t="s">
        <v>91</v>
      </c>
      <c r="AQ3" t="s">
        <v>74</v>
      </c>
      <c r="AR3" t="s">
        <v>92</v>
      </c>
      <c r="AS3" t="s">
        <v>93</v>
      </c>
      <c r="AT3" t="s">
        <v>74</v>
      </c>
      <c r="AU3">
        <v>2016</v>
      </c>
      <c r="AV3">
        <v>56</v>
      </c>
      <c r="AW3">
        <v>3</v>
      </c>
      <c r="AX3" t="s">
        <v>74</v>
      </c>
      <c r="AY3" t="s">
        <v>74</v>
      </c>
      <c r="AZ3" t="s">
        <v>74</v>
      </c>
      <c r="BA3" t="s">
        <v>74</v>
      </c>
      <c r="BB3">
        <v>413</v>
      </c>
      <c r="BC3">
        <v>426</v>
      </c>
      <c r="BD3" t="s">
        <v>74</v>
      </c>
      <c r="BE3" t="s">
        <v>113</v>
      </c>
      <c r="BF3" t="str">
        <f>HYPERLINK("http://dx.doi.org/10.15356/2076-6734-2016-3-413-426","http://dx.doi.org/10.15356/2076-6734-2016-3-413-426")</f>
        <v>http://dx.doi.org/10.15356/2076-6734-2016-3-413-426</v>
      </c>
      <c r="BG3" t="s">
        <v>74</v>
      </c>
      <c r="BH3" t="s">
        <v>74</v>
      </c>
      <c r="BI3">
        <v>14</v>
      </c>
      <c r="BJ3" t="s">
        <v>95</v>
      </c>
      <c r="BK3" t="s">
        <v>96</v>
      </c>
      <c r="BL3" t="s">
        <v>97</v>
      </c>
      <c r="BM3" t="s">
        <v>98</v>
      </c>
      <c r="BN3" t="s">
        <v>74</v>
      </c>
      <c r="BO3" t="s">
        <v>99</v>
      </c>
      <c r="BP3" t="s">
        <v>74</v>
      </c>
      <c r="BQ3" t="s">
        <v>74</v>
      </c>
      <c r="BR3" t="s">
        <v>100</v>
      </c>
      <c r="BS3" t="s">
        <v>114</v>
      </c>
      <c r="BT3" t="str">
        <f>HYPERLINK("https%3A%2F%2Fwww.webofscience.com%2Fwos%2Fwoscc%2Ffull-record%2FWOS:000408236100010","View Full Record in Web of Science")</f>
        <v>View Full Record in Web of Science</v>
      </c>
    </row>
    <row r="4" spans="1:72" x14ac:dyDescent="0.15">
      <c r="A4" t="s">
        <v>72</v>
      </c>
      <c r="B4" t="s">
        <v>115</v>
      </c>
      <c r="C4" t="s">
        <v>74</v>
      </c>
      <c r="D4" t="s">
        <v>74</v>
      </c>
      <c r="E4" t="s">
        <v>74</v>
      </c>
      <c r="F4" t="s">
        <v>116</v>
      </c>
      <c r="G4" t="s">
        <v>74</v>
      </c>
      <c r="H4" t="s">
        <v>74</v>
      </c>
      <c r="I4" t="s">
        <v>117</v>
      </c>
      <c r="J4" t="s">
        <v>77</v>
      </c>
      <c r="K4" t="s">
        <v>74</v>
      </c>
      <c r="L4" t="s">
        <v>74</v>
      </c>
      <c r="M4" t="s">
        <v>78</v>
      </c>
      <c r="N4" t="s">
        <v>79</v>
      </c>
      <c r="O4" t="s">
        <v>74</v>
      </c>
      <c r="P4" t="s">
        <v>74</v>
      </c>
      <c r="Q4" t="s">
        <v>74</v>
      </c>
      <c r="R4" t="s">
        <v>74</v>
      </c>
      <c r="S4" t="s">
        <v>74</v>
      </c>
      <c r="T4" t="s">
        <v>118</v>
      </c>
      <c r="U4" t="s">
        <v>119</v>
      </c>
      <c r="V4" t="s">
        <v>120</v>
      </c>
      <c r="W4" t="s">
        <v>121</v>
      </c>
      <c r="X4" t="s">
        <v>122</v>
      </c>
      <c r="Y4" t="s">
        <v>123</v>
      </c>
      <c r="Z4" t="s">
        <v>124</v>
      </c>
      <c r="AA4" t="s">
        <v>74</v>
      </c>
      <c r="AB4" t="s">
        <v>74</v>
      </c>
      <c r="AC4" t="s">
        <v>74</v>
      </c>
      <c r="AD4" t="s">
        <v>74</v>
      </c>
      <c r="AE4" t="s">
        <v>74</v>
      </c>
      <c r="AF4" t="s">
        <v>74</v>
      </c>
      <c r="AG4">
        <v>12</v>
      </c>
      <c r="AH4">
        <v>0</v>
      </c>
      <c r="AI4">
        <v>2</v>
      </c>
      <c r="AJ4">
        <v>1</v>
      </c>
      <c r="AK4">
        <v>6</v>
      </c>
      <c r="AL4" t="s">
        <v>87</v>
      </c>
      <c r="AM4" t="s">
        <v>88</v>
      </c>
      <c r="AN4" t="s">
        <v>89</v>
      </c>
      <c r="AO4" t="s">
        <v>90</v>
      </c>
      <c r="AP4" t="s">
        <v>91</v>
      </c>
      <c r="AQ4" t="s">
        <v>74</v>
      </c>
      <c r="AR4" t="s">
        <v>92</v>
      </c>
      <c r="AS4" t="s">
        <v>93</v>
      </c>
      <c r="AT4" t="s">
        <v>74</v>
      </c>
      <c r="AU4">
        <v>2016</v>
      </c>
      <c r="AV4">
        <v>56</v>
      </c>
      <c r="AW4">
        <v>3</v>
      </c>
      <c r="AX4" t="s">
        <v>74</v>
      </c>
      <c r="AY4" t="s">
        <v>74</v>
      </c>
      <c r="AZ4" t="s">
        <v>74</v>
      </c>
      <c r="BA4" t="s">
        <v>74</v>
      </c>
      <c r="BB4">
        <v>427</v>
      </c>
      <c r="BC4">
        <v>432</v>
      </c>
      <c r="BD4" t="s">
        <v>74</v>
      </c>
      <c r="BE4" t="s">
        <v>125</v>
      </c>
      <c r="BF4" t="str">
        <f>HYPERLINK("http://dx.doi.org/10.15356/2076-6734-2016-3-427-432","http://dx.doi.org/10.15356/2076-6734-2016-3-427-432")</f>
        <v>http://dx.doi.org/10.15356/2076-6734-2016-3-427-432</v>
      </c>
      <c r="BG4" t="s">
        <v>74</v>
      </c>
      <c r="BH4" t="s">
        <v>74</v>
      </c>
      <c r="BI4">
        <v>6</v>
      </c>
      <c r="BJ4" t="s">
        <v>95</v>
      </c>
      <c r="BK4" t="s">
        <v>96</v>
      </c>
      <c r="BL4" t="s">
        <v>97</v>
      </c>
      <c r="BM4" t="s">
        <v>98</v>
      </c>
      <c r="BN4" t="s">
        <v>74</v>
      </c>
      <c r="BO4" t="s">
        <v>99</v>
      </c>
      <c r="BP4" t="s">
        <v>74</v>
      </c>
      <c r="BQ4" t="s">
        <v>74</v>
      </c>
      <c r="BR4" t="s">
        <v>100</v>
      </c>
      <c r="BS4" t="s">
        <v>126</v>
      </c>
      <c r="BT4" t="str">
        <f>HYPERLINK("https%3A%2F%2Fwww.webofscience.com%2Fwos%2Fwoscc%2Ffull-record%2FWOS:000408236100011","View Full Record in Web of Science")</f>
        <v>View Full Record in Web of Science</v>
      </c>
    </row>
    <row r="5" spans="1:72" x14ac:dyDescent="0.15">
      <c r="A5" t="s">
        <v>72</v>
      </c>
      <c r="B5" t="s">
        <v>127</v>
      </c>
      <c r="C5" t="s">
        <v>74</v>
      </c>
      <c r="D5" t="s">
        <v>74</v>
      </c>
      <c r="E5" t="s">
        <v>74</v>
      </c>
      <c r="F5" t="s">
        <v>128</v>
      </c>
      <c r="G5" t="s">
        <v>74</v>
      </c>
      <c r="H5" t="s">
        <v>74</v>
      </c>
      <c r="I5" t="s">
        <v>129</v>
      </c>
      <c r="J5" t="s">
        <v>130</v>
      </c>
      <c r="K5" t="s">
        <v>74</v>
      </c>
      <c r="L5" t="s">
        <v>74</v>
      </c>
      <c r="M5" t="s">
        <v>78</v>
      </c>
      <c r="N5" t="s">
        <v>79</v>
      </c>
      <c r="O5" t="s">
        <v>74</v>
      </c>
      <c r="P5" t="s">
        <v>74</v>
      </c>
      <c r="Q5" t="s">
        <v>74</v>
      </c>
      <c r="R5" t="s">
        <v>74</v>
      </c>
      <c r="S5" t="s">
        <v>74</v>
      </c>
      <c r="T5" t="s">
        <v>131</v>
      </c>
      <c r="U5" t="s">
        <v>132</v>
      </c>
      <c r="V5" t="s">
        <v>133</v>
      </c>
      <c r="W5" t="s">
        <v>134</v>
      </c>
      <c r="X5" t="s">
        <v>135</v>
      </c>
      <c r="Y5" t="s">
        <v>136</v>
      </c>
      <c r="Z5" t="s">
        <v>137</v>
      </c>
      <c r="AA5" t="s">
        <v>74</v>
      </c>
      <c r="AB5" t="s">
        <v>74</v>
      </c>
      <c r="AC5" t="s">
        <v>74</v>
      </c>
      <c r="AD5" t="s">
        <v>74</v>
      </c>
      <c r="AE5" t="s">
        <v>74</v>
      </c>
      <c r="AF5" t="s">
        <v>74</v>
      </c>
      <c r="AG5">
        <v>22</v>
      </c>
      <c r="AH5">
        <v>3</v>
      </c>
      <c r="AI5">
        <v>3</v>
      </c>
      <c r="AJ5">
        <v>0</v>
      </c>
      <c r="AK5">
        <v>3</v>
      </c>
      <c r="AL5" t="s">
        <v>138</v>
      </c>
      <c r="AM5" t="s">
        <v>139</v>
      </c>
      <c r="AN5" t="s">
        <v>140</v>
      </c>
      <c r="AO5" t="s">
        <v>141</v>
      </c>
      <c r="AP5" t="s">
        <v>142</v>
      </c>
      <c r="AQ5" t="s">
        <v>74</v>
      </c>
      <c r="AR5" t="s">
        <v>143</v>
      </c>
      <c r="AS5" t="s">
        <v>144</v>
      </c>
      <c r="AT5" t="s">
        <v>74</v>
      </c>
      <c r="AU5">
        <v>2016</v>
      </c>
      <c r="AV5">
        <v>218</v>
      </c>
      <c r="AW5" t="s">
        <v>74</v>
      </c>
      <c r="AX5" t="s">
        <v>74</v>
      </c>
      <c r="AY5" t="s">
        <v>74</v>
      </c>
      <c r="AZ5" t="s">
        <v>74</v>
      </c>
      <c r="BA5" t="s">
        <v>74</v>
      </c>
      <c r="BB5">
        <v>161</v>
      </c>
      <c r="BC5">
        <v>171</v>
      </c>
      <c r="BD5" t="s">
        <v>74</v>
      </c>
      <c r="BE5" t="s">
        <v>74</v>
      </c>
      <c r="BF5" t="s">
        <v>74</v>
      </c>
      <c r="BG5" t="s">
        <v>74</v>
      </c>
      <c r="BH5" t="s">
        <v>74</v>
      </c>
      <c r="BI5">
        <v>11</v>
      </c>
      <c r="BJ5" t="s">
        <v>145</v>
      </c>
      <c r="BK5" t="s">
        <v>96</v>
      </c>
      <c r="BL5" t="s">
        <v>145</v>
      </c>
      <c r="BM5" t="s">
        <v>146</v>
      </c>
      <c r="BN5" t="s">
        <v>74</v>
      </c>
      <c r="BO5" t="s">
        <v>74</v>
      </c>
      <c r="BP5" t="s">
        <v>74</v>
      </c>
      <c r="BQ5" t="s">
        <v>74</v>
      </c>
      <c r="BR5" t="s">
        <v>100</v>
      </c>
      <c r="BS5" t="s">
        <v>147</v>
      </c>
      <c r="BT5" t="str">
        <f>HYPERLINK("https%3A%2F%2Fwww.webofscience.com%2Fwos%2Fwoscc%2Ffull-record%2FWOS:000407318200001","View Full Record in Web of Science")</f>
        <v>View Full Record in Web of Science</v>
      </c>
    </row>
    <row r="6" spans="1:72" x14ac:dyDescent="0.15">
      <c r="A6" t="s">
        <v>72</v>
      </c>
      <c r="B6" t="s">
        <v>148</v>
      </c>
      <c r="C6" t="s">
        <v>74</v>
      </c>
      <c r="D6" t="s">
        <v>74</v>
      </c>
      <c r="E6" t="s">
        <v>74</v>
      </c>
      <c r="F6" t="s">
        <v>149</v>
      </c>
      <c r="G6" t="s">
        <v>74</v>
      </c>
      <c r="H6" t="s">
        <v>74</v>
      </c>
      <c r="I6" t="s">
        <v>150</v>
      </c>
      <c r="J6" t="s">
        <v>77</v>
      </c>
      <c r="K6" t="s">
        <v>74</v>
      </c>
      <c r="L6" t="s">
        <v>74</v>
      </c>
      <c r="M6" t="s">
        <v>78</v>
      </c>
      <c r="N6" t="s">
        <v>79</v>
      </c>
      <c r="O6" t="s">
        <v>74</v>
      </c>
      <c r="P6" t="s">
        <v>74</v>
      </c>
      <c r="Q6" t="s">
        <v>74</v>
      </c>
      <c r="R6" t="s">
        <v>74</v>
      </c>
      <c r="S6" t="s">
        <v>74</v>
      </c>
      <c r="T6" t="s">
        <v>151</v>
      </c>
      <c r="U6" t="s">
        <v>152</v>
      </c>
      <c r="V6" t="s">
        <v>153</v>
      </c>
      <c r="W6" t="s">
        <v>154</v>
      </c>
      <c r="X6" t="s">
        <v>108</v>
      </c>
      <c r="Y6" t="s">
        <v>155</v>
      </c>
      <c r="Z6" t="s">
        <v>156</v>
      </c>
      <c r="AA6" t="s">
        <v>74</v>
      </c>
      <c r="AB6" t="s">
        <v>74</v>
      </c>
      <c r="AC6" t="s">
        <v>157</v>
      </c>
      <c r="AD6" t="s">
        <v>158</v>
      </c>
      <c r="AE6" t="s">
        <v>159</v>
      </c>
      <c r="AF6" t="s">
        <v>74</v>
      </c>
      <c r="AG6">
        <v>9</v>
      </c>
      <c r="AH6">
        <v>1</v>
      </c>
      <c r="AI6">
        <v>1</v>
      </c>
      <c r="AJ6">
        <v>0</v>
      </c>
      <c r="AK6">
        <v>2</v>
      </c>
      <c r="AL6" t="s">
        <v>87</v>
      </c>
      <c r="AM6" t="s">
        <v>88</v>
      </c>
      <c r="AN6" t="s">
        <v>89</v>
      </c>
      <c r="AO6" t="s">
        <v>90</v>
      </c>
      <c r="AP6" t="s">
        <v>91</v>
      </c>
      <c r="AQ6" t="s">
        <v>74</v>
      </c>
      <c r="AR6" t="s">
        <v>92</v>
      </c>
      <c r="AS6" t="s">
        <v>93</v>
      </c>
      <c r="AT6" t="s">
        <v>74</v>
      </c>
      <c r="AU6">
        <v>2016</v>
      </c>
      <c r="AV6">
        <v>56</v>
      </c>
      <c r="AW6">
        <v>4</v>
      </c>
      <c r="AX6" t="s">
        <v>74</v>
      </c>
      <c r="AY6" t="s">
        <v>74</v>
      </c>
      <c r="AZ6" t="s">
        <v>74</v>
      </c>
      <c r="BA6" t="s">
        <v>74</v>
      </c>
      <c r="BB6">
        <v>525</v>
      </c>
      <c r="BC6">
        <v>532</v>
      </c>
      <c r="BD6" t="s">
        <v>74</v>
      </c>
      <c r="BE6" t="s">
        <v>160</v>
      </c>
      <c r="BF6" t="str">
        <f>HYPERLINK("http://dx.doi.org/10.15356/2076-6734-2016-4-525-532","http://dx.doi.org/10.15356/2076-6734-2016-4-525-532")</f>
        <v>http://dx.doi.org/10.15356/2076-6734-2016-4-525-532</v>
      </c>
      <c r="BG6" t="s">
        <v>74</v>
      </c>
      <c r="BH6" t="s">
        <v>74</v>
      </c>
      <c r="BI6">
        <v>8</v>
      </c>
      <c r="BJ6" t="s">
        <v>95</v>
      </c>
      <c r="BK6" t="s">
        <v>96</v>
      </c>
      <c r="BL6" t="s">
        <v>97</v>
      </c>
      <c r="BM6" t="s">
        <v>161</v>
      </c>
      <c r="BN6" t="s">
        <v>74</v>
      </c>
      <c r="BO6" t="s">
        <v>99</v>
      </c>
      <c r="BP6" t="s">
        <v>74</v>
      </c>
      <c r="BQ6" t="s">
        <v>74</v>
      </c>
      <c r="BR6" t="s">
        <v>100</v>
      </c>
      <c r="BS6" t="s">
        <v>162</v>
      </c>
      <c r="BT6" t="str">
        <f>HYPERLINK("https%3A%2F%2Fwww.webofscience.com%2Fwos%2Fwoscc%2Ffull-record%2FWOS:000408236300008","View Full Record in Web of Science")</f>
        <v>View Full Record in Web of Science</v>
      </c>
    </row>
    <row r="7" spans="1:72" x14ac:dyDescent="0.15">
      <c r="A7" t="s">
        <v>72</v>
      </c>
      <c r="B7" t="s">
        <v>163</v>
      </c>
      <c r="C7" t="s">
        <v>74</v>
      </c>
      <c r="D7" t="s">
        <v>74</v>
      </c>
      <c r="E7" t="s">
        <v>74</v>
      </c>
      <c r="F7" t="s">
        <v>164</v>
      </c>
      <c r="G7" t="s">
        <v>74</v>
      </c>
      <c r="H7" t="s">
        <v>74</v>
      </c>
      <c r="I7" t="s">
        <v>165</v>
      </c>
      <c r="J7" t="s">
        <v>77</v>
      </c>
      <c r="K7" t="s">
        <v>74</v>
      </c>
      <c r="L7" t="s">
        <v>74</v>
      </c>
      <c r="M7" t="s">
        <v>78</v>
      </c>
      <c r="N7" t="s">
        <v>79</v>
      </c>
      <c r="O7" t="s">
        <v>74</v>
      </c>
      <c r="P7" t="s">
        <v>74</v>
      </c>
      <c r="Q7" t="s">
        <v>74</v>
      </c>
      <c r="R7" t="s">
        <v>74</v>
      </c>
      <c r="S7" t="s">
        <v>74</v>
      </c>
      <c r="T7" t="s">
        <v>166</v>
      </c>
      <c r="U7" t="s">
        <v>167</v>
      </c>
      <c r="V7" t="s">
        <v>168</v>
      </c>
      <c r="W7" t="s">
        <v>169</v>
      </c>
      <c r="X7" t="s">
        <v>170</v>
      </c>
      <c r="Y7" t="s">
        <v>171</v>
      </c>
      <c r="Z7" t="s">
        <v>172</v>
      </c>
      <c r="AA7" t="s">
        <v>173</v>
      </c>
      <c r="AB7" t="s">
        <v>174</v>
      </c>
      <c r="AC7" t="s">
        <v>175</v>
      </c>
      <c r="AD7" t="s">
        <v>176</v>
      </c>
      <c r="AE7" t="s">
        <v>177</v>
      </c>
      <c r="AF7" t="s">
        <v>74</v>
      </c>
      <c r="AG7">
        <v>15</v>
      </c>
      <c r="AH7">
        <v>2</v>
      </c>
      <c r="AI7">
        <v>3</v>
      </c>
      <c r="AJ7">
        <v>0</v>
      </c>
      <c r="AK7">
        <v>5</v>
      </c>
      <c r="AL7" t="s">
        <v>87</v>
      </c>
      <c r="AM7" t="s">
        <v>88</v>
      </c>
      <c r="AN7" t="s">
        <v>89</v>
      </c>
      <c r="AO7" t="s">
        <v>90</v>
      </c>
      <c r="AP7" t="s">
        <v>91</v>
      </c>
      <c r="AQ7" t="s">
        <v>74</v>
      </c>
      <c r="AR7" t="s">
        <v>92</v>
      </c>
      <c r="AS7" t="s">
        <v>93</v>
      </c>
      <c r="AT7" t="s">
        <v>74</v>
      </c>
      <c r="AU7">
        <v>2016</v>
      </c>
      <c r="AV7">
        <v>56</v>
      </c>
      <c r="AW7">
        <v>4</v>
      </c>
      <c r="AX7" t="s">
        <v>74</v>
      </c>
      <c r="AY7" t="s">
        <v>74</v>
      </c>
      <c r="AZ7" t="s">
        <v>74</v>
      </c>
      <c r="BA7" t="s">
        <v>74</v>
      </c>
      <c r="BB7">
        <v>533</v>
      </c>
      <c r="BC7">
        <v>544</v>
      </c>
      <c r="BD7" t="s">
        <v>74</v>
      </c>
      <c r="BE7" t="s">
        <v>178</v>
      </c>
      <c r="BF7" t="str">
        <f>HYPERLINK("http://dx.doi.org/10.15356/2076-6734-2016-4-533-544","http://dx.doi.org/10.15356/2076-6734-2016-4-533-544")</f>
        <v>http://dx.doi.org/10.15356/2076-6734-2016-4-533-544</v>
      </c>
      <c r="BG7" t="s">
        <v>74</v>
      </c>
      <c r="BH7" t="s">
        <v>74</v>
      </c>
      <c r="BI7">
        <v>12</v>
      </c>
      <c r="BJ7" t="s">
        <v>95</v>
      </c>
      <c r="BK7" t="s">
        <v>96</v>
      </c>
      <c r="BL7" t="s">
        <v>97</v>
      </c>
      <c r="BM7" t="s">
        <v>161</v>
      </c>
      <c r="BN7" t="s">
        <v>74</v>
      </c>
      <c r="BO7" t="s">
        <v>99</v>
      </c>
      <c r="BP7" t="s">
        <v>74</v>
      </c>
      <c r="BQ7" t="s">
        <v>74</v>
      </c>
      <c r="BR7" t="s">
        <v>100</v>
      </c>
      <c r="BS7" t="s">
        <v>179</v>
      </c>
      <c r="BT7" t="str">
        <f>HYPERLINK("https%3A%2F%2Fwww.webofscience.com%2Fwos%2Fwoscc%2Ffull-record%2FWOS:000408236300009","View Full Record in Web of Science")</f>
        <v>View Full Record in Web of Science</v>
      </c>
    </row>
    <row r="8" spans="1:72" x14ac:dyDescent="0.15">
      <c r="A8" t="s">
        <v>72</v>
      </c>
      <c r="B8" t="s">
        <v>180</v>
      </c>
      <c r="C8" t="s">
        <v>74</v>
      </c>
      <c r="D8" t="s">
        <v>74</v>
      </c>
      <c r="E8" t="s">
        <v>74</v>
      </c>
      <c r="F8" t="s">
        <v>181</v>
      </c>
      <c r="G8" t="s">
        <v>74</v>
      </c>
      <c r="H8" t="s">
        <v>74</v>
      </c>
      <c r="I8" t="s">
        <v>182</v>
      </c>
      <c r="J8" t="s">
        <v>77</v>
      </c>
      <c r="K8" t="s">
        <v>74</v>
      </c>
      <c r="L8" t="s">
        <v>74</v>
      </c>
      <c r="M8" t="s">
        <v>78</v>
      </c>
      <c r="N8" t="s">
        <v>79</v>
      </c>
      <c r="O8" t="s">
        <v>74</v>
      </c>
      <c r="P8" t="s">
        <v>74</v>
      </c>
      <c r="Q8" t="s">
        <v>74</v>
      </c>
      <c r="R8" t="s">
        <v>74</v>
      </c>
      <c r="S8" t="s">
        <v>74</v>
      </c>
      <c r="T8" t="s">
        <v>183</v>
      </c>
      <c r="U8" t="s">
        <v>74</v>
      </c>
      <c r="V8" t="s">
        <v>184</v>
      </c>
      <c r="W8" t="s">
        <v>185</v>
      </c>
      <c r="X8" t="s">
        <v>122</v>
      </c>
      <c r="Y8" t="s">
        <v>186</v>
      </c>
      <c r="Z8" t="s">
        <v>187</v>
      </c>
      <c r="AA8" t="s">
        <v>188</v>
      </c>
      <c r="AB8" t="s">
        <v>74</v>
      </c>
      <c r="AC8" t="s">
        <v>189</v>
      </c>
      <c r="AD8" t="s">
        <v>176</v>
      </c>
      <c r="AE8" t="s">
        <v>190</v>
      </c>
      <c r="AF8" t="s">
        <v>74</v>
      </c>
      <c r="AG8">
        <v>8</v>
      </c>
      <c r="AH8">
        <v>2</v>
      </c>
      <c r="AI8">
        <v>2</v>
      </c>
      <c r="AJ8">
        <v>1</v>
      </c>
      <c r="AK8">
        <v>6</v>
      </c>
      <c r="AL8" t="s">
        <v>87</v>
      </c>
      <c r="AM8" t="s">
        <v>88</v>
      </c>
      <c r="AN8" t="s">
        <v>89</v>
      </c>
      <c r="AO8" t="s">
        <v>90</v>
      </c>
      <c r="AP8" t="s">
        <v>91</v>
      </c>
      <c r="AQ8" t="s">
        <v>74</v>
      </c>
      <c r="AR8" t="s">
        <v>92</v>
      </c>
      <c r="AS8" t="s">
        <v>93</v>
      </c>
      <c r="AT8" t="s">
        <v>74</v>
      </c>
      <c r="AU8">
        <v>2016</v>
      </c>
      <c r="AV8">
        <v>56</v>
      </c>
      <c r="AW8">
        <v>4</v>
      </c>
      <c r="AX8" t="s">
        <v>74</v>
      </c>
      <c r="AY8" t="s">
        <v>74</v>
      </c>
      <c r="AZ8" t="s">
        <v>74</v>
      </c>
      <c r="BA8" t="s">
        <v>74</v>
      </c>
      <c r="BB8">
        <v>561</v>
      </c>
      <c r="BC8">
        <v>574</v>
      </c>
      <c r="BD8" t="s">
        <v>74</v>
      </c>
      <c r="BE8" t="s">
        <v>191</v>
      </c>
      <c r="BF8" t="str">
        <f>HYPERLINK("http://dx.doi.org/10.15356/2076-6734-2016-4-561-574","http://dx.doi.org/10.15356/2076-6734-2016-4-561-574")</f>
        <v>http://dx.doi.org/10.15356/2076-6734-2016-4-561-574</v>
      </c>
      <c r="BG8" t="s">
        <v>74</v>
      </c>
      <c r="BH8" t="s">
        <v>74</v>
      </c>
      <c r="BI8">
        <v>14</v>
      </c>
      <c r="BJ8" t="s">
        <v>95</v>
      </c>
      <c r="BK8" t="s">
        <v>96</v>
      </c>
      <c r="BL8" t="s">
        <v>97</v>
      </c>
      <c r="BM8" t="s">
        <v>161</v>
      </c>
      <c r="BN8" t="s">
        <v>74</v>
      </c>
      <c r="BO8" t="s">
        <v>99</v>
      </c>
      <c r="BP8" t="s">
        <v>74</v>
      </c>
      <c r="BQ8" t="s">
        <v>74</v>
      </c>
      <c r="BR8" t="s">
        <v>100</v>
      </c>
      <c r="BS8" t="s">
        <v>192</v>
      </c>
      <c r="BT8" t="str">
        <f>HYPERLINK("https%3A%2F%2Fwww.webofscience.com%2Fwos%2Fwoscc%2Ffull-record%2FWOS:000408236300012","View Full Record in Web of Science")</f>
        <v>View Full Record in Web of Science</v>
      </c>
    </row>
    <row r="9" spans="1:72" x14ac:dyDescent="0.15">
      <c r="A9" t="s">
        <v>193</v>
      </c>
      <c r="B9" t="s">
        <v>194</v>
      </c>
      <c r="C9" t="s">
        <v>74</v>
      </c>
      <c r="D9" t="s">
        <v>195</v>
      </c>
      <c r="E9" t="s">
        <v>74</v>
      </c>
      <c r="F9" t="s">
        <v>196</v>
      </c>
      <c r="G9" t="s">
        <v>74</v>
      </c>
      <c r="H9" t="s">
        <v>74</v>
      </c>
      <c r="I9" t="s">
        <v>197</v>
      </c>
      <c r="J9" t="s">
        <v>198</v>
      </c>
      <c r="K9" t="s">
        <v>199</v>
      </c>
      <c r="L9" t="s">
        <v>74</v>
      </c>
      <c r="M9" t="s">
        <v>200</v>
      </c>
      <c r="N9" t="s">
        <v>201</v>
      </c>
      <c r="O9" t="s">
        <v>74</v>
      </c>
      <c r="P9" t="s">
        <v>74</v>
      </c>
      <c r="Q9" t="s">
        <v>74</v>
      </c>
      <c r="R9" t="s">
        <v>74</v>
      </c>
      <c r="S9" t="s">
        <v>74</v>
      </c>
      <c r="T9" t="s">
        <v>74</v>
      </c>
      <c r="U9" t="s">
        <v>202</v>
      </c>
      <c r="V9" t="s">
        <v>74</v>
      </c>
      <c r="W9" t="s">
        <v>203</v>
      </c>
      <c r="X9" t="s">
        <v>204</v>
      </c>
      <c r="Y9" t="s">
        <v>205</v>
      </c>
      <c r="Z9" t="s">
        <v>74</v>
      </c>
      <c r="AA9" t="s">
        <v>206</v>
      </c>
      <c r="AB9" t="s">
        <v>207</v>
      </c>
      <c r="AC9" t="s">
        <v>74</v>
      </c>
      <c r="AD9" t="s">
        <v>74</v>
      </c>
      <c r="AE9" t="s">
        <v>74</v>
      </c>
      <c r="AF9" t="s">
        <v>74</v>
      </c>
      <c r="AG9">
        <v>100</v>
      </c>
      <c r="AH9">
        <v>31</v>
      </c>
      <c r="AI9">
        <v>32</v>
      </c>
      <c r="AJ9">
        <v>0</v>
      </c>
      <c r="AK9">
        <v>0</v>
      </c>
      <c r="AL9" t="s">
        <v>208</v>
      </c>
      <c r="AM9" t="s">
        <v>209</v>
      </c>
      <c r="AN9" t="s">
        <v>210</v>
      </c>
      <c r="AO9" t="s">
        <v>211</v>
      </c>
      <c r="AP9" t="s">
        <v>74</v>
      </c>
      <c r="AQ9" t="s">
        <v>212</v>
      </c>
      <c r="AR9" t="s">
        <v>213</v>
      </c>
      <c r="AS9" t="s">
        <v>214</v>
      </c>
      <c r="AT9" t="s">
        <v>74</v>
      </c>
      <c r="AU9">
        <v>2016</v>
      </c>
      <c r="AV9">
        <v>40</v>
      </c>
      <c r="AW9" t="s">
        <v>74</v>
      </c>
      <c r="AX9" t="s">
        <v>74</v>
      </c>
      <c r="AY9" t="s">
        <v>74</v>
      </c>
      <c r="AZ9" t="s">
        <v>74</v>
      </c>
      <c r="BA9" t="s">
        <v>74</v>
      </c>
      <c r="BB9">
        <v>1089</v>
      </c>
      <c r="BC9">
        <v>1109</v>
      </c>
      <c r="BD9" t="s">
        <v>74</v>
      </c>
      <c r="BE9" t="s">
        <v>74</v>
      </c>
      <c r="BF9" t="s">
        <v>74</v>
      </c>
      <c r="BG9" t="s">
        <v>74</v>
      </c>
      <c r="BH9" t="s">
        <v>74</v>
      </c>
      <c r="BI9">
        <v>21</v>
      </c>
      <c r="BJ9" t="s">
        <v>215</v>
      </c>
      <c r="BK9" t="s">
        <v>216</v>
      </c>
      <c r="BL9" t="s">
        <v>215</v>
      </c>
      <c r="BM9" t="s">
        <v>217</v>
      </c>
      <c r="BN9" t="s">
        <v>74</v>
      </c>
      <c r="BO9" t="s">
        <v>74</v>
      </c>
      <c r="BP9" t="s">
        <v>74</v>
      </c>
      <c r="BQ9" t="s">
        <v>74</v>
      </c>
      <c r="BR9" t="s">
        <v>100</v>
      </c>
      <c r="BS9" t="s">
        <v>218</v>
      </c>
      <c r="BT9" t="str">
        <f>HYPERLINK("https%3A%2F%2Fwww.webofscience.com%2Fwos%2Fwoscc%2Ffull-record%2FWOS:000403548800031","View Full Record in Web of Science")</f>
        <v>View Full Record in Web of Science</v>
      </c>
    </row>
    <row r="10" spans="1:72" x14ac:dyDescent="0.15">
      <c r="A10" t="s">
        <v>219</v>
      </c>
      <c r="B10" t="s">
        <v>220</v>
      </c>
      <c r="C10" t="s">
        <v>74</v>
      </c>
      <c r="D10" t="s">
        <v>221</v>
      </c>
      <c r="E10" t="s">
        <v>74</v>
      </c>
      <c r="F10" t="s">
        <v>222</v>
      </c>
      <c r="G10" t="s">
        <v>74</v>
      </c>
      <c r="H10" t="s">
        <v>74</v>
      </c>
      <c r="I10" t="s">
        <v>223</v>
      </c>
      <c r="J10" t="s">
        <v>224</v>
      </c>
      <c r="K10" t="s">
        <v>225</v>
      </c>
      <c r="L10" t="s">
        <v>74</v>
      </c>
      <c r="M10" t="s">
        <v>200</v>
      </c>
      <c r="N10" t="s">
        <v>201</v>
      </c>
      <c r="O10" t="s">
        <v>74</v>
      </c>
      <c r="P10" t="s">
        <v>74</v>
      </c>
      <c r="Q10" t="s">
        <v>74</v>
      </c>
      <c r="R10" t="s">
        <v>74</v>
      </c>
      <c r="S10" t="s">
        <v>74</v>
      </c>
      <c r="T10" t="s">
        <v>74</v>
      </c>
      <c r="U10" t="s">
        <v>226</v>
      </c>
      <c r="V10" t="s">
        <v>74</v>
      </c>
      <c r="W10" t="s">
        <v>227</v>
      </c>
      <c r="X10" t="s">
        <v>228</v>
      </c>
      <c r="Y10" t="s">
        <v>229</v>
      </c>
      <c r="Z10" t="s">
        <v>74</v>
      </c>
      <c r="AA10" t="s">
        <v>230</v>
      </c>
      <c r="AB10" t="s">
        <v>74</v>
      </c>
      <c r="AC10" t="s">
        <v>74</v>
      </c>
      <c r="AD10" t="s">
        <v>74</v>
      </c>
      <c r="AE10" t="s">
        <v>74</v>
      </c>
      <c r="AF10" t="s">
        <v>74</v>
      </c>
      <c r="AG10">
        <v>41</v>
      </c>
      <c r="AH10">
        <v>4</v>
      </c>
      <c r="AI10">
        <v>4</v>
      </c>
      <c r="AJ10">
        <v>0</v>
      </c>
      <c r="AK10">
        <v>1</v>
      </c>
      <c r="AL10" t="s">
        <v>231</v>
      </c>
      <c r="AM10" t="s">
        <v>232</v>
      </c>
      <c r="AN10" t="s">
        <v>233</v>
      </c>
      <c r="AO10" t="s">
        <v>74</v>
      </c>
      <c r="AP10" t="s">
        <v>74</v>
      </c>
      <c r="AQ10" t="s">
        <v>234</v>
      </c>
      <c r="AR10" t="s">
        <v>235</v>
      </c>
      <c r="AS10" t="s">
        <v>74</v>
      </c>
      <c r="AT10" t="s">
        <v>74</v>
      </c>
      <c r="AU10">
        <v>2016</v>
      </c>
      <c r="AV10" t="s">
        <v>74</v>
      </c>
      <c r="AW10" t="s">
        <v>74</v>
      </c>
      <c r="AX10" t="s">
        <v>74</v>
      </c>
      <c r="AY10" t="s">
        <v>74</v>
      </c>
      <c r="AZ10" t="s">
        <v>74</v>
      </c>
      <c r="BA10" t="s">
        <v>74</v>
      </c>
      <c r="BB10">
        <v>161</v>
      </c>
      <c r="BC10">
        <v>182</v>
      </c>
      <c r="BD10" t="s">
        <v>74</v>
      </c>
      <c r="BE10" t="s">
        <v>74</v>
      </c>
      <c r="BF10" t="s">
        <v>74</v>
      </c>
      <c r="BG10" t="s">
        <v>236</v>
      </c>
      <c r="BH10" t="s">
        <v>74</v>
      </c>
      <c r="BI10">
        <v>22</v>
      </c>
      <c r="BJ10" t="s">
        <v>237</v>
      </c>
      <c r="BK10" t="s">
        <v>238</v>
      </c>
      <c r="BL10" t="s">
        <v>239</v>
      </c>
      <c r="BM10" t="s">
        <v>240</v>
      </c>
      <c r="BN10" t="s">
        <v>74</v>
      </c>
      <c r="BO10" t="s">
        <v>241</v>
      </c>
      <c r="BP10" t="s">
        <v>74</v>
      </c>
      <c r="BQ10" t="s">
        <v>74</v>
      </c>
      <c r="BR10" t="s">
        <v>100</v>
      </c>
      <c r="BS10" t="s">
        <v>242</v>
      </c>
      <c r="BT10" t="str">
        <f>HYPERLINK("https%3A%2F%2Fwww.webofscience.com%2Fwos%2Fwoscc%2Ffull-record%2FWOS:000400255400007","View Full Record in Web of Science")</f>
        <v>View Full Record in Web of Science</v>
      </c>
    </row>
    <row r="11" spans="1:72" x14ac:dyDescent="0.15">
      <c r="A11" t="s">
        <v>72</v>
      </c>
      <c r="B11" t="s">
        <v>243</v>
      </c>
      <c r="C11" t="s">
        <v>74</v>
      </c>
      <c r="D11" t="s">
        <v>74</v>
      </c>
      <c r="E11" t="s">
        <v>74</v>
      </c>
      <c r="F11" t="s">
        <v>244</v>
      </c>
      <c r="G11" t="s">
        <v>74</v>
      </c>
      <c r="H11" t="s">
        <v>74</v>
      </c>
      <c r="I11" t="s">
        <v>245</v>
      </c>
      <c r="J11" t="s">
        <v>246</v>
      </c>
      <c r="K11" t="s">
        <v>74</v>
      </c>
      <c r="L11" t="s">
        <v>74</v>
      </c>
      <c r="M11" t="s">
        <v>200</v>
      </c>
      <c r="N11" t="s">
        <v>79</v>
      </c>
      <c r="O11" t="s">
        <v>74</v>
      </c>
      <c r="P11" t="s">
        <v>74</v>
      </c>
      <c r="Q11" t="s">
        <v>74</v>
      </c>
      <c r="R11" t="s">
        <v>74</v>
      </c>
      <c r="S11" t="s">
        <v>74</v>
      </c>
      <c r="T11" t="s">
        <v>247</v>
      </c>
      <c r="U11" t="s">
        <v>248</v>
      </c>
      <c r="V11" t="s">
        <v>249</v>
      </c>
      <c r="W11" t="s">
        <v>250</v>
      </c>
      <c r="X11" t="s">
        <v>251</v>
      </c>
      <c r="Y11" t="s">
        <v>252</v>
      </c>
      <c r="Z11" t="s">
        <v>253</v>
      </c>
      <c r="AA11" t="s">
        <v>254</v>
      </c>
      <c r="AB11" t="s">
        <v>74</v>
      </c>
      <c r="AC11" t="s">
        <v>255</v>
      </c>
      <c r="AD11" t="s">
        <v>256</v>
      </c>
      <c r="AE11" t="s">
        <v>257</v>
      </c>
      <c r="AF11" t="s">
        <v>74</v>
      </c>
      <c r="AG11">
        <v>19</v>
      </c>
      <c r="AH11">
        <v>3</v>
      </c>
      <c r="AI11">
        <v>4</v>
      </c>
      <c r="AJ11">
        <v>5</v>
      </c>
      <c r="AK11">
        <v>19</v>
      </c>
      <c r="AL11" t="s">
        <v>246</v>
      </c>
      <c r="AM11" t="s">
        <v>258</v>
      </c>
      <c r="AN11" t="s">
        <v>259</v>
      </c>
      <c r="AO11" t="s">
        <v>260</v>
      </c>
      <c r="AP11" t="s">
        <v>74</v>
      </c>
      <c r="AQ11" t="s">
        <v>74</v>
      </c>
      <c r="AR11" t="s">
        <v>261</v>
      </c>
      <c r="AS11" t="s">
        <v>262</v>
      </c>
      <c r="AT11" t="s">
        <v>74</v>
      </c>
      <c r="AU11">
        <v>2016</v>
      </c>
      <c r="AV11">
        <v>68</v>
      </c>
      <c r="AW11" t="s">
        <v>74</v>
      </c>
      <c r="AX11" t="s">
        <v>74</v>
      </c>
      <c r="AY11" t="s">
        <v>74</v>
      </c>
      <c r="AZ11" t="s">
        <v>74</v>
      </c>
      <c r="BA11" t="s">
        <v>74</v>
      </c>
      <c r="BB11" t="s">
        <v>74</v>
      </c>
      <c r="BC11" t="s">
        <v>74</v>
      </c>
      <c r="BD11">
        <v>1319</v>
      </c>
      <c r="BE11" t="s">
        <v>74</v>
      </c>
      <c r="BF11" t="s">
        <v>74</v>
      </c>
      <c r="BG11" t="s">
        <v>74</v>
      </c>
      <c r="BH11" t="s">
        <v>74</v>
      </c>
      <c r="BI11">
        <v>7</v>
      </c>
      <c r="BJ11" t="s">
        <v>263</v>
      </c>
      <c r="BK11" t="s">
        <v>264</v>
      </c>
      <c r="BL11" t="s">
        <v>263</v>
      </c>
      <c r="BM11" t="s">
        <v>265</v>
      </c>
      <c r="BN11" t="s">
        <v>74</v>
      </c>
      <c r="BO11" t="s">
        <v>74</v>
      </c>
      <c r="BP11" t="s">
        <v>74</v>
      </c>
      <c r="BQ11" t="s">
        <v>74</v>
      </c>
      <c r="BR11" t="s">
        <v>100</v>
      </c>
      <c r="BS11" t="s">
        <v>266</v>
      </c>
      <c r="BT11" t="str">
        <f>HYPERLINK("https%3A%2F%2Fwww.webofscience.com%2Fwos%2Fwoscc%2Ffull-record%2FWOS:000386305900001","View Full Record in Web of Science")</f>
        <v>View Full Record in Web of Science</v>
      </c>
    </row>
    <row r="12" spans="1:72" x14ac:dyDescent="0.15">
      <c r="A12" t="s">
        <v>267</v>
      </c>
      <c r="B12" t="s">
        <v>268</v>
      </c>
      <c r="C12" t="s">
        <v>74</v>
      </c>
      <c r="D12" t="s">
        <v>74</v>
      </c>
      <c r="E12" t="s">
        <v>269</v>
      </c>
      <c r="F12" t="s">
        <v>270</v>
      </c>
      <c r="G12" t="s">
        <v>74</v>
      </c>
      <c r="H12" t="s">
        <v>74</v>
      </c>
      <c r="I12" t="s">
        <v>271</v>
      </c>
      <c r="J12" t="s">
        <v>272</v>
      </c>
      <c r="K12" t="s">
        <v>74</v>
      </c>
      <c r="L12" t="s">
        <v>74</v>
      </c>
      <c r="M12" t="s">
        <v>200</v>
      </c>
      <c r="N12" t="s">
        <v>273</v>
      </c>
      <c r="O12" t="s">
        <v>274</v>
      </c>
      <c r="P12" t="s">
        <v>275</v>
      </c>
      <c r="Q12" t="s">
        <v>276</v>
      </c>
      <c r="R12" t="s">
        <v>74</v>
      </c>
      <c r="S12" t="s">
        <v>74</v>
      </c>
      <c r="T12" t="s">
        <v>277</v>
      </c>
      <c r="U12" t="s">
        <v>278</v>
      </c>
      <c r="V12" t="s">
        <v>279</v>
      </c>
      <c r="W12" t="s">
        <v>280</v>
      </c>
      <c r="X12" t="s">
        <v>281</v>
      </c>
      <c r="Y12" t="s">
        <v>282</v>
      </c>
      <c r="Z12" t="s">
        <v>283</v>
      </c>
      <c r="AA12" t="s">
        <v>284</v>
      </c>
      <c r="AB12" t="s">
        <v>285</v>
      </c>
      <c r="AC12" t="s">
        <v>286</v>
      </c>
      <c r="AD12" t="s">
        <v>287</v>
      </c>
      <c r="AE12" t="s">
        <v>288</v>
      </c>
      <c r="AF12" t="s">
        <v>74</v>
      </c>
      <c r="AG12">
        <v>11</v>
      </c>
      <c r="AH12">
        <v>2</v>
      </c>
      <c r="AI12">
        <v>2</v>
      </c>
      <c r="AJ12">
        <v>0</v>
      </c>
      <c r="AK12">
        <v>6</v>
      </c>
      <c r="AL12" t="s">
        <v>269</v>
      </c>
      <c r="AM12" t="s">
        <v>289</v>
      </c>
      <c r="AN12" t="s">
        <v>290</v>
      </c>
      <c r="AO12" t="s">
        <v>74</v>
      </c>
      <c r="AP12" t="s">
        <v>74</v>
      </c>
      <c r="AQ12" t="s">
        <v>291</v>
      </c>
      <c r="AR12" t="s">
        <v>74</v>
      </c>
      <c r="AS12" t="s">
        <v>74</v>
      </c>
      <c r="AT12" t="s">
        <v>74</v>
      </c>
      <c r="AU12">
        <v>2016</v>
      </c>
      <c r="AV12" t="s">
        <v>74</v>
      </c>
      <c r="AW12" t="s">
        <v>74</v>
      </c>
      <c r="AX12" t="s">
        <v>74</v>
      </c>
      <c r="AY12" t="s">
        <v>74</v>
      </c>
      <c r="AZ12" t="s">
        <v>74</v>
      </c>
      <c r="BA12" t="s">
        <v>74</v>
      </c>
      <c r="BB12">
        <v>116</v>
      </c>
      <c r="BC12">
        <v>119</v>
      </c>
      <c r="BD12" t="s">
        <v>74</v>
      </c>
      <c r="BE12" t="s">
        <v>74</v>
      </c>
      <c r="BF12" t="s">
        <v>74</v>
      </c>
      <c r="BG12" t="s">
        <v>74</v>
      </c>
      <c r="BH12" t="s">
        <v>74</v>
      </c>
      <c r="BI12">
        <v>4</v>
      </c>
      <c r="BJ12" t="s">
        <v>292</v>
      </c>
      <c r="BK12" t="s">
        <v>293</v>
      </c>
      <c r="BL12" t="s">
        <v>294</v>
      </c>
      <c r="BM12" t="s">
        <v>295</v>
      </c>
      <c r="BN12" t="s">
        <v>74</v>
      </c>
      <c r="BO12" t="s">
        <v>74</v>
      </c>
      <c r="BP12" t="s">
        <v>74</v>
      </c>
      <c r="BQ12" t="s">
        <v>74</v>
      </c>
      <c r="BR12" t="s">
        <v>100</v>
      </c>
      <c r="BS12" t="s">
        <v>296</v>
      </c>
      <c r="BT12" t="str">
        <f>HYPERLINK("https%3A%2F%2Fwww.webofscience.com%2Fwos%2Fwoscc%2Ffull-record%2FWOS:000406122100020","View Full Record in Web of Science")</f>
        <v>View Full Record in Web of Science</v>
      </c>
    </row>
    <row r="13" spans="1:72" x14ac:dyDescent="0.15">
      <c r="A13" t="s">
        <v>72</v>
      </c>
      <c r="B13" t="s">
        <v>297</v>
      </c>
      <c r="C13" t="s">
        <v>74</v>
      </c>
      <c r="D13" t="s">
        <v>74</v>
      </c>
      <c r="E13" t="s">
        <v>74</v>
      </c>
      <c r="F13" t="s">
        <v>298</v>
      </c>
      <c r="G13" t="s">
        <v>74</v>
      </c>
      <c r="H13" t="s">
        <v>74</v>
      </c>
      <c r="I13" t="s">
        <v>299</v>
      </c>
      <c r="J13" t="s">
        <v>300</v>
      </c>
      <c r="K13" t="s">
        <v>74</v>
      </c>
      <c r="L13" t="s">
        <v>74</v>
      </c>
      <c r="M13" t="s">
        <v>200</v>
      </c>
      <c r="N13" t="s">
        <v>79</v>
      </c>
      <c r="O13" t="s">
        <v>74</v>
      </c>
      <c r="P13" t="s">
        <v>74</v>
      </c>
      <c r="Q13" t="s">
        <v>74</v>
      </c>
      <c r="R13" t="s">
        <v>74</v>
      </c>
      <c r="S13" t="s">
        <v>74</v>
      </c>
      <c r="T13" t="s">
        <v>301</v>
      </c>
      <c r="U13" t="s">
        <v>302</v>
      </c>
      <c r="V13" t="s">
        <v>303</v>
      </c>
      <c r="W13" t="s">
        <v>304</v>
      </c>
      <c r="X13" t="s">
        <v>305</v>
      </c>
      <c r="Y13" t="s">
        <v>306</v>
      </c>
      <c r="Z13" t="s">
        <v>307</v>
      </c>
      <c r="AA13" t="s">
        <v>74</v>
      </c>
      <c r="AB13" t="s">
        <v>308</v>
      </c>
      <c r="AC13" t="s">
        <v>74</v>
      </c>
      <c r="AD13" t="s">
        <v>74</v>
      </c>
      <c r="AE13" t="s">
        <v>74</v>
      </c>
      <c r="AF13" t="s">
        <v>74</v>
      </c>
      <c r="AG13">
        <v>103</v>
      </c>
      <c r="AH13">
        <v>10</v>
      </c>
      <c r="AI13">
        <v>11</v>
      </c>
      <c r="AJ13">
        <v>0</v>
      </c>
      <c r="AK13">
        <v>16</v>
      </c>
      <c r="AL13" t="s">
        <v>309</v>
      </c>
      <c r="AM13" t="s">
        <v>310</v>
      </c>
      <c r="AN13" t="s">
        <v>311</v>
      </c>
      <c r="AO13" t="s">
        <v>312</v>
      </c>
      <c r="AP13" t="s">
        <v>74</v>
      </c>
      <c r="AQ13" t="s">
        <v>74</v>
      </c>
      <c r="AR13" t="s">
        <v>313</v>
      </c>
      <c r="AS13" t="s">
        <v>314</v>
      </c>
      <c r="AT13" t="s">
        <v>315</v>
      </c>
      <c r="AU13">
        <v>2016</v>
      </c>
      <c r="AV13">
        <v>2</v>
      </c>
      <c r="AW13">
        <v>1</v>
      </c>
      <c r="AX13" t="s">
        <v>74</v>
      </c>
      <c r="AY13" t="s">
        <v>74</v>
      </c>
      <c r="AZ13" t="s">
        <v>74</v>
      </c>
      <c r="BA13" t="s">
        <v>74</v>
      </c>
      <c r="BB13">
        <v>209</v>
      </c>
      <c r="BC13">
        <v>231</v>
      </c>
      <c r="BD13" t="s">
        <v>74</v>
      </c>
      <c r="BE13" t="s">
        <v>316</v>
      </c>
      <c r="BF13" t="str">
        <f>HYPERLINK("http://dx.doi.org/10.1515/opar-2016-0016","http://dx.doi.org/10.1515/opar-2016-0016")</f>
        <v>http://dx.doi.org/10.1515/opar-2016-0016</v>
      </c>
      <c r="BG13" t="s">
        <v>74</v>
      </c>
      <c r="BH13" t="s">
        <v>74</v>
      </c>
      <c r="BI13">
        <v>23</v>
      </c>
      <c r="BJ13" t="s">
        <v>317</v>
      </c>
      <c r="BK13" t="s">
        <v>96</v>
      </c>
      <c r="BL13" t="s">
        <v>317</v>
      </c>
      <c r="BM13" t="s">
        <v>318</v>
      </c>
      <c r="BN13" t="s">
        <v>74</v>
      </c>
      <c r="BO13" t="s">
        <v>99</v>
      </c>
      <c r="BP13" t="s">
        <v>74</v>
      </c>
      <c r="BQ13" t="s">
        <v>74</v>
      </c>
      <c r="BR13" t="s">
        <v>100</v>
      </c>
      <c r="BS13" t="s">
        <v>319</v>
      </c>
      <c r="BT13" t="str">
        <f>HYPERLINK("https%3A%2F%2Fwww.webofscience.com%2Fwos%2Fwoscc%2Ffull-record%2FWOS:000404614100016","View Full Record in Web of Science")</f>
        <v>View Full Record in Web of Science</v>
      </c>
    </row>
    <row r="14" spans="1:72" x14ac:dyDescent="0.15">
      <c r="A14" t="s">
        <v>72</v>
      </c>
      <c r="B14" t="s">
        <v>320</v>
      </c>
      <c r="C14" t="s">
        <v>74</v>
      </c>
      <c r="D14" t="s">
        <v>74</v>
      </c>
      <c r="E14" t="s">
        <v>74</v>
      </c>
      <c r="F14" t="s">
        <v>321</v>
      </c>
      <c r="G14" t="s">
        <v>74</v>
      </c>
      <c r="H14" t="s">
        <v>74</v>
      </c>
      <c r="I14" t="s">
        <v>322</v>
      </c>
      <c r="J14" t="s">
        <v>323</v>
      </c>
      <c r="K14" t="s">
        <v>74</v>
      </c>
      <c r="L14" t="s">
        <v>74</v>
      </c>
      <c r="M14" t="s">
        <v>200</v>
      </c>
      <c r="N14" t="s">
        <v>79</v>
      </c>
      <c r="O14" t="s">
        <v>74</v>
      </c>
      <c r="P14" t="s">
        <v>74</v>
      </c>
      <c r="Q14" t="s">
        <v>74</v>
      </c>
      <c r="R14" t="s">
        <v>74</v>
      </c>
      <c r="S14" t="s">
        <v>74</v>
      </c>
      <c r="T14" t="s">
        <v>74</v>
      </c>
      <c r="U14" t="s">
        <v>74</v>
      </c>
      <c r="V14" t="s">
        <v>74</v>
      </c>
      <c r="W14" t="s">
        <v>324</v>
      </c>
      <c r="X14" t="s">
        <v>228</v>
      </c>
      <c r="Y14" t="s">
        <v>325</v>
      </c>
      <c r="Z14" t="s">
        <v>74</v>
      </c>
      <c r="AA14" t="s">
        <v>326</v>
      </c>
      <c r="AB14" t="s">
        <v>74</v>
      </c>
      <c r="AC14" t="s">
        <v>74</v>
      </c>
      <c r="AD14" t="s">
        <v>74</v>
      </c>
      <c r="AE14" t="s">
        <v>74</v>
      </c>
      <c r="AF14" t="s">
        <v>74</v>
      </c>
      <c r="AG14">
        <v>113</v>
      </c>
      <c r="AH14">
        <v>1</v>
      </c>
      <c r="AI14">
        <v>1</v>
      </c>
      <c r="AJ14">
        <v>0</v>
      </c>
      <c r="AK14">
        <v>2</v>
      </c>
      <c r="AL14" t="s">
        <v>327</v>
      </c>
      <c r="AM14" t="s">
        <v>328</v>
      </c>
      <c r="AN14" t="s">
        <v>329</v>
      </c>
      <c r="AO14" t="s">
        <v>330</v>
      </c>
      <c r="AP14" t="s">
        <v>331</v>
      </c>
      <c r="AQ14" t="s">
        <v>74</v>
      </c>
      <c r="AR14" t="s">
        <v>332</v>
      </c>
      <c r="AS14" t="s">
        <v>333</v>
      </c>
      <c r="AT14" t="s">
        <v>74</v>
      </c>
      <c r="AU14">
        <v>2016</v>
      </c>
      <c r="AV14">
        <v>39</v>
      </c>
      <c r="AW14">
        <v>4</v>
      </c>
      <c r="AX14" t="s">
        <v>74</v>
      </c>
      <c r="AY14" t="s">
        <v>74</v>
      </c>
      <c r="AZ14" t="s">
        <v>74</v>
      </c>
      <c r="BA14" t="s">
        <v>74</v>
      </c>
      <c r="BB14">
        <v>1686</v>
      </c>
      <c r="BC14">
        <v>1714</v>
      </c>
      <c r="BD14" t="s">
        <v>74</v>
      </c>
      <c r="BE14" t="s">
        <v>74</v>
      </c>
      <c r="BF14" t="s">
        <v>74</v>
      </c>
      <c r="BG14" t="s">
        <v>74</v>
      </c>
      <c r="BH14" t="s">
        <v>74</v>
      </c>
      <c r="BI14">
        <v>29</v>
      </c>
      <c r="BJ14" t="s">
        <v>334</v>
      </c>
      <c r="BK14" t="s">
        <v>96</v>
      </c>
      <c r="BL14" t="s">
        <v>335</v>
      </c>
      <c r="BM14" t="s">
        <v>336</v>
      </c>
      <c r="BN14" t="s">
        <v>74</v>
      </c>
      <c r="BO14" t="s">
        <v>74</v>
      </c>
      <c r="BP14" t="s">
        <v>74</v>
      </c>
      <c r="BQ14" t="s">
        <v>74</v>
      </c>
      <c r="BR14" t="s">
        <v>100</v>
      </c>
      <c r="BS14" t="s">
        <v>337</v>
      </c>
      <c r="BT14" t="str">
        <f>HYPERLINK("https%3A%2F%2Fwww.webofscience.com%2Fwos%2Fwoscc%2Ffull-record%2FWOS:000403358200016","View Full Record in Web of Science")</f>
        <v>View Full Record in Web of Science</v>
      </c>
    </row>
    <row r="15" spans="1:72" x14ac:dyDescent="0.15">
      <c r="A15" t="s">
        <v>267</v>
      </c>
      <c r="B15" t="s">
        <v>338</v>
      </c>
      <c r="C15" t="s">
        <v>74</v>
      </c>
      <c r="D15" t="s">
        <v>339</v>
      </c>
      <c r="E15" t="s">
        <v>74</v>
      </c>
      <c r="F15" t="s">
        <v>340</v>
      </c>
      <c r="G15" t="s">
        <v>74</v>
      </c>
      <c r="H15" t="s">
        <v>74</v>
      </c>
      <c r="I15" t="s">
        <v>341</v>
      </c>
      <c r="J15" t="s">
        <v>342</v>
      </c>
      <c r="K15" t="s">
        <v>343</v>
      </c>
      <c r="L15" t="s">
        <v>74</v>
      </c>
      <c r="M15" t="s">
        <v>200</v>
      </c>
      <c r="N15" t="s">
        <v>273</v>
      </c>
      <c r="O15" t="s">
        <v>344</v>
      </c>
      <c r="P15" t="s">
        <v>345</v>
      </c>
      <c r="Q15" t="s">
        <v>346</v>
      </c>
      <c r="R15" t="s">
        <v>74</v>
      </c>
      <c r="S15" t="s">
        <v>74</v>
      </c>
      <c r="T15" t="s">
        <v>347</v>
      </c>
      <c r="U15" t="s">
        <v>348</v>
      </c>
      <c r="V15" t="s">
        <v>349</v>
      </c>
      <c r="W15" t="s">
        <v>350</v>
      </c>
      <c r="X15" t="s">
        <v>351</v>
      </c>
      <c r="Y15" t="s">
        <v>74</v>
      </c>
      <c r="Z15" t="s">
        <v>352</v>
      </c>
      <c r="AA15" t="s">
        <v>353</v>
      </c>
      <c r="AB15" t="s">
        <v>354</v>
      </c>
      <c r="AC15" t="s">
        <v>355</v>
      </c>
      <c r="AD15" t="s">
        <v>356</v>
      </c>
      <c r="AE15" t="s">
        <v>357</v>
      </c>
      <c r="AF15" t="s">
        <v>74</v>
      </c>
      <c r="AG15">
        <v>16</v>
      </c>
      <c r="AH15">
        <v>2</v>
      </c>
      <c r="AI15">
        <v>2</v>
      </c>
      <c r="AJ15">
        <v>1</v>
      </c>
      <c r="AK15">
        <v>8</v>
      </c>
      <c r="AL15" t="s">
        <v>358</v>
      </c>
      <c r="AM15" t="s">
        <v>359</v>
      </c>
      <c r="AN15" t="s">
        <v>360</v>
      </c>
      <c r="AO15" t="s">
        <v>361</v>
      </c>
      <c r="AP15" t="s">
        <v>74</v>
      </c>
      <c r="AQ15" t="s">
        <v>74</v>
      </c>
      <c r="AR15" t="s">
        <v>362</v>
      </c>
      <c r="AS15" t="s">
        <v>74</v>
      </c>
      <c r="AT15" t="s">
        <v>74</v>
      </c>
      <c r="AU15">
        <v>2016</v>
      </c>
      <c r="AV15" t="s">
        <v>363</v>
      </c>
      <c r="AW15" t="s">
        <v>364</v>
      </c>
      <c r="AX15" t="s">
        <v>74</v>
      </c>
      <c r="AY15" t="s">
        <v>74</v>
      </c>
      <c r="AZ15" t="s">
        <v>74</v>
      </c>
      <c r="BA15" t="s">
        <v>74</v>
      </c>
      <c r="BB15">
        <v>77</v>
      </c>
      <c r="BC15">
        <v>81</v>
      </c>
      <c r="BD15" t="s">
        <v>74</v>
      </c>
      <c r="BE15" t="s">
        <v>365</v>
      </c>
      <c r="BF15" t="str">
        <f>HYPERLINK("http://dx.doi.org/10.5194/isprs-archives-XLII-4-W1-77-2016","http://dx.doi.org/10.5194/isprs-archives-XLII-4-W1-77-2016")</f>
        <v>http://dx.doi.org/10.5194/isprs-archives-XLII-4-W1-77-2016</v>
      </c>
      <c r="BG15" t="s">
        <v>74</v>
      </c>
      <c r="BH15" t="s">
        <v>74</v>
      </c>
      <c r="BI15">
        <v>5</v>
      </c>
      <c r="BJ15" t="s">
        <v>366</v>
      </c>
      <c r="BK15" t="s">
        <v>293</v>
      </c>
      <c r="BL15" t="s">
        <v>367</v>
      </c>
      <c r="BM15" t="s">
        <v>368</v>
      </c>
      <c r="BN15" t="s">
        <v>74</v>
      </c>
      <c r="BO15" t="s">
        <v>369</v>
      </c>
      <c r="BP15" t="s">
        <v>74</v>
      </c>
      <c r="BQ15" t="s">
        <v>74</v>
      </c>
      <c r="BR15" t="s">
        <v>100</v>
      </c>
      <c r="BS15" t="s">
        <v>370</v>
      </c>
      <c r="BT15" t="str">
        <f>HYPERLINK("https%3A%2F%2Fwww.webofscience.com%2Fwos%2Fwoscc%2Ffull-record%2FWOS:000402559600011","View Full Record in Web of Science")</f>
        <v>View Full Record in Web of Science</v>
      </c>
    </row>
    <row r="16" spans="1:72" x14ac:dyDescent="0.15">
      <c r="A16" t="s">
        <v>219</v>
      </c>
      <c r="B16" t="s">
        <v>371</v>
      </c>
      <c r="C16" t="s">
        <v>74</v>
      </c>
      <c r="D16" t="s">
        <v>372</v>
      </c>
      <c r="E16" t="s">
        <v>74</v>
      </c>
      <c r="F16" t="s">
        <v>373</v>
      </c>
      <c r="G16" t="s">
        <v>74</v>
      </c>
      <c r="H16" t="s">
        <v>74</v>
      </c>
      <c r="I16" t="s">
        <v>374</v>
      </c>
      <c r="J16" t="s">
        <v>375</v>
      </c>
      <c r="K16" t="s">
        <v>74</v>
      </c>
      <c r="L16" t="s">
        <v>74</v>
      </c>
      <c r="M16" t="s">
        <v>200</v>
      </c>
      <c r="N16" t="s">
        <v>201</v>
      </c>
      <c r="O16" t="s">
        <v>74</v>
      </c>
      <c r="P16" t="s">
        <v>74</v>
      </c>
      <c r="Q16" t="s">
        <v>74</v>
      </c>
      <c r="R16" t="s">
        <v>74</v>
      </c>
      <c r="S16" t="s">
        <v>74</v>
      </c>
      <c r="T16" t="s">
        <v>74</v>
      </c>
      <c r="U16" t="s">
        <v>74</v>
      </c>
      <c r="V16" t="s">
        <v>74</v>
      </c>
      <c r="W16" t="s">
        <v>376</v>
      </c>
      <c r="X16" t="s">
        <v>377</v>
      </c>
      <c r="Y16" t="s">
        <v>378</v>
      </c>
      <c r="Z16" t="s">
        <v>379</v>
      </c>
      <c r="AA16" t="s">
        <v>74</v>
      </c>
      <c r="AB16" t="s">
        <v>74</v>
      </c>
      <c r="AC16" t="s">
        <v>74</v>
      </c>
      <c r="AD16" t="s">
        <v>74</v>
      </c>
      <c r="AE16" t="s">
        <v>74</v>
      </c>
      <c r="AF16" t="s">
        <v>74</v>
      </c>
      <c r="AG16">
        <v>33</v>
      </c>
      <c r="AH16">
        <v>1</v>
      </c>
      <c r="AI16">
        <v>1</v>
      </c>
      <c r="AJ16">
        <v>0</v>
      </c>
      <c r="AK16">
        <v>4</v>
      </c>
      <c r="AL16" t="s">
        <v>380</v>
      </c>
      <c r="AM16" t="s">
        <v>381</v>
      </c>
      <c r="AN16" t="s">
        <v>382</v>
      </c>
      <c r="AO16" t="s">
        <v>74</v>
      </c>
      <c r="AP16" t="s">
        <v>74</v>
      </c>
      <c r="AQ16" t="s">
        <v>383</v>
      </c>
      <c r="AR16" t="s">
        <v>74</v>
      </c>
      <c r="AS16" t="s">
        <v>74</v>
      </c>
      <c r="AT16" t="s">
        <v>74</v>
      </c>
      <c r="AU16">
        <v>2016</v>
      </c>
      <c r="AV16" t="s">
        <v>74</v>
      </c>
      <c r="AW16" t="s">
        <v>74</v>
      </c>
      <c r="AX16" t="s">
        <v>74</v>
      </c>
      <c r="AY16" t="s">
        <v>74</v>
      </c>
      <c r="AZ16" t="s">
        <v>74</v>
      </c>
      <c r="BA16" t="s">
        <v>74</v>
      </c>
      <c r="BB16">
        <v>99</v>
      </c>
      <c r="BC16">
        <v>116</v>
      </c>
      <c r="BD16" t="s">
        <v>74</v>
      </c>
      <c r="BE16" t="s">
        <v>74</v>
      </c>
      <c r="BF16" t="s">
        <v>74</v>
      </c>
      <c r="BG16" t="s">
        <v>74</v>
      </c>
      <c r="BH16" t="s">
        <v>74</v>
      </c>
      <c r="BI16">
        <v>18</v>
      </c>
      <c r="BJ16" t="s">
        <v>384</v>
      </c>
      <c r="BK16" t="s">
        <v>216</v>
      </c>
      <c r="BL16" t="s">
        <v>385</v>
      </c>
      <c r="BM16" t="s">
        <v>386</v>
      </c>
      <c r="BN16" t="s">
        <v>74</v>
      </c>
      <c r="BO16" t="s">
        <v>74</v>
      </c>
      <c r="BP16" t="s">
        <v>74</v>
      </c>
      <c r="BQ16" t="s">
        <v>74</v>
      </c>
      <c r="BR16" t="s">
        <v>100</v>
      </c>
      <c r="BS16" t="s">
        <v>387</v>
      </c>
      <c r="BT16" t="str">
        <f>HYPERLINK("https%3A%2F%2Fwww.webofscience.com%2Fwos%2Fwoscc%2Ffull-record%2FWOS:000401973100008","View Full Record in Web of Science")</f>
        <v>View Full Record in Web of Science</v>
      </c>
    </row>
    <row r="17" spans="1:72" x14ac:dyDescent="0.15">
      <c r="A17" t="s">
        <v>193</v>
      </c>
      <c r="B17" t="s">
        <v>74</v>
      </c>
      <c r="C17" t="s">
        <v>74</v>
      </c>
      <c r="D17" t="s">
        <v>388</v>
      </c>
      <c r="E17" t="s">
        <v>74</v>
      </c>
      <c r="F17" t="s">
        <v>74</v>
      </c>
      <c r="G17" t="s">
        <v>74</v>
      </c>
      <c r="H17" t="s">
        <v>74</v>
      </c>
      <c r="I17" t="s">
        <v>389</v>
      </c>
      <c r="J17" t="s">
        <v>390</v>
      </c>
      <c r="K17" t="s">
        <v>391</v>
      </c>
      <c r="L17" t="s">
        <v>74</v>
      </c>
      <c r="M17" t="s">
        <v>200</v>
      </c>
      <c r="N17" t="s">
        <v>392</v>
      </c>
      <c r="O17" t="s">
        <v>74</v>
      </c>
      <c r="P17" t="s">
        <v>74</v>
      </c>
      <c r="Q17" t="s">
        <v>74</v>
      </c>
      <c r="R17" t="s">
        <v>74</v>
      </c>
      <c r="S17" t="s">
        <v>74</v>
      </c>
      <c r="T17" t="s">
        <v>74</v>
      </c>
      <c r="U17" t="s">
        <v>74</v>
      </c>
      <c r="V17" t="s">
        <v>74</v>
      </c>
      <c r="W17" t="s">
        <v>74</v>
      </c>
      <c r="X17" t="s">
        <v>74</v>
      </c>
      <c r="Y17" t="s">
        <v>74</v>
      </c>
      <c r="Z17" t="s">
        <v>74</v>
      </c>
      <c r="AA17" t="s">
        <v>74</v>
      </c>
      <c r="AB17" t="s">
        <v>74</v>
      </c>
      <c r="AC17" t="s">
        <v>74</v>
      </c>
      <c r="AD17" t="s">
        <v>74</v>
      </c>
      <c r="AE17" t="s">
        <v>74</v>
      </c>
      <c r="AF17" t="s">
        <v>74</v>
      </c>
      <c r="AG17">
        <v>0</v>
      </c>
      <c r="AH17">
        <v>0</v>
      </c>
      <c r="AI17">
        <v>0</v>
      </c>
      <c r="AJ17">
        <v>0</v>
      </c>
      <c r="AK17">
        <v>5</v>
      </c>
      <c r="AL17" t="s">
        <v>393</v>
      </c>
      <c r="AM17" t="s">
        <v>394</v>
      </c>
      <c r="AN17" t="s">
        <v>395</v>
      </c>
      <c r="AO17" t="s">
        <v>396</v>
      </c>
      <c r="AP17" t="s">
        <v>74</v>
      </c>
      <c r="AQ17" t="s">
        <v>397</v>
      </c>
      <c r="AR17" t="s">
        <v>398</v>
      </c>
      <c r="AS17" t="s">
        <v>74</v>
      </c>
      <c r="AT17" t="s">
        <v>74</v>
      </c>
      <c r="AU17">
        <v>2016</v>
      </c>
      <c r="AV17" t="s">
        <v>74</v>
      </c>
      <c r="AW17" t="s">
        <v>74</v>
      </c>
      <c r="AX17" t="s">
        <v>74</v>
      </c>
      <c r="AY17" t="s">
        <v>74</v>
      </c>
      <c r="AZ17" t="s">
        <v>74</v>
      </c>
      <c r="BA17" t="s">
        <v>74</v>
      </c>
      <c r="BB17">
        <v>1</v>
      </c>
      <c r="BC17">
        <v>441</v>
      </c>
      <c r="BD17" t="s">
        <v>74</v>
      </c>
      <c r="BE17" t="s">
        <v>399</v>
      </c>
      <c r="BF17" t="str">
        <f>HYPERLINK("http://dx.doi.org/10.1007/978-3-319-29279-3","http://dx.doi.org/10.1007/978-3-319-29279-3")</f>
        <v>http://dx.doi.org/10.1007/978-3-319-29279-3</v>
      </c>
      <c r="BG17" t="s">
        <v>74</v>
      </c>
      <c r="BH17" t="s">
        <v>74</v>
      </c>
      <c r="BI17">
        <v>111</v>
      </c>
      <c r="BJ17" t="s">
        <v>400</v>
      </c>
      <c r="BK17" t="s">
        <v>216</v>
      </c>
      <c r="BL17" t="s">
        <v>401</v>
      </c>
      <c r="BM17" t="s">
        <v>402</v>
      </c>
      <c r="BN17" t="s">
        <v>74</v>
      </c>
      <c r="BO17" t="s">
        <v>403</v>
      </c>
      <c r="BP17" t="s">
        <v>74</v>
      </c>
      <c r="BQ17" t="s">
        <v>74</v>
      </c>
      <c r="BR17" t="s">
        <v>100</v>
      </c>
      <c r="BS17" t="s">
        <v>404</v>
      </c>
      <c r="BT17" t="str">
        <f>HYPERLINK("https%3A%2F%2Fwww.webofscience.com%2Fwos%2Fwoscc%2Ffull-record%2FWOS:000401843300014","View Full Record in Web of Science")</f>
        <v>View Full Record in Web of Science</v>
      </c>
    </row>
    <row r="18" spans="1:72" x14ac:dyDescent="0.15">
      <c r="A18" t="s">
        <v>193</v>
      </c>
      <c r="B18" t="s">
        <v>405</v>
      </c>
      <c r="C18" t="s">
        <v>74</v>
      </c>
      <c r="D18" t="s">
        <v>388</v>
      </c>
      <c r="E18" t="s">
        <v>74</v>
      </c>
      <c r="F18" t="s">
        <v>406</v>
      </c>
      <c r="G18" t="s">
        <v>74</v>
      </c>
      <c r="H18" t="s">
        <v>74</v>
      </c>
      <c r="I18" t="s">
        <v>407</v>
      </c>
      <c r="J18" t="s">
        <v>390</v>
      </c>
      <c r="K18" t="s">
        <v>391</v>
      </c>
      <c r="L18" t="s">
        <v>74</v>
      </c>
      <c r="M18" t="s">
        <v>200</v>
      </c>
      <c r="N18" t="s">
        <v>201</v>
      </c>
      <c r="O18" t="s">
        <v>74</v>
      </c>
      <c r="P18" t="s">
        <v>74</v>
      </c>
      <c r="Q18" t="s">
        <v>74</v>
      </c>
      <c r="R18" t="s">
        <v>74</v>
      </c>
      <c r="S18" t="s">
        <v>74</v>
      </c>
      <c r="T18" t="s">
        <v>408</v>
      </c>
      <c r="U18" t="s">
        <v>409</v>
      </c>
      <c r="V18" t="s">
        <v>410</v>
      </c>
      <c r="W18" t="s">
        <v>411</v>
      </c>
      <c r="X18" t="s">
        <v>412</v>
      </c>
      <c r="Y18" t="s">
        <v>413</v>
      </c>
      <c r="Z18" t="s">
        <v>414</v>
      </c>
      <c r="AA18" t="s">
        <v>74</v>
      </c>
      <c r="AB18" t="s">
        <v>74</v>
      </c>
      <c r="AC18" t="s">
        <v>74</v>
      </c>
      <c r="AD18" t="s">
        <v>74</v>
      </c>
      <c r="AE18" t="s">
        <v>74</v>
      </c>
      <c r="AF18" t="s">
        <v>74</v>
      </c>
      <c r="AG18">
        <v>173</v>
      </c>
      <c r="AH18">
        <v>28</v>
      </c>
      <c r="AI18">
        <v>31</v>
      </c>
      <c r="AJ18">
        <v>0</v>
      </c>
      <c r="AK18">
        <v>7</v>
      </c>
      <c r="AL18" t="s">
        <v>393</v>
      </c>
      <c r="AM18" t="s">
        <v>394</v>
      </c>
      <c r="AN18" t="s">
        <v>395</v>
      </c>
      <c r="AO18" t="s">
        <v>396</v>
      </c>
      <c r="AP18" t="s">
        <v>74</v>
      </c>
      <c r="AQ18" t="s">
        <v>397</v>
      </c>
      <c r="AR18" t="s">
        <v>398</v>
      </c>
      <c r="AS18" t="s">
        <v>74</v>
      </c>
      <c r="AT18" t="s">
        <v>74</v>
      </c>
      <c r="AU18">
        <v>2016</v>
      </c>
      <c r="AV18" t="s">
        <v>74</v>
      </c>
      <c r="AW18" t="s">
        <v>74</v>
      </c>
      <c r="AX18" t="s">
        <v>74</v>
      </c>
      <c r="AY18" t="s">
        <v>74</v>
      </c>
      <c r="AZ18" t="s">
        <v>74</v>
      </c>
      <c r="BA18" t="s">
        <v>74</v>
      </c>
      <c r="BB18">
        <v>101</v>
      </c>
      <c r="BC18">
        <v>144</v>
      </c>
      <c r="BD18" t="s">
        <v>74</v>
      </c>
      <c r="BE18" t="s">
        <v>415</v>
      </c>
      <c r="BF18" t="str">
        <f>HYPERLINK("http://dx.doi.org/10.1007/978-3-319-29279-3_3","http://dx.doi.org/10.1007/978-3-319-29279-3_3")</f>
        <v>http://dx.doi.org/10.1007/978-3-319-29279-3_3</v>
      </c>
      <c r="BG18" t="s">
        <v>399</v>
      </c>
      <c r="BH18" t="s">
        <v>74</v>
      </c>
      <c r="BI18">
        <v>44</v>
      </c>
      <c r="BJ18" t="s">
        <v>400</v>
      </c>
      <c r="BK18" t="s">
        <v>216</v>
      </c>
      <c r="BL18" t="s">
        <v>401</v>
      </c>
      <c r="BM18" t="s">
        <v>402</v>
      </c>
      <c r="BN18" t="s">
        <v>74</v>
      </c>
      <c r="BO18" t="s">
        <v>74</v>
      </c>
      <c r="BP18" t="s">
        <v>74</v>
      </c>
      <c r="BQ18" t="s">
        <v>74</v>
      </c>
      <c r="BR18" t="s">
        <v>100</v>
      </c>
      <c r="BS18" t="s">
        <v>416</v>
      </c>
      <c r="BT18" t="str">
        <f>HYPERLINK("https%3A%2F%2Fwww.webofscience.com%2Fwos%2Fwoscc%2Ffull-record%2FWOS:000401843300004","View Full Record in Web of Science")</f>
        <v>View Full Record in Web of Science</v>
      </c>
    </row>
    <row r="19" spans="1:72" x14ac:dyDescent="0.15">
      <c r="A19" t="s">
        <v>193</v>
      </c>
      <c r="B19" t="s">
        <v>417</v>
      </c>
      <c r="C19" t="s">
        <v>74</v>
      </c>
      <c r="D19" t="s">
        <v>388</v>
      </c>
      <c r="E19" t="s">
        <v>74</v>
      </c>
      <c r="F19" t="s">
        <v>418</v>
      </c>
      <c r="G19" t="s">
        <v>74</v>
      </c>
      <c r="H19" t="s">
        <v>74</v>
      </c>
      <c r="I19" t="s">
        <v>419</v>
      </c>
      <c r="J19" t="s">
        <v>390</v>
      </c>
      <c r="K19" t="s">
        <v>391</v>
      </c>
      <c r="L19" t="s">
        <v>74</v>
      </c>
      <c r="M19" t="s">
        <v>200</v>
      </c>
      <c r="N19" t="s">
        <v>201</v>
      </c>
      <c r="O19" t="s">
        <v>74</v>
      </c>
      <c r="P19" t="s">
        <v>74</v>
      </c>
      <c r="Q19" t="s">
        <v>74</v>
      </c>
      <c r="R19" t="s">
        <v>74</v>
      </c>
      <c r="S19" t="s">
        <v>74</v>
      </c>
      <c r="T19" t="s">
        <v>420</v>
      </c>
      <c r="U19" t="s">
        <v>421</v>
      </c>
      <c r="V19" t="s">
        <v>422</v>
      </c>
      <c r="W19" t="s">
        <v>423</v>
      </c>
      <c r="X19" t="s">
        <v>424</v>
      </c>
      <c r="Y19" t="s">
        <v>425</v>
      </c>
      <c r="Z19" t="s">
        <v>426</v>
      </c>
      <c r="AA19" t="s">
        <v>427</v>
      </c>
      <c r="AB19" t="s">
        <v>74</v>
      </c>
      <c r="AC19" t="s">
        <v>428</v>
      </c>
      <c r="AD19" t="s">
        <v>429</v>
      </c>
      <c r="AE19" t="s">
        <v>74</v>
      </c>
      <c r="AF19" t="s">
        <v>74</v>
      </c>
      <c r="AG19">
        <v>216</v>
      </c>
      <c r="AH19">
        <v>62</v>
      </c>
      <c r="AI19">
        <v>70</v>
      </c>
      <c r="AJ19">
        <v>0</v>
      </c>
      <c r="AK19">
        <v>12</v>
      </c>
      <c r="AL19" t="s">
        <v>393</v>
      </c>
      <c r="AM19" t="s">
        <v>394</v>
      </c>
      <c r="AN19" t="s">
        <v>395</v>
      </c>
      <c r="AO19" t="s">
        <v>396</v>
      </c>
      <c r="AP19" t="s">
        <v>74</v>
      </c>
      <c r="AQ19" t="s">
        <v>397</v>
      </c>
      <c r="AR19" t="s">
        <v>398</v>
      </c>
      <c r="AS19" t="s">
        <v>74</v>
      </c>
      <c r="AT19" t="s">
        <v>74</v>
      </c>
      <c r="AU19">
        <v>2016</v>
      </c>
      <c r="AV19" t="s">
        <v>74</v>
      </c>
      <c r="AW19" t="s">
        <v>74</v>
      </c>
      <c r="AX19" t="s">
        <v>74</v>
      </c>
      <c r="AY19" t="s">
        <v>74</v>
      </c>
      <c r="AZ19" t="s">
        <v>74</v>
      </c>
      <c r="BA19" t="s">
        <v>74</v>
      </c>
      <c r="BB19">
        <v>175</v>
      </c>
      <c r="BC19">
        <v>224</v>
      </c>
      <c r="BD19" t="s">
        <v>74</v>
      </c>
      <c r="BE19" t="s">
        <v>430</v>
      </c>
      <c r="BF19" t="str">
        <f>HYPERLINK("http://dx.doi.org/10.1007/978-3-319-29279-3_5","http://dx.doi.org/10.1007/978-3-319-29279-3_5")</f>
        <v>http://dx.doi.org/10.1007/978-3-319-29279-3_5</v>
      </c>
      <c r="BG19" t="s">
        <v>399</v>
      </c>
      <c r="BH19" t="s">
        <v>74</v>
      </c>
      <c r="BI19">
        <v>50</v>
      </c>
      <c r="BJ19" t="s">
        <v>400</v>
      </c>
      <c r="BK19" t="s">
        <v>216</v>
      </c>
      <c r="BL19" t="s">
        <v>401</v>
      </c>
      <c r="BM19" t="s">
        <v>402</v>
      </c>
      <c r="BN19" t="s">
        <v>74</v>
      </c>
      <c r="BO19" t="s">
        <v>431</v>
      </c>
      <c r="BP19" t="s">
        <v>74</v>
      </c>
      <c r="BQ19" t="s">
        <v>74</v>
      </c>
      <c r="BR19" t="s">
        <v>100</v>
      </c>
      <c r="BS19" t="s">
        <v>432</v>
      </c>
      <c r="BT19" t="str">
        <f>HYPERLINK("https%3A%2F%2Fwww.webofscience.com%2Fwos%2Fwoscc%2Ffull-record%2FWOS:000401843300006","View Full Record in Web of Science")</f>
        <v>View Full Record in Web of Science</v>
      </c>
    </row>
    <row r="20" spans="1:72" x14ac:dyDescent="0.15">
      <c r="A20" t="s">
        <v>193</v>
      </c>
      <c r="B20" t="s">
        <v>433</v>
      </c>
      <c r="C20" t="s">
        <v>74</v>
      </c>
      <c r="D20" t="s">
        <v>388</v>
      </c>
      <c r="E20" t="s">
        <v>74</v>
      </c>
      <c r="F20" t="s">
        <v>434</v>
      </c>
      <c r="G20" t="s">
        <v>74</v>
      </c>
      <c r="H20" t="s">
        <v>74</v>
      </c>
      <c r="I20" t="s">
        <v>435</v>
      </c>
      <c r="J20" t="s">
        <v>390</v>
      </c>
      <c r="K20" t="s">
        <v>391</v>
      </c>
      <c r="L20" t="s">
        <v>74</v>
      </c>
      <c r="M20" t="s">
        <v>200</v>
      </c>
      <c r="N20" t="s">
        <v>201</v>
      </c>
      <c r="O20" t="s">
        <v>74</v>
      </c>
      <c r="P20" t="s">
        <v>74</v>
      </c>
      <c r="Q20" t="s">
        <v>74</v>
      </c>
      <c r="R20" t="s">
        <v>74</v>
      </c>
      <c r="S20" t="s">
        <v>74</v>
      </c>
      <c r="T20" t="s">
        <v>436</v>
      </c>
      <c r="U20" t="s">
        <v>437</v>
      </c>
      <c r="V20" t="s">
        <v>438</v>
      </c>
      <c r="W20" t="s">
        <v>439</v>
      </c>
      <c r="X20" t="s">
        <v>440</v>
      </c>
      <c r="Y20" t="s">
        <v>441</v>
      </c>
      <c r="Z20" t="s">
        <v>442</v>
      </c>
      <c r="AA20" t="s">
        <v>443</v>
      </c>
      <c r="AB20" t="s">
        <v>444</v>
      </c>
      <c r="AC20" t="s">
        <v>74</v>
      </c>
      <c r="AD20" t="s">
        <v>74</v>
      </c>
      <c r="AE20" t="s">
        <v>74</v>
      </c>
      <c r="AF20" t="s">
        <v>74</v>
      </c>
      <c r="AG20">
        <v>108</v>
      </c>
      <c r="AH20">
        <v>25</v>
      </c>
      <c r="AI20">
        <v>28</v>
      </c>
      <c r="AJ20">
        <v>2</v>
      </c>
      <c r="AK20">
        <v>6</v>
      </c>
      <c r="AL20" t="s">
        <v>393</v>
      </c>
      <c r="AM20" t="s">
        <v>394</v>
      </c>
      <c r="AN20" t="s">
        <v>395</v>
      </c>
      <c r="AO20" t="s">
        <v>396</v>
      </c>
      <c r="AP20" t="s">
        <v>74</v>
      </c>
      <c r="AQ20" t="s">
        <v>397</v>
      </c>
      <c r="AR20" t="s">
        <v>398</v>
      </c>
      <c r="AS20" t="s">
        <v>74</v>
      </c>
      <c r="AT20" t="s">
        <v>74</v>
      </c>
      <c r="AU20">
        <v>2016</v>
      </c>
      <c r="AV20" t="s">
        <v>74</v>
      </c>
      <c r="AW20" t="s">
        <v>74</v>
      </c>
      <c r="AX20" t="s">
        <v>74</v>
      </c>
      <c r="AY20" t="s">
        <v>74</v>
      </c>
      <c r="AZ20" t="s">
        <v>74</v>
      </c>
      <c r="BA20" t="s">
        <v>74</v>
      </c>
      <c r="BB20">
        <v>225</v>
      </c>
      <c r="BC20">
        <v>246</v>
      </c>
      <c r="BD20" t="s">
        <v>74</v>
      </c>
      <c r="BE20" t="s">
        <v>445</v>
      </c>
      <c r="BF20" t="str">
        <f>HYPERLINK("http://dx.doi.org/10.1007/978-3-319-29279-3_6","http://dx.doi.org/10.1007/978-3-319-29279-3_6")</f>
        <v>http://dx.doi.org/10.1007/978-3-319-29279-3_6</v>
      </c>
      <c r="BG20" t="s">
        <v>399</v>
      </c>
      <c r="BH20" t="s">
        <v>74</v>
      </c>
      <c r="BI20">
        <v>22</v>
      </c>
      <c r="BJ20" t="s">
        <v>400</v>
      </c>
      <c r="BK20" t="s">
        <v>216</v>
      </c>
      <c r="BL20" t="s">
        <v>401</v>
      </c>
      <c r="BM20" t="s">
        <v>402</v>
      </c>
      <c r="BN20" t="s">
        <v>74</v>
      </c>
      <c r="BO20" t="s">
        <v>74</v>
      </c>
      <c r="BP20" t="s">
        <v>74</v>
      </c>
      <c r="BQ20" t="s">
        <v>74</v>
      </c>
      <c r="BR20" t="s">
        <v>100</v>
      </c>
      <c r="BS20" t="s">
        <v>446</v>
      </c>
      <c r="BT20" t="str">
        <f>HYPERLINK("https%3A%2F%2Fwww.webofscience.com%2Fwos%2Fwoscc%2Ffull-record%2FWOS:000401843300007","View Full Record in Web of Science")</f>
        <v>View Full Record in Web of Science</v>
      </c>
    </row>
    <row r="21" spans="1:72" x14ac:dyDescent="0.15">
      <c r="A21" t="s">
        <v>193</v>
      </c>
      <c r="B21" t="s">
        <v>447</v>
      </c>
      <c r="C21" t="s">
        <v>74</v>
      </c>
      <c r="D21" t="s">
        <v>388</v>
      </c>
      <c r="E21" t="s">
        <v>74</v>
      </c>
      <c r="F21" t="s">
        <v>448</v>
      </c>
      <c r="G21" t="s">
        <v>74</v>
      </c>
      <c r="H21" t="s">
        <v>74</v>
      </c>
      <c r="I21" t="s">
        <v>449</v>
      </c>
      <c r="J21" t="s">
        <v>390</v>
      </c>
      <c r="K21" t="s">
        <v>391</v>
      </c>
      <c r="L21" t="s">
        <v>74</v>
      </c>
      <c r="M21" t="s">
        <v>200</v>
      </c>
      <c r="N21" t="s">
        <v>201</v>
      </c>
      <c r="O21" t="s">
        <v>74</v>
      </c>
      <c r="P21" t="s">
        <v>74</v>
      </c>
      <c r="Q21" t="s">
        <v>74</v>
      </c>
      <c r="R21" t="s">
        <v>74</v>
      </c>
      <c r="S21" t="s">
        <v>74</v>
      </c>
      <c r="T21" t="s">
        <v>450</v>
      </c>
      <c r="U21" t="s">
        <v>451</v>
      </c>
      <c r="V21" t="s">
        <v>452</v>
      </c>
      <c r="W21" t="s">
        <v>453</v>
      </c>
      <c r="X21" t="s">
        <v>454</v>
      </c>
      <c r="Y21" t="s">
        <v>455</v>
      </c>
      <c r="Z21" t="s">
        <v>456</v>
      </c>
      <c r="AA21" t="s">
        <v>457</v>
      </c>
      <c r="AB21" t="s">
        <v>458</v>
      </c>
      <c r="AC21" t="s">
        <v>74</v>
      </c>
      <c r="AD21" t="s">
        <v>74</v>
      </c>
      <c r="AE21" t="s">
        <v>74</v>
      </c>
      <c r="AF21" t="s">
        <v>74</v>
      </c>
      <c r="AG21">
        <v>98</v>
      </c>
      <c r="AH21">
        <v>11</v>
      </c>
      <c r="AI21">
        <v>11</v>
      </c>
      <c r="AJ21">
        <v>0</v>
      </c>
      <c r="AK21">
        <v>4</v>
      </c>
      <c r="AL21" t="s">
        <v>393</v>
      </c>
      <c r="AM21" t="s">
        <v>394</v>
      </c>
      <c r="AN21" t="s">
        <v>395</v>
      </c>
      <c r="AO21" t="s">
        <v>396</v>
      </c>
      <c r="AP21" t="s">
        <v>74</v>
      </c>
      <c r="AQ21" t="s">
        <v>397</v>
      </c>
      <c r="AR21" t="s">
        <v>398</v>
      </c>
      <c r="AS21" t="s">
        <v>74</v>
      </c>
      <c r="AT21" t="s">
        <v>74</v>
      </c>
      <c r="AU21">
        <v>2016</v>
      </c>
      <c r="AV21" t="s">
        <v>74</v>
      </c>
      <c r="AW21" t="s">
        <v>74</v>
      </c>
      <c r="AX21" t="s">
        <v>74</v>
      </c>
      <c r="AY21" t="s">
        <v>74</v>
      </c>
      <c r="AZ21" t="s">
        <v>74</v>
      </c>
      <c r="BA21" t="s">
        <v>74</v>
      </c>
      <c r="BB21">
        <v>247</v>
      </c>
      <c r="BC21">
        <v>277</v>
      </c>
      <c r="BD21" t="s">
        <v>74</v>
      </c>
      <c r="BE21" t="s">
        <v>459</v>
      </c>
      <c r="BF21" t="str">
        <f>HYPERLINK("http://dx.doi.org/10.1007/978-3-319-29279-3_7","http://dx.doi.org/10.1007/978-3-319-29279-3_7")</f>
        <v>http://dx.doi.org/10.1007/978-3-319-29279-3_7</v>
      </c>
      <c r="BG21" t="s">
        <v>399</v>
      </c>
      <c r="BH21" t="s">
        <v>74</v>
      </c>
      <c r="BI21">
        <v>31</v>
      </c>
      <c r="BJ21" t="s">
        <v>400</v>
      </c>
      <c r="BK21" t="s">
        <v>216</v>
      </c>
      <c r="BL21" t="s">
        <v>401</v>
      </c>
      <c r="BM21" t="s">
        <v>402</v>
      </c>
      <c r="BN21" t="s">
        <v>74</v>
      </c>
      <c r="BO21" t="s">
        <v>74</v>
      </c>
      <c r="BP21" t="s">
        <v>74</v>
      </c>
      <c r="BQ21" t="s">
        <v>74</v>
      </c>
      <c r="BR21" t="s">
        <v>100</v>
      </c>
      <c r="BS21" t="s">
        <v>460</v>
      </c>
      <c r="BT21" t="str">
        <f>HYPERLINK("https%3A%2F%2Fwww.webofscience.com%2Fwos%2Fwoscc%2Ffull-record%2FWOS:000401843300008","View Full Record in Web of Science")</f>
        <v>View Full Record in Web of Science</v>
      </c>
    </row>
    <row r="22" spans="1:72" x14ac:dyDescent="0.15">
      <c r="A22" t="s">
        <v>193</v>
      </c>
      <c r="B22" t="s">
        <v>461</v>
      </c>
      <c r="C22" t="s">
        <v>74</v>
      </c>
      <c r="D22" t="s">
        <v>388</v>
      </c>
      <c r="E22" t="s">
        <v>74</v>
      </c>
      <c r="F22" t="s">
        <v>462</v>
      </c>
      <c r="G22" t="s">
        <v>74</v>
      </c>
      <c r="H22" t="s">
        <v>74</v>
      </c>
      <c r="I22" t="s">
        <v>463</v>
      </c>
      <c r="J22" t="s">
        <v>390</v>
      </c>
      <c r="K22" t="s">
        <v>391</v>
      </c>
      <c r="L22" t="s">
        <v>74</v>
      </c>
      <c r="M22" t="s">
        <v>200</v>
      </c>
      <c r="N22" t="s">
        <v>201</v>
      </c>
      <c r="O22" t="s">
        <v>74</v>
      </c>
      <c r="P22" t="s">
        <v>74</v>
      </c>
      <c r="Q22" t="s">
        <v>74</v>
      </c>
      <c r="R22" t="s">
        <v>74</v>
      </c>
      <c r="S22" t="s">
        <v>74</v>
      </c>
      <c r="T22" t="s">
        <v>464</v>
      </c>
      <c r="U22" t="s">
        <v>465</v>
      </c>
      <c r="V22" t="s">
        <v>466</v>
      </c>
      <c r="W22" t="s">
        <v>467</v>
      </c>
      <c r="X22" t="s">
        <v>468</v>
      </c>
      <c r="Y22" t="s">
        <v>469</v>
      </c>
      <c r="Z22" t="s">
        <v>470</v>
      </c>
      <c r="AA22" t="s">
        <v>471</v>
      </c>
      <c r="AB22" t="s">
        <v>74</v>
      </c>
      <c r="AC22" t="s">
        <v>472</v>
      </c>
      <c r="AD22" t="s">
        <v>429</v>
      </c>
      <c r="AE22" t="s">
        <v>74</v>
      </c>
      <c r="AF22" t="s">
        <v>74</v>
      </c>
      <c r="AG22">
        <v>150</v>
      </c>
      <c r="AH22">
        <v>77</v>
      </c>
      <c r="AI22">
        <v>85</v>
      </c>
      <c r="AJ22">
        <v>1</v>
      </c>
      <c r="AK22">
        <v>17</v>
      </c>
      <c r="AL22" t="s">
        <v>393</v>
      </c>
      <c r="AM22" t="s">
        <v>394</v>
      </c>
      <c r="AN22" t="s">
        <v>395</v>
      </c>
      <c r="AO22" t="s">
        <v>396</v>
      </c>
      <c r="AP22" t="s">
        <v>74</v>
      </c>
      <c r="AQ22" t="s">
        <v>397</v>
      </c>
      <c r="AR22" t="s">
        <v>398</v>
      </c>
      <c r="AS22" t="s">
        <v>74</v>
      </c>
      <c r="AT22" t="s">
        <v>74</v>
      </c>
      <c r="AU22">
        <v>2016</v>
      </c>
      <c r="AV22" t="s">
        <v>74</v>
      </c>
      <c r="AW22" t="s">
        <v>74</v>
      </c>
      <c r="AX22" t="s">
        <v>74</v>
      </c>
      <c r="AY22" t="s">
        <v>74</v>
      </c>
      <c r="AZ22" t="s">
        <v>74</v>
      </c>
      <c r="BA22" t="s">
        <v>74</v>
      </c>
      <c r="BB22">
        <v>321</v>
      </c>
      <c r="BC22">
        <v>350</v>
      </c>
      <c r="BD22" t="s">
        <v>74</v>
      </c>
      <c r="BE22" t="s">
        <v>473</v>
      </c>
      <c r="BF22" t="str">
        <f>HYPERLINK("http://dx.doi.org/10.1007/978-3-319-29279-3_9","http://dx.doi.org/10.1007/978-3-319-29279-3_9")</f>
        <v>http://dx.doi.org/10.1007/978-3-319-29279-3_9</v>
      </c>
      <c r="BG22" t="s">
        <v>399</v>
      </c>
      <c r="BH22" t="s">
        <v>74</v>
      </c>
      <c r="BI22">
        <v>30</v>
      </c>
      <c r="BJ22" t="s">
        <v>400</v>
      </c>
      <c r="BK22" t="s">
        <v>216</v>
      </c>
      <c r="BL22" t="s">
        <v>401</v>
      </c>
      <c r="BM22" t="s">
        <v>402</v>
      </c>
      <c r="BN22" t="s">
        <v>74</v>
      </c>
      <c r="BO22" t="s">
        <v>403</v>
      </c>
      <c r="BP22" t="s">
        <v>74</v>
      </c>
      <c r="BQ22" t="s">
        <v>74</v>
      </c>
      <c r="BR22" t="s">
        <v>100</v>
      </c>
      <c r="BS22" t="s">
        <v>474</v>
      </c>
      <c r="BT22" t="str">
        <f>HYPERLINK("https%3A%2F%2Fwww.webofscience.com%2Fwos%2Fwoscc%2Ffull-record%2FWOS:000401843300010","View Full Record in Web of Science")</f>
        <v>View Full Record in Web of Science</v>
      </c>
    </row>
    <row r="23" spans="1:72" x14ac:dyDescent="0.15">
      <c r="A23" t="s">
        <v>193</v>
      </c>
      <c r="B23" t="s">
        <v>475</v>
      </c>
      <c r="C23" t="s">
        <v>74</v>
      </c>
      <c r="D23" t="s">
        <v>388</v>
      </c>
      <c r="E23" t="s">
        <v>74</v>
      </c>
      <c r="F23" t="s">
        <v>476</v>
      </c>
      <c r="G23" t="s">
        <v>74</v>
      </c>
      <c r="H23" t="s">
        <v>74</v>
      </c>
      <c r="I23" t="s">
        <v>477</v>
      </c>
      <c r="J23" t="s">
        <v>390</v>
      </c>
      <c r="K23" t="s">
        <v>391</v>
      </c>
      <c r="L23" t="s">
        <v>74</v>
      </c>
      <c r="M23" t="s">
        <v>200</v>
      </c>
      <c r="N23" t="s">
        <v>201</v>
      </c>
      <c r="O23" t="s">
        <v>74</v>
      </c>
      <c r="P23" t="s">
        <v>74</v>
      </c>
      <c r="Q23" t="s">
        <v>74</v>
      </c>
      <c r="R23" t="s">
        <v>74</v>
      </c>
      <c r="S23" t="s">
        <v>74</v>
      </c>
      <c r="T23" t="s">
        <v>478</v>
      </c>
      <c r="U23" t="s">
        <v>479</v>
      </c>
      <c r="V23" t="s">
        <v>480</v>
      </c>
      <c r="W23" t="s">
        <v>481</v>
      </c>
      <c r="X23" t="s">
        <v>482</v>
      </c>
      <c r="Y23" t="s">
        <v>483</v>
      </c>
      <c r="Z23" t="s">
        <v>484</v>
      </c>
      <c r="AA23" t="s">
        <v>74</v>
      </c>
      <c r="AB23" t="s">
        <v>74</v>
      </c>
      <c r="AC23" t="s">
        <v>74</v>
      </c>
      <c r="AD23" t="s">
        <v>74</v>
      </c>
      <c r="AE23" t="s">
        <v>74</v>
      </c>
      <c r="AF23" t="s">
        <v>74</v>
      </c>
      <c r="AG23">
        <v>102</v>
      </c>
      <c r="AH23">
        <v>6</v>
      </c>
      <c r="AI23">
        <v>10</v>
      </c>
      <c r="AJ23">
        <v>0</v>
      </c>
      <c r="AK23">
        <v>3</v>
      </c>
      <c r="AL23" t="s">
        <v>393</v>
      </c>
      <c r="AM23" t="s">
        <v>394</v>
      </c>
      <c r="AN23" t="s">
        <v>395</v>
      </c>
      <c r="AO23" t="s">
        <v>396</v>
      </c>
      <c r="AP23" t="s">
        <v>74</v>
      </c>
      <c r="AQ23" t="s">
        <v>397</v>
      </c>
      <c r="AR23" t="s">
        <v>398</v>
      </c>
      <c r="AS23" t="s">
        <v>74</v>
      </c>
      <c r="AT23" t="s">
        <v>74</v>
      </c>
      <c r="AU23">
        <v>2016</v>
      </c>
      <c r="AV23" t="s">
        <v>74</v>
      </c>
      <c r="AW23" t="s">
        <v>74</v>
      </c>
      <c r="AX23" t="s">
        <v>74</v>
      </c>
      <c r="AY23" t="s">
        <v>74</v>
      </c>
      <c r="AZ23" t="s">
        <v>74</v>
      </c>
      <c r="BA23" t="s">
        <v>74</v>
      </c>
      <c r="BB23">
        <v>351</v>
      </c>
      <c r="BC23">
        <v>386</v>
      </c>
      <c r="BD23" t="s">
        <v>74</v>
      </c>
      <c r="BE23" t="s">
        <v>485</v>
      </c>
      <c r="BF23" t="str">
        <f>HYPERLINK("http://dx.doi.org/10.1007/978-3-319-29279-3_10","http://dx.doi.org/10.1007/978-3-319-29279-3_10")</f>
        <v>http://dx.doi.org/10.1007/978-3-319-29279-3_10</v>
      </c>
      <c r="BG23" t="s">
        <v>399</v>
      </c>
      <c r="BH23" t="s">
        <v>74</v>
      </c>
      <c r="BI23">
        <v>36</v>
      </c>
      <c r="BJ23" t="s">
        <v>400</v>
      </c>
      <c r="BK23" t="s">
        <v>216</v>
      </c>
      <c r="BL23" t="s">
        <v>401</v>
      </c>
      <c r="BM23" t="s">
        <v>402</v>
      </c>
      <c r="BN23" t="s">
        <v>74</v>
      </c>
      <c r="BO23" t="s">
        <v>486</v>
      </c>
      <c r="BP23" t="s">
        <v>74</v>
      </c>
      <c r="BQ23" t="s">
        <v>74</v>
      </c>
      <c r="BR23" t="s">
        <v>100</v>
      </c>
      <c r="BS23" t="s">
        <v>487</v>
      </c>
      <c r="BT23" t="str">
        <f>HYPERLINK("https%3A%2F%2Fwww.webofscience.com%2Fwos%2Fwoscc%2Ffull-record%2FWOS:000401843300011","View Full Record in Web of Science")</f>
        <v>View Full Record in Web of Science</v>
      </c>
    </row>
    <row r="24" spans="1:72" x14ac:dyDescent="0.15">
      <c r="A24" t="s">
        <v>72</v>
      </c>
      <c r="B24" t="s">
        <v>488</v>
      </c>
      <c r="C24" t="s">
        <v>74</v>
      </c>
      <c r="D24" t="s">
        <v>74</v>
      </c>
      <c r="E24" t="s">
        <v>74</v>
      </c>
      <c r="F24" t="s">
        <v>489</v>
      </c>
      <c r="G24" t="s">
        <v>74</v>
      </c>
      <c r="H24" t="s">
        <v>74</v>
      </c>
      <c r="I24" t="s">
        <v>490</v>
      </c>
      <c r="J24" t="s">
        <v>491</v>
      </c>
      <c r="K24" t="s">
        <v>74</v>
      </c>
      <c r="L24" t="s">
        <v>74</v>
      </c>
      <c r="M24" t="s">
        <v>200</v>
      </c>
      <c r="N24" t="s">
        <v>79</v>
      </c>
      <c r="O24" t="s">
        <v>74</v>
      </c>
      <c r="P24" t="s">
        <v>74</v>
      </c>
      <c r="Q24" t="s">
        <v>74</v>
      </c>
      <c r="R24" t="s">
        <v>74</v>
      </c>
      <c r="S24" t="s">
        <v>74</v>
      </c>
      <c r="T24" t="s">
        <v>492</v>
      </c>
      <c r="U24" t="s">
        <v>74</v>
      </c>
      <c r="V24" t="s">
        <v>493</v>
      </c>
      <c r="W24" t="s">
        <v>494</v>
      </c>
      <c r="X24" t="s">
        <v>495</v>
      </c>
      <c r="Y24" t="s">
        <v>496</v>
      </c>
      <c r="Z24" t="s">
        <v>497</v>
      </c>
      <c r="AA24" t="s">
        <v>498</v>
      </c>
      <c r="AB24" t="s">
        <v>74</v>
      </c>
      <c r="AC24" t="s">
        <v>499</v>
      </c>
      <c r="AD24" t="s">
        <v>500</v>
      </c>
      <c r="AE24" t="s">
        <v>501</v>
      </c>
      <c r="AF24" t="s">
        <v>74</v>
      </c>
      <c r="AG24">
        <v>5</v>
      </c>
      <c r="AH24">
        <v>5</v>
      </c>
      <c r="AI24">
        <v>5</v>
      </c>
      <c r="AJ24">
        <v>0</v>
      </c>
      <c r="AK24">
        <v>4</v>
      </c>
      <c r="AL24" t="s">
        <v>502</v>
      </c>
      <c r="AM24" t="s">
        <v>503</v>
      </c>
      <c r="AN24" t="s">
        <v>504</v>
      </c>
      <c r="AO24" t="s">
        <v>74</v>
      </c>
      <c r="AP24" t="s">
        <v>505</v>
      </c>
      <c r="AQ24" t="s">
        <v>74</v>
      </c>
      <c r="AR24" t="s">
        <v>506</v>
      </c>
      <c r="AS24" t="s">
        <v>507</v>
      </c>
      <c r="AT24" t="s">
        <v>74</v>
      </c>
      <c r="AU24">
        <v>2016</v>
      </c>
      <c r="AV24">
        <v>1</v>
      </c>
      <c r="AW24">
        <v>1</v>
      </c>
      <c r="AX24" t="s">
        <v>74</v>
      </c>
      <c r="AY24" t="s">
        <v>74</v>
      </c>
      <c r="AZ24" t="s">
        <v>74</v>
      </c>
      <c r="BA24" t="s">
        <v>74</v>
      </c>
      <c r="BB24">
        <v>50</v>
      </c>
      <c r="BC24">
        <v>51</v>
      </c>
      <c r="BD24" t="s">
        <v>74</v>
      </c>
      <c r="BE24" t="s">
        <v>508</v>
      </c>
      <c r="BF24" t="str">
        <f>HYPERLINK("http://dx.doi.org/10.1080/23802359.2015.1137818","http://dx.doi.org/10.1080/23802359.2015.1137818")</f>
        <v>http://dx.doi.org/10.1080/23802359.2015.1137818</v>
      </c>
      <c r="BG24" t="s">
        <v>74</v>
      </c>
      <c r="BH24" t="s">
        <v>74</v>
      </c>
      <c r="BI24">
        <v>2</v>
      </c>
      <c r="BJ24" t="s">
        <v>509</v>
      </c>
      <c r="BK24" t="s">
        <v>264</v>
      </c>
      <c r="BL24" t="s">
        <v>509</v>
      </c>
      <c r="BM24" t="s">
        <v>510</v>
      </c>
      <c r="BN24">
        <v>33473404</v>
      </c>
      <c r="BO24" t="s">
        <v>511</v>
      </c>
      <c r="BP24" t="s">
        <v>74</v>
      </c>
      <c r="BQ24" t="s">
        <v>74</v>
      </c>
      <c r="BR24" t="s">
        <v>100</v>
      </c>
      <c r="BS24" t="s">
        <v>512</v>
      </c>
      <c r="BT24" t="str">
        <f>HYPERLINK("https%3A%2F%2Fwww.webofscience.com%2Fwos%2Fwoscc%2Ffull-record%2FWOS:000402041200024","View Full Record in Web of Science")</f>
        <v>View Full Record in Web of Science</v>
      </c>
    </row>
    <row r="25" spans="1:72" x14ac:dyDescent="0.15">
      <c r="A25" t="s">
        <v>72</v>
      </c>
      <c r="B25" t="s">
        <v>513</v>
      </c>
      <c r="C25" t="s">
        <v>74</v>
      </c>
      <c r="D25" t="s">
        <v>74</v>
      </c>
      <c r="E25" t="s">
        <v>74</v>
      </c>
      <c r="F25" t="s">
        <v>514</v>
      </c>
      <c r="G25" t="s">
        <v>74</v>
      </c>
      <c r="H25" t="s">
        <v>74</v>
      </c>
      <c r="I25" t="s">
        <v>515</v>
      </c>
      <c r="J25" t="s">
        <v>491</v>
      </c>
      <c r="K25" t="s">
        <v>74</v>
      </c>
      <c r="L25" t="s">
        <v>74</v>
      </c>
      <c r="M25" t="s">
        <v>200</v>
      </c>
      <c r="N25" t="s">
        <v>79</v>
      </c>
      <c r="O25" t="s">
        <v>74</v>
      </c>
      <c r="P25" t="s">
        <v>74</v>
      </c>
      <c r="Q25" t="s">
        <v>74</v>
      </c>
      <c r="R25" t="s">
        <v>74</v>
      </c>
      <c r="S25" t="s">
        <v>74</v>
      </c>
      <c r="T25" t="s">
        <v>516</v>
      </c>
      <c r="U25" t="s">
        <v>517</v>
      </c>
      <c r="V25" t="s">
        <v>518</v>
      </c>
      <c r="W25" t="s">
        <v>519</v>
      </c>
      <c r="X25" t="s">
        <v>251</v>
      </c>
      <c r="Y25" t="s">
        <v>520</v>
      </c>
      <c r="Z25" t="s">
        <v>497</v>
      </c>
      <c r="AA25" t="s">
        <v>498</v>
      </c>
      <c r="AB25" t="s">
        <v>74</v>
      </c>
      <c r="AC25" t="s">
        <v>499</v>
      </c>
      <c r="AD25" t="s">
        <v>500</v>
      </c>
      <c r="AE25" t="s">
        <v>521</v>
      </c>
      <c r="AF25" t="s">
        <v>74</v>
      </c>
      <c r="AG25">
        <v>6</v>
      </c>
      <c r="AH25">
        <v>13</v>
      </c>
      <c r="AI25">
        <v>13</v>
      </c>
      <c r="AJ25">
        <v>0</v>
      </c>
      <c r="AK25">
        <v>3</v>
      </c>
      <c r="AL25" t="s">
        <v>502</v>
      </c>
      <c r="AM25" t="s">
        <v>503</v>
      </c>
      <c r="AN25" t="s">
        <v>504</v>
      </c>
      <c r="AO25" t="s">
        <v>74</v>
      </c>
      <c r="AP25" t="s">
        <v>505</v>
      </c>
      <c r="AQ25" t="s">
        <v>74</v>
      </c>
      <c r="AR25" t="s">
        <v>506</v>
      </c>
      <c r="AS25" t="s">
        <v>507</v>
      </c>
      <c r="AT25" t="s">
        <v>74</v>
      </c>
      <c r="AU25">
        <v>2016</v>
      </c>
      <c r="AV25">
        <v>1</v>
      </c>
      <c r="AW25">
        <v>1</v>
      </c>
      <c r="AX25" t="s">
        <v>74</v>
      </c>
      <c r="AY25" t="s">
        <v>74</v>
      </c>
      <c r="AZ25" t="s">
        <v>74</v>
      </c>
      <c r="BA25" t="s">
        <v>74</v>
      </c>
      <c r="BB25">
        <v>52</v>
      </c>
      <c r="BC25">
        <v>53</v>
      </c>
      <c r="BD25" t="s">
        <v>74</v>
      </c>
      <c r="BE25" t="s">
        <v>522</v>
      </c>
      <c r="BF25" t="str">
        <f>HYPERLINK("http://dx.doi.org/10.1080/23802359.2015.1137819","http://dx.doi.org/10.1080/23802359.2015.1137819")</f>
        <v>http://dx.doi.org/10.1080/23802359.2015.1137819</v>
      </c>
      <c r="BG25" t="s">
        <v>74</v>
      </c>
      <c r="BH25" t="s">
        <v>74</v>
      </c>
      <c r="BI25">
        <v>2</v>
      </c>
      <c r="BJ25" t="s">
        <v>509</v>
      </c>
      <c r="BK25" t="s">
        <v>264</v>
      </c>
      <c r="BL25" t="s">
        <v>509</v>
      </c>
      <c r="BM25" t="s">
        <v>510</v>
      </c>
      <c r="BN25">
        <v>33473405</v>
      </c>
      <c r="BO25" t="s">
        <v>523</v>
      </c>
      <c r="BP25" t="s">
        <v>74</v>
      </c>
      <c r="BQ25" t="s">
        <v>74</v>
      </c>
      <c r="BR25" t="s">
        <v>100</v>
      </c>
      <c r="BS25" t="s">
        <v>524</v>
      </c>
      <c r="BT25" t="str">
        <f>HYPERLINK("https%3A%2F%2Fwww.webofscience.com%2Fwos%2Fwoscc%2Ffull-record%2FWOS:000402041200025","View Full Record in Web of Science")</f>
        <v>View Full Record in Web of Science</v>
      </c>
    </row>
    <row r="26" spans="1:72" x14ac:dyDescent="0.15">
      <c r="A26" t="s">
        <v>72</v>
      </c>
      <c r="B26" t="s">
        <v>525</v>
      </c>
      <c r="C26" t="s">
        <v>74</v>
      </c>
      <c r="D26" t="s">
        <v>74</v>
      </c>
      <c r="E26" t="s">
        <v>74</v>
      </c>
      <c r="F26" t="s">
        <v>526</v>
      </c>
      <c r="G26" t="s">
        <v>74</v>
      </c>
      <c r="H26" t="s">
        <v>74</v>
      </c>
      <c r="I26" t="s">
        <v>527</v>
      </c>
      <c r="J26" t="s">
        <v>491</v>
      </c>
      <c r="K26" t="s">
        <v>74</v>
      </c>
      <c r="L26" t="s">
        <v>74</v>
      </c>
      <c r="M26" t="s">
        <v>200</v>
      </c>
      <c r="N26" t="s">
        <v>79</v>
      </c>
      <c r="O26" t="s">
        <v>74</v>
      </c>
      <c r="P26" t="s">
        <v>74</v>
      </c>
      <c r="Q26" t="s">
        <v>74</v>
      </c>
      <c r="R26" t="s">
        <v>74</v>
      </c>
      <c r="S26" t="s">
        <v>74</v>
      </c>
      <c r="T26" t="s">
        <v>528</v>
      </c>
      <c r="U26" t="s">
        <v>74</v>
      </c>
      <c r="V26" t="s">
        <v>529</v>
      </c>
      <c r="W26" t="s">
        <v>530</v>
      </c>
      <c r="X26" t="s">
        <v>531</v>
      </c>
      <c r="Y26" t="s">
        <v>532</v>
      </c>
      <c r="Z26" t="s">
        <v>533</v>
      </c>
      <c r="AA26" t="s">
        <v>74</v>
      </c>
      <c r="AB26" t="s">
        <v>534</v>
      </c>
      <c r="AC26" t="s">
        <v>535</v>
      </c>
      <c r="AD26" t="s">
        <v>536</v>
      </c>
      <c r="AE26" t="s">
        <v>537</v>
      </c>
      <c r="AF26" t="s">
        <v>74</v>
      </c>
      <c r="AG26">
        <v>7</v>
      </c>
      <c r="AH26">
        <v>0</v>
      </c>
      <c r="AI26">
        <v>0</v>
      </c>
      <c r="AJ26">
        <v>0</v>
      </c>
      <c r="AK26">
        <v>3</v>
      </c>
      <c r="AL26" t="s">
        <v>502</v>
      </c>
      <c r="AM26" t="s">
        <v>503</v>
      </c>
      <c r="AN26" t="s">
        <v>504</v>
      </c>
      <c r="AO26" t="s">
        <v>74</v>
      </c>
      <c r="AP26" t="s">
        <v>505</v>
      </c>
      <c r="AQ26" t="s">
        <v>74</v>
      </c>
      <c r="AR26" t="s">
        <v>506</v>
      </c>
      <c r="AS26" t="s">
        <v>507</v>
      </c>
      <c r="AT26" t="s">
        <v>74</v>
      </c>
      <c r="AU26">
        <v>2016</v>
      </c>
      <c r="AV26">
        <v>1</v>
      </c>
      <c r="AW26">
        <v>1</v>
      </c>
      <c r="AX26" t="s">
        <v>74</v>
      </c>
      <c r="AY26" t="s">
        <v>74</v>
      </c>
      <c r="AZ26" t="s">
        <v>74</v>
      </c>
      <c r="BA26" t="s">
        <v>74</v>
      </c>
      <c r="BB26">
        <v>138</v>
      </c>
      <c r="BC26">
        <v>139</v>
      </c>
      <c r="BD26" t="s">
        <v>74</v>
      </c>
      <c r="BE26" t="s">
        <v>538</v>
      </c>
      <c r="BF26" t="str">
        <f>HYPERLINK("http://dx.doi.org/10.1080/23802359.2016.1144098","http://dx.doi.org/10.1080/23802359.2016.1144098")</f>
        <v>http://dx.doi.org/10.1080/23802359.2016.1144098</v>
      </c>
      <c r="BG26" t="s">
        <v>74</v>
      </c>
      <c r="BH26" t="s">
        <v>74</v>
      </c>
      <c r="BI26">
        <v>2</v>
      </c>
      <c r="BJ26" t="s">
        <v>509</v>
      </c>
      <c r="BK26" t="s">
        <v>264</v>
      </c>
      <c r="BL26" t="s">
        <v>509</v>
      </c>
      <c r="BM26" t="s">
        <v>510</v>
      </c>
      <c r="BN26">
        <v>33644332</v>
      </c>
      <c r="BO26" t="s">
        <v>511</v>
      </c>
      <c r="BP26" t="s">
        <v>74</v>
      </c>
      <c r="BQ26" t="s">
        <v>74</v>
      </c>
      <c r="BR26" t="s">
        <v>100</v>
      </c>
      <c r="BS26" t="s">
        <v>539</v>
      </c>
      <c r="BT26" t="str">
        <f>HYPERLINK("https%3A%2F%2Fwww.webofscience.com%2Fwos%2Fwoscc%2Ffull-record%2FWOS:000402041200066","View Full Record in Web of Science")</f>
        <v>View Full Record in Web of Science</v>
      </c>
    </row>
    <row r="27" spans="1:72" x14ac:dyDescent="0.15">
      <c r="A27" t="s">
        <v>72</v>
      </c>
      <c r="B27" t="s">
        <v>540</v>
      </c>
      <c r="C27" t="s">
        <v>74</v>
      </c>
      <c r="D27" t="s">
        <v>74</v>
      </c>
      <c r="E27" t="s">
        <v>74</v>
      </c>
      <c r="F27" t="s">
        <v>541</v>
      </c>
      <c r="G27" t="s">
        <v>74</v>
      </c>
      <c r="H27" t="s">
        <v>74</v>
      </c>
      <c r="I27" t="s">
        <v>542</v>
      </c>
      <c r="J27" t="s">
        <v>491</v>
      </c>
      <c r="K27" t="s">
        <v>74</v>
      </c>
      <c r="L27" t="s">
        <v>74</v>
      </c>
      <c r="M27" t="s">
        <v>200</v>
      </c>
      <c r="N27" t="s">
        <v>79</v>
      </c>
      <c r="O27" t="s">
        <v>74</v>
      </c>
      <c r="P27" t="s">
        <v>74</v>
      </c>
      <c r="Q27" t="s">
        <v>74</v>
      </c>
      <c r="R27" t="s">
        <v>74</v>
      </c>
      <c r="S27" t="s">
        <v>74</v>
      </c>
      <c r="T27" t="s">
        <v>543</v>
      </c>
      <c r="U27" t="s">
        <v>74</v>
      </c>
      <c r="V27" t="s">
        <v>544</v>
      </c>
      <c r="W27" t="s">
        <v>545</v>
      </c>
      <c r="X27" t="s">
        <v>531</v>
      </c>
      <c r="Y27" t="s">
        <v>546</v>
      </c>
      <c r="Z27" t="s">
        <v>533</v>
      </c>
      <c r="AA27" t="s">
        <v>74</v>
      </c>
      <c r="AB27" t="s">
        <v>534</v>
      </c>
      <c r="AC27" t="s">
        <v>547</v>
      </c>
      <c r="AD27" t="s">
        <v>548</v>
      </c>
      <c r="AE27" t="s">
        <v>549</v>
      </c>
      <c r="AF27" t="s">
        <v>74</v>
      </c>
      <c r="AG27">
        <v>5</v>
      </c>
      <c r="AH27">
        <v>5</v>
      </c>
      <c r="AI27">
        <v>5</v>
      </c>
      <c r="AJ27">
        <v>0</v>
      </c>
      <c r="AK27">
        <v>7</v>
      </c>
      <c r="AL27" t="s">
        <v>502</v>
      </c>
      <c r="AM27" t="s">
        <v>503</v>
      </c>
      <c r="AN27" t="s">
        <v>504</v>
      </c>
      <c r="AO27" t="s">
        <v>74</v>
      </c>
      <c r="AP27" t="s">
        <v>505</v>
      </c>
      <c r="AQ27" t="s">
        <v>74</v>
      </c>
      <c r="AR27" t="s">
        <v>506</v>
      </c>
      <c r="AS27" t="s">
        <v>507</v>
      </c>
      <c r="AT27" t="s">
        <v>74</v>
      </c>
      <c r="AU27">
        <v>2016</v>
      </c>
      <c r="AV27">
        <v>1</v>
      </c>
      <c r="AW27">
        <v>1</v>
      </c>
      <c r="AX27" t="s">
        <v>74</v>
      </c>
      <c r="AY27" t="s">
        <v>74</v>
      </c>
      <c r="AZ27" t="s">
        <v>74</v>
      </c>
      <c r="BA27" t="s">
        <v>74</v>
      </c>
      <c r="BB27">
        <v>432</v>
      </c>
      <c r="BC27">
        <v>433</v>
      </c>
      <c r="BD27" t="s">
        <v>74</v>
      </c>
      <c r="BE27" t="s">
        <v>550</v>
      </c>
      <c r="BF27" t="str">
        <f>HYPERLINK("http://dx.doi.org/10.1080/23802359.2016.1180554","http://dx.doi.org/10.1080/23802359.2016.1180554")</f>
        <v>http://dx.doi.org/10.1080/23802359.2016.1180554</v>
      </c>
      <c r="BG27" t="s">
        <v>74</v>
      </c>
      <c r="BH27" t="s">
        <v>74</v>
      </c>
      <c r="BI27">
        <v>2</v>
      </c>
      <c r="BJ27" t="s">
        <v>509</v>
      </c>
      <c r="BK27" t="s">
        <v>264</v>
      </c>
      <c r="BL27" t="s">
        <v>509</v>
      </c>
      <c r="BM27" t="s">
        <v>510</v>
      </c>
      <c r="BN27">
        <v>33473508</v>
      </c>
      <c r="BO27" t="s">
        <v>523</v>
      </c>
      <c r="BP27" t="s">
        <v>74</v>
      </c>
      <c r="BQ27" t="s">
        <v>74</v>
      </c>
      <c r="BR27" t="s">
        <v>100</v>
      </c>
      <c r="BS27" t="s">
        <v>551</v>
      </c>
      <c r="BT27" t="str">
        <f>HYPERLINK("https%3A%2F%2Fwww.webofscience.com%2Fwos%2Fwoscc%2Ffull-record%2FWOS:000402041200200","View Full Record in Web of Science")</f>
        <v>View Full Record in Web of Science</v>
      </c>
    </row>
    <row r="28" spans="1:72" x14ac:dyDescent="0.15">
      <c r="A28" t="s">
        <v>267</v>
      </c>
      <c r="B28" t="s">
        <v>552</v>
      </c>
      <c r="C28" t="s">
        <v>74</v>
      </c>
      <c r="D28" t="s">
        <v>74</v>
      </c>
      <c r="E28" t="s">
        <v>269</v>
      </c>
      <c r="F28" t="s">
        <v>553</v>
      </c>
      <c r="G28" t="s">
        <v>74</v>
      </c>
      <c r="H28" t="s">
        <v>74</v>
      </c>
      <c r="I28" t="s">
        <v>554</v>
      </c>
      <c r="J28" t="s">
        <v>555</v>
      </c>
      <c r="K28" t="s">
        <v>74</v>
      </c>
      <c r="L28" t="s">
        <v>74</v>
      </c>
      <c r="M28" t="s">
        <v>200</v>
      </c>
      <c r="N28" t="s">
        <v>273</v>
      </c>
      <c r="O28" t="s">
        <v>556</v>
      </c>
      <c r="P28" t="s">
        <v>557</v>
      </c>
      <c r="Q28" t="s">
        <v>558</v>
      </c>
      <c r="R28" t="s">
        <v>74</v>
      </c>
      <c r="S28" t="s">
        <v>74</v>
      </c>
      <c r="T28" t="s">
        <v>559</v>
      </c>
      <c r="U28" t="s">
        <v>560</v>
      </c>
      <c r="V28" t="s">
        <v>561</v>
      </c>
      <c r="W28" t="s">
        <v>562</v>
      </c>
      <c r="X28" t="s">
        <v>563</v>
      </c>
      <c r="Y28" t="s">
        <v>564</v>
      </c>
      <c r="Z28" t="s">
        <v>565</v>
      </c>
      <c r="AA28" t="s">
        <v>566</v>
      </c>
      <c r="AB28" t="s">
        <v>74</v>
      </c>
      <c r="AC28" t="s">
        <v>567</v>
      </c>
      <c r="AD28" t="s">
        <v>567</v>
      </c>
      <c r="AE28" t="s">
        <v>568</v>
      </c>
      <c r="AF28" t="s">
        <v>74</v>
      </c>
      <c r="AG28">
        <v>10</v>
      </c>
      <c r="AH28">
        <v>0</v>
      </c>
      <c r="AI28">
        <v>0</v>
      </c>
      <c r="AJ28">
        <v>0</v>
      </c>
      <c r="AK28">
        <v>1</v>
      </c>
      <c r="AL28" t="s">
        <v>269</v>
      </c>
      <c r="AM28" t="s">
        <v>289</v>
      </c>
      <c r="AN28" t="s">
        <v>290</v>
      </c>
      <c r="AO28" t="s">
        <v>74</v>
      </c>
      <c r="AP28" t="s">
        <v>74</v>
      </c>
      <c r="AQ28" t="s">
        <v>569</v>
      </c>
      <c r="AR28" t="s">
        <v>74</v>
      </c>
      <c r="AS28" t="s">
        <v>74</v>
      </c>
      <c r="AT28" t="s">
        <v>74</v>
      </c>
      <c r="AU28">
        <v>2016</v>
      </c>
      <c r="AV28" t="s">
        <v>74</v>
      </c>
      <c r="AW28" t="s">
        <v>74</v>
      </c>
      <c r="AX28" t="s">
        <v>74</v>
      </c>
      <c r="AY28" t="s">
        <v>74</v>
      </c>
      <c r="AZ28" t="s">
        <v>74</v>
      </c>
      <c r="BA28" t="s">
        <v>74</v>
      </c>
      <c r="BB28" t="s">
        <v>74</v>
      </c>
      <c r="BC28" t="s">
        <v>74</v>
      </c>
      <c r="BD28" t="s">
        <v>74</v>
      </c>
      <c r="BE28" t="s">
        <v>570</v>
      </c>
      <c r="BF28" t="str">
        <f>HYPERLINK("http://dx.doi.org/10.1109/OCEANS.2016.7761352","http://dx.doi.org/10.1109/OCEANS.2016.7761352")</f>
        <v>http://dx.doi.org/10.1109/OCEANS.2016.7761352</v>
      </c>
      <c r="BG28" t="s">
        <v>74</v>
      </c>
      <c r="BH28" t="s">
        <v>74</v>
      </c>
      <c r="BI28">
        <v>5</v>
      </c>
      <c r="BJ28" t="s">
        <v>571</v>
      </c>
      <c r="BK28" t="s">
        <v>293</v>
      </c>
      <c r="BL28" t="s">
        <v>572</v>
      </c>
      <c r="BM28" t="s">
        <v>573</v>
      </c>
      <c r="BN28" t="s">
        <v>74</v>
      </c>
      <c r="BO28" t="s">
        <v>74</v>
      </c>
      <c r="BP28" t="s">
        <v>74</v>
      </c>
      <c r="BQ28" t="s">
        <v>74</v>
      </c>
      <c r="BR28" t="s">
        <v>100</v>
      </c>
      <c r="BS28" t="s">
        <v>574</v>
      </c>
      <c r="BT28" t="str">
        <f>HYPERLINK("https%3A%2F%2Fwww.webofscience.com%2Fwos%2Fwoscc%2Ffull-record%2FWOS:000399929002034","View Full Record in Web of Science")</f>
        <v>View Full Record in Web of Science</v>
      </c>
    </row>
    <row r="29" spans="1:72" x14ac:dyDescent="0.15">
      <c r="A29" t="s">
        <v>267</v>
      </c>
      <c r="B29" t="s">
        <v>575</v>
      </c>
      <c r="C29" t="s">
        <v>74</v>
      </c>
      <c r="D29" t="s">
        <v>74</v>
      </c>
      <c r="E29" t="s">
        <v>269</v>
      </c>
      <c r="F29" t="s">
        <v>576</v>
      </c>
      <c r="G29" t="s">
        <v>74</v>
      </c>
      <c r="H29" t="s">
        <v>74</v>
      </c>
      <c r="I29" t="s">
        <v>577</v>
      </c>
      <c r="J29" t="s">
        <v>555</v>
      </c>
      <c r="K29" t="s">
        <v>74</v>
      </c>
      <c r="L29" t="s">
        <v>74</v>
      </c>
      <c r="M29" t="s">
        <v>200</v>
      </c>
      <c r="N29" t="s">
        <v>273</v>
      </c>
      <c r="O29" t="s">
        <v>556</v>
      </c>
      <c r="P29" t="s">
        <v>557</v>
      </c>
      <c r="Q29" t="s">
        <v>558</v>
      </c>
      <c r="R29" t="s">
        <v>74</v>
      </c>
      <c r="S29" t="s">
        <v>74</v>
      </c>
      <c r="T29" t="s">
        <v>578</v>
      </c>
      <c r="U29" t="s">
        <v>579</v>
      </c>
      <c r="V29" t="s">
        <v>74</v>
      </c>
      <c r="W29" t="s">
        <v>580</v>
      </c>
      <c r="X29" t="s">
        <v>581</v>
      </c>
      <c r="Y29" t="s">
        <v>582</v>
      </c>
      <c r="Z29" t="s">
        <v>583</v>
      </c>
      <c r="AA29" t="s">
        <v>584</v>
      </c>
      <c r="AB29" t="s">
        <v>585</v>
      </c>
      <c r="AC29" t="s">
        <v>586</v>
      </c>
      <c r="AD29" t="s">
        <v>587</v>
      </c>
      <c r="AE29" t="s">
        <v>588</v>
      </c>
      <c r="AF29" t="s">
        <v>74</v>
      </c>
      <c r="AG29">
        <v>19</v>
      </c>
      <c r="AH29">
        <v>0</v>
      </c>
      <c r="AI29">
        <v>0</v>
      </c>
      <c r="AJ29">
        <v>0</v>
      </c>
      <c r="AK29">
        <v>5</v>
      </c>
      <c r="AL29" t="s">
        <v>269</v>
      </c>
      <c r="AM29" t="s">
        <v>289</v>
      </c>
      <c r="AN29" t="s">
        <v>290</v>
      </c>
      <c r="AO29" t="s">
        <v>74</v>
      </c>
      <c r="AP29" t="s">
        <v>74</v>
      </c>
      <c r="AQ29" t="s">
        <v>569</v>
      </c>
      <c r="AR29" t="s">
        <v>74</v>
      </c>
      <c r="AS29" t="s">
        <v>74</v>
      </c>
      <c r="AT29" t="s">
        <v>74</v>
      </c>
      <c r="AU29">
        <v>2016</v>
      </c>
      <c r="AV29" t="s">
        <v>74</v>
      </c>
      <c r="AW29" t="s">
        <v>74</v>
      </c>
      <c r="AX29" t="s">
        <v>74</v>
      </c>
      <c r="AY29" t="s">
        <v>74</v>
      </c>
      <c r="AZ29" t="s">
        <v>74</v>
      </c>
      <c r="BA29" t="s">
        <v>74</v>
      </c>
      <c r="BB29" t="s">
        <v>74</v>
      </c>
      <c r="BC29" t="s">
        <v>74</v>
      </c>
      <c r="BD29" t="s">
        <v>74</v>
      </c>
      <c r="BE29" t="s">
        <v>589</v>
      </c>
      <c r="BF29" t="str">
        <f>HYPERLINK("http://dx.doi.org/10.1109/OCEANS.2016.7761193","http://dx.doi.org/10.1109/OCEANS.2016.7761193")</f>
        <v>http://dx.doi.org/10.1109/OCEANS.2016.7761193</v>
      </c>
      <c r="BG29" t="s">
        <v>74</v>
      </c>
      <c r="BH29" t="s">
        <v>74</v>
      </c>
      <c r="BI29">
        <v>6</v>
      </c>
      <c r="BJ29" t="s">
        <v>571</v>
      </c>
      <c r="BK29" t="s">
        <v>293</v>
      </c>
      <c r="BL29" t="s">
        <v>572</v>
      </c>
      <c r="BM29" t="s">
        <v>573</v>
      </c>
      <c r="BN29" t="s">
        <v>74</v>
      </c>
      <c r="BO29" t="s">
        <v>74</v>
      </c>
      <c r="BP29" t="s">
        <v>74</v>
      </c>
      <c r="BQ29" t="s">
        <v>74</v>
      </c>
      <c r="BR29" t="s">
        <v>100</v>
      </c>
      <c r="BS29" t="s">
        <v>590</v>
      </c>
      <c r="BT29" t="str">
        <f>HYPERLINK("https%3A%2F%2Fwww.webofscience.com%2Fwos%2Fwoscc%2Ffull-record%2FWOS:000399929001041","View Full Record in Web of Science")</f>
        <v>View Full Record in Web of Science</v>
      </c>
    </row>
    <row r="30" spans="1:72" x14ac:dyDescent="0.15">
      <c r="A30" t="s">
        <v>267</v>
      </c>
      <c r="B30" t="s">
        <v>591</v>
      </c>
      <c r="C30" t="s">
        <v>74</v>
      </c>
      <c r="D30" t="s">
        <v>74</v>
      </c>
      <c r="E30" t="s">
        <v>269</v>
      </c>
      <c r="F30" t="s">
        <v>592</v>
      </c>
      <c r="G30" t="s">
        <v>74</v>
      </c>
      <c r="H30" t="s">
        <v>74</v>
      </c>
      <c r="I30" t="s">
        <v>593</v>
      </c>
      <c r="J30" t="s">
        <v>555</v>
      </c>
      <c r="K30" t="s">
        <v>74</v>
      </c>
      <c r="L30" t="s">
        <v>74</v>
      </c>
      <c r="M30" t="s">
        <v>200</v>
      </c>
      <c r="N30" t="s">
        <v>273</v>
      </c>
      <c r="O30" t="s">
        <v>556</v>
      </c>
      <c r="P30" t="s">
        <v>557</v>
      </c>
      <c r="Q30" t="s">
        <v>558</v>
      </c>
      <c r="R30" t="s">
        <v>74</v>
      </c>
      <c r="S30" t="s">
        <v>74</v>
      </c>
      <c r="T30" t="s">
        <v>594</v>
      </c>
      <c r="U30" t="s">
        <v>595</v>
      </c>
      <c r="V30" t="s">
        <v>596</v>
      </c>
      <c r="W30" t="s">
        <v>597</v>
      </c>
      <c r="X30" t="s">
        <v>598</v>
      </c>
      <c r="Y30" t="s">
        <v>599</v>
      </c>
      <c r="Z30" t="s">
        <v>600</v>
      </c>
      <c r="AA30" t="s">
        <v>601</v>
      </c>
      <c r="AB30" t="s">
        <v>602</v>
      </c>
      <c r="AC30" t="s">
        <v>74</v>
      </c>
      <c r="AD30" t="s">
        <v>74</v>
      </c>
      <c r="AE30" t="s">
        <v>74</v>
      </c>
      <c r="AF30" t="s">
        <v>74</v>
      </c>
      <c r="AG30">
        <v>7</v>
      </c>
      <c r="AH30">
        <v>0</v>
      </c>
      <c r="AI30">
        <v>0</v>
      </c>
      <c r="AJ30">
        <v>0</v>
      </c>
      <c r="AK30">
        <v>4</v>
      </c>
      <c r="AL30" t="s">
        <v>269</v>
      </c>
      <c r="AM30" t="s">
        <v>289</v>
      </c>
      <c r="AN30" t="s">
        <v>290</v>
      </c>
      <c r="AO30" t="s">
        <v>74</v>
      </c>
      <c r="AP30" t="s">
        <v>74</v>
      </c>
      <c r="AQ30" t="s">
        <v>569</v>
      </c>
      <c r="AR30" t="s">
        <v>74</v>
      </c>
      <c r="AS30" t="s">
        <v>74</v>
      </c>
      <c r="AT30" t="s">
        <v>74</v>
      </c>
      <c r="AU30">
        <v>2016</v>
      </c>
      <c r="AV30" t="s">
        <v>74</v>
      </c>
      <c r="AW30" t="s">
        <v>74</v>
      </c>
      <c r="AX30" t="s">
        <v>74</v>
      </c>
      <c r="AY30" t="s">
        <v>74</v>
      </c>
      <c r="AZ30" t="s">
        <v>74</v>
      </c>
      <c r="BA30" t="s">
        <v>74</v>
      </c>
      <c r="BB30" t="s">
        <v>74</v>
      </c>
      <c r="BC30" t="s">
        <v>74</v>
      </c>
      <c r="BD30" t="s">
        <v>74</v>
      </c>
      <c r="BE30" t="s">
        <v>603</v>
      </c>
      <c r="BF30" t="str">
        <f>HYPERLINK("http://dx.doi.org/10.1109/OCEANS.2016.7761286","http://dx.doi.org/10.1109/OCEANS.2016.7761286")</f>
        <v>http://dx.doi.org/10.1109/OCEANS.2016.7761286</v>
      </c>
      <c r="BG30" t="s">
        <v>74</v>
      </c>
      <c r="BH30" t="s">
        <v>74</v>
      </c>
      <c r="BI30">
        <v>5</v>
      </c>
      <c r="BJ30" t="s">
        <v>571</v>
      </c>
      <c r="BK30" t="s">
        <v>293</v>
      </c>
      <c r="BL30" t="s">
        <v>572</v>
      </c>
      <c r="BM30" t="s">
        <v>573</v>
      </c>
      <c r="BN30" t="s">
        <v>74</v>
      </c>
      <c r="BO30" t="s">
        <v>74</v>
      </c>
      <c r="BP30" t="s">
        <v>74</v>
      </c>
      <c r="BQ30" t="s">
        <v>74</v>
      </c>
      <c r="BR30" t="s">
        <v>100</v>
      </c>
      <c r="BS30" t="s">
        <v>604</v>
      </c>
      <c r="BT30" t="str">
        <f>HYPERLINK("https%3A%2F%2Fwww.webofscience.com%2Fwos%2Fwoscc%2Ffull-record%2FWOS:000399929001133","View Full Record in Web of Science")</f>
        <v>View Full Record in Web of Science</v>
      </c>
    </row>
    <row r="31" spans="1:72" x14ac:dyDescent="0.15">
      <c r="A31" t="s">
        <v>72</v>
      </c>
      <c r="B31" t="s">
        <v>605</v>
      </c>
      <c r="C31" t="s">
        <v>74</v>
      </c>
      <c r="D31" t="s">
        <v>74</v>
      </c>
      <c r="E31" t="s">
        <v>74</v>
      </c>
      <c r="F31" t="s">
        <v>606</v>
      </c>
      <c r="G31" t="s">
        <v>74</v>
      </c>
      <c r="H31" t="s">
        <v>74</v>
      </c>
      <c r="I31" t="s">
        <v>607</v>
      </c>
      <c r="J31" t="s">
        <v>608</v>
      </c>
      <c r="K31" t="s">
        <v>74</v>
      </c>
      <c r="L31" t="s">
        <v>74</v>
      </c>
      <c r="M31" t="s">
        <v>609</v>
      </c>
      <c r="N31" t="s">
        <v>79</v>
      </c>
      <c r="O31" t="s">
        <v>74</v>
      </c>
      <c r="P31" t="s">
        <v>74</v>
      </c>
      <c r="Q31" t="s">
        <v>74</v>
      </c>
      <c r="R31" t="s">
        <v>74</v>
      </c>
      <c r="S31" t="s">
        <v>74</v>
      </c>
      <c r="T31" t="s">
        <v>610</v>
      </c>
      <c r="U31" t="s">
        <v>74</v>
      </c>
      <c r="V31" t="s">
        <v>611</v>
      </c>
      <c r="W31" t="s">
        <v>612</v>
      </c>
      <c r="X31" t="s">
        <v>74</v>
      </c>
      <c r="Y31" t="s">
        <v>613</v>
      </c>
      <c r="Z31" t="s">
        <v>614</v>
      </c>
      <c r="AA31" t="s">
        <v>74</v>
      </c>
      <c r="AB31" t="s">
        <v>74</v>
      </c>
      <c r="AC31" t="s">
        <v>74</v>
      </c>
      <c r="AD31" t="s">
        <v>74</v>
      </c>
      <c r="AE31" t="s">
        <v>74</v>
      </c>
      <c r="AF31" t="s">
        <v>74</v>
      </c>
      <c r="AG31">
        <v>30</v>
      </c>
      <c r="AH31">
        <v>0</v>
      </c>
      <c r="AI31">
        <v>0</v>
      </c>
      <c r="AJ31">
        <v>0</v>
      </c>
      <c r="AK31">
        <v>0</v>
      </c>
      <c r="AL31" t="s">
        <v>615</v>
      </c>
      <c r="AM31" t="s">
        <v>616</v>
      </c>
      <c r="AN31" t="s">
        <v>617</v>
      </c>
      <c r="AO31" t="s">
        <v>618</v>
      </c>
      <c r="AP31" t="s">
        <v>74</v>
      </c>
      <c r="AQ31" t="s">
        <v>74</v>
      </c>
      <c r="AR31" t="s">
        <v>619</v>
      </c>
      <c r="AS31" t="s">
        <v>620</v>
      </c>
      <c r="AT31" t="s">
        <v>74</v>
      </c>
      <c r="AU31">
        <v>2016</v>
      </c>
      <c r="AV31" t="s">
        <v>74</v>
      </c>
      <c r="AW31">
        <v>10</v>
      </c>
      <c r="AX31" t="s">
        <v>74</v>
      </c>
      <c r="AY31" t="s">
        <v>74</v>
      </c>
      <c r="AZ31" t="s">
        <v>74</v>
      </c>
      <c r="BA31" t="s">
        <v>74</v>
      </c>
      <c r="BB31">
        <v>46</v>
      </c>
      <c r="BC31">
        <v>69</v>
      </c>
      <c r="BD31" t="s">
        <v>74</v>
      </c>
      <c r="BE31" t="s">
        <v>74</v>
      </c>
      <c r="BF31" t="s">
        <v>74</v>
      </c>
      <c r="BG31" t="s">
        <v>74</v>
      </c>
      <c r="BH31" t="s">
        <v>74</v>
      </c>
      <c r="BI31">
        <v>24</v>
      </c>
      <c r="BJ31" t="s">
        <v>621</v>
      </c>
      <c r="BK31" t="s">
        <v>96</v>
      </c>
      <c r="BL31" t="s">
        <v>621</v>
      </c>
      <c r="BM31" t="s">
        <v>622</v>
      </c>
      <c r="BN31" t="s">
        <v>74</v>
      </c>
      <c r="BO31" t="s">
        <v>74</v>
      </c>
      <c r="BP31" t="s">
        <v>74</v>
      </c>
      <c r="BQ31" t="s">
        <v>74</v>
      </c>
      <c r="BR31" t="s">
        <v>100</v>
      </c>
      <c r="BS31" t="s">
        <v>623</v>
      </c>
      <c r="BT31" t="str">
        <f>HYPERLINK("https%3A%2F%2Fwww.webofscience.com%2Fwos%2Fwoscc%2Ffull-record%2FWOS:000399424300004","View Full Record in Web of Science")</f>
        <v>View Full Record in Web of Science</v>
      </c>
    </row>
    <row r="32" spans="1:72" x14ac:dyDescent="0.15">
      <c r="A32" t="s">
        <v>72</v>
      </c>
      <c r="B32" t="s">
        <v>624</v>
      </c>
      <c r="C32" t="s">
        <v>74</v>
      </c>
      <c r="D32" t="s">
        <v>74</v>
      </c>
      <c r="E32" t="s">
        <v>74</v>
      </c>
      <c r="F32" t="s">
        <v>625</v>
      </c>
      <c r="G32" t="s">
        <v>74</v>
      </c>
      <c r="H32" t="s">
        <v>74</v>
      </c>
      <c r="I32" t="s">
        <v>626</v>
      </c>
      <c r="J32" t="s">
        <v>627</v>
      </c>
      <c r="K32" t="s">
        <v>74</v>
      </c>
      <c r="L32" t="s">
        <v>74</v>
      </c>
      <c r="M32" t="s">
        <v>200</v>
      </c>
      <c r="N32" t="s">
        <v>79</v>
      </c>
      <c r="O32" t="s">
        <v>74</v>
      </c>
      <c r="P32" t="s">
        <v>74</v>
      </c>
      <c r="Q32" t="s">
        <v>74</v>
      </c>
      <c r="R32" t="s">
        <v>74</v>
      </c>
      <c r="S32" t="s">
        <v>74</v>
      </c>
      <c r="T32" t="s">
        <v>628</v>
      </c>
      <c r="U32" t="s">
        <v>629</v>
      </c>
      <c r="V32" t="s">
        <v>630</v>
      </c>
      <c r="W32" t="s">
        <v>631</v>
      </c>
      <c r="X32" t="s">
        <v>632</v>
      </c>
      <c r="Y32" t="s">
        <v>633</v>
      </c>
      <c r="Z32" t="s">
        <v>74</v>
      </c>
      <c r="AA32" t="s">
        <v>634</v>
      </c>
      <c r="AB32" t="s">
        <v>635</v>
      </c>
      <c r="AC32" t="s">
        <v>74</v>
      </c>
      <c r="AD32" t="s">
        <v>74</v>
      </c>
      <c r="AE32" t="s">
        <v>74</v>
      </c>
      <c r="AF32" t="s">
        <v>74</v>
      </c>
      <c r="AG32">
        <v>49</v>
      </c>
      <c r="AH32">
        <v>23</v>
      </c>
      <c r="AI32">
        <v>25</v>
      </c>
      <c r="AJ32">
        <v>0</v>
      </c>
      <c r="AK32">
        <v>6</v>
      </c>
      <c r="AL32" t="s">
        <v>636</v>
      </c>
      <c r="AM32" t="s">
        <v>637</v>
      </c>
      <c r="AN32" t="s">
        <v>638</v>
      </c>
      <c r="AO32" t="s">
        <v>639</v>
      </c>
      <c r="AP32" t="s">
        <v>640</v>
      </c>
      <c r="AQ32" t="s">
        <v>74</v>
      </c>
      <c r="AR32" t="s">
        <v>641</v>
      </c>
      <c r="AS32" t="s">
        <v>642</v>
      </c>
      <c r="AT32" t="s">
        <v>643</v>
      </c>
      <c r="AU32">
        <v>2016</v>
      </c>
      <c r="AV32">
        <v>9</v>
      </c>
      <c r="AW32">
        <v>1</v>
      </c>
      <c r="AX32" t="s">
        <v>74</v>
      </c>
      <c r="AY32" t="s">
        <v>74</v>
      </c>
      <c r="AZ32" t="s">
        <v>74</v>
      </c>
      <c r="BA32" t="s">
        <v>74</v>
      </c>
      <c r="BB32">
        <v>20</v>
      </c>
      <c r="BC32">
        <v>28</v>
      </c>
      <c r="BD32" t="s">
        <v>74</v>
      </c>
      <c r="BE32" t="s">
        <v>644</v>
      </c>
      <c r="BF32" t="str">
        <f>HYPERLINK("http://dx.doi.org/10.1016/j.slsci.2016.01.002","http://dx.doi.org/10.1016/j.slsci.2016.01.002")</f>
        <v>http://dx.doi.org/10.1016/j.slsci.2016.01.002</v>
      </c>
      <c r="BG32" t="s">
        <v>74</v>
      </c>
      <c r="BH32" t="s">
        <v>74</v>
      </c>
      <c r="BI32">
        <v>9</v>
      </c>
      <c r="BJ32" t="s">
        <v>645</v>
      </c>
      <c r="BK32" t="s">
        <v>96</v>
      </c>
      <c r="BL32" t="s">
        <v>646</v>
      </c>
      <c r="BM32" t="s">
        <v>647</v>
      </c>
      <c r="BN32">
        <v>27226819</v>
      </c>
      <c r="BO32" t="s">
        <v>523</v>
      </c>
      <c r="BP32" t="s">
        <v>74</v>
      </c>
      <c r="BQ32" t="s">
        <v>74</v>
      </c>
      <c r="BR32" t="s">
        <v>100</v>
      </c>
      <c r="BS32" t="s">
        <v>648</v>
      </c>
      <c r="BT32" t="str">
        <f>HYPERLINK("https%3A%2F%2Fwww.webofscience.com%2Fwos%2Fwoscc%2Ffull-record%2FWOS:000399915200005","View Full Record in Web of Science")</f>
        <v>View Full Record in Web of Science</v>
      </c>
    </row>
    <row r="33" spans="1:72" x14ac:dyDescent="0.15">
      <c r="A33" t="s">
        <v>72</v>
      </c>
      <c r="B33" t="s">
        <v>649</v>
      </c>
      <c r="C33" t="s">
        <v>74</v>
      </c>
      <c r="D33" t="s">
        <v>74</v>
      </c>
      <c r="E33" t="s">
        <v>74</v>
      </c>
      <c r="F33" t="s">
        <v>650</v>
      </c>
      <c r="G33" t="s">
        <v>74</v>
      </c>
      <c r="H33" t="s">
        <v>74</v>
      </c>
      <c r="I33" t="s">
        <v>651</v>
      </c>
      <c r="J33" t="s">
        <v>652</v>
      </c>
      <c r="K33" t="s">
        <v>74</v>
      </c>
      <c r="L33" t="s">
        <v>74</v>
      </c>
      <c r="M33" t="s">
        <v>200</v>
      </c>
      <c r="N33" t="s">
        <v>79</v>
      </c>
      <c r="O33" t="s">
        <v>74</v>
      </c>
      <c r="P33" t="s">
        <v>74</v>
      </c>
      <c r="Q33" t="s">
        <v>74</v>
      </c>
      <c r="R33" t="s">
        <v>74</v>
      </c>
      <c r="S33" t="s">
        <v>74</v>
      </c>
      <c r="T33" t="s">
        <v>653</v>
      </c>
      <c r="U33" t="s">
        <v>654</v>
      </c>
      <c r="V33" t="s">
        <v>655</v>
      </c>
      <c r="W33" t="s">
        <v>656</v>
      </c>
      <c r="X33" t="s">
        <v>657</v>
      </c>
      <c r="Y33" t="s">
        <v>658</v>
      </c>
      <c r="Z33" t="s">
        <v>659</v>
      </c>
      <c r="AA33" t="s">
        <v>74</v>
      </c>
      <c r="AB33" t="s">
        <v>660</v>
      </c>
      <c r="AC33" t="s">
        <v>661</v>
      </c>
      <c r="AD33" t="s">
        <v>662</v>
      </c>
      <c r="AE33" t="s">
        <v>663</v>
      </c>
      <c r="AF33" t="s">
        <v>74</v>
      </c>
      <c r="AG33">
        <v>107</v>
      </c>
      <c r="AH33">
        <v>2</v>
      </c>
      <c r="AI33">
        <v>2</v>
      </c>
      <c r="AJ33">
        <v>1</v>
      </c>
      <c r="AK33">
        <v>19</v>
      </c>
      <c r="AL33" t="s">
        <v>664</v>
      </c>
      <c r="AM33" t="s">
        <v>665</v>
      </c>
      <c r="AN33" t="s">
        <v>666</v>
      </c>
      <c r="AO33" t="s">
        <v>667</v>
      </c>
      <c r="AP33" t="s">
        <v>668</v>
      </c>
      <c r="AQ33" t="s">
        <v>74</v>
      </c>
      <c r="AR33" t="s">
        <v>669</v>
      </c>
      <c r="AS33" t="s">
        <v>670</v>
      </c>
      <c r="AT33" t="s">
        <v>74</v>
      </c>
      <c r="AU33">
        <v>2016</v>
      </c>
      <c r="AV33">
        <v>55</v>
      </c>
      <c r="AW33" t="s">
        <v>74</v>
      </c>
      <c r="AX33" t="s">
        <v>74</v>
      </c>
      <c r="AY33" t="s">
        <v>74</v>
      </c>
      <c r="AZ33" t="s">
        <v>74</v>
      </c>
      <c r="BA33" t="s">
        <v>74</v>
      </c>
      <c r="BB33" t="s">
        <v>74</v>
      </c>
      <c r="BC33" t="s">
        <v>74</v>
      </c>
      <c r="BD33">
        <v>9</v>
      </c>
      <c r="BE33" t="s">
        <v>671</v>
      </c>
      <c r="BF33" t="str">
        <f>HYPERLINK("http://dx.doi.org/10.6620/ZS.2016.55-09","http://dx.doi.org/10.6620/ZS.2016.55-09")</f>
        <v>http://dx.doi.org/10.6620/ZS.2016.55-09</v>
      </c>
      <c r="BG33" t="s">
        <v>74</v>
      </c>
      <c r="BH33" t="s">
        <v>74</v>
      </c>
      <c r="BI33">
        <v>17</v>
      </c>
      <c r="BJ33" t="s">
        <v>672</v>
      </c>
      <c r="BK33" t="s">
        <v>264</v>
      </c>
      <c r="BL33" t="s">
        <v>672</v>
      </c>
      <c r="BM33" t="s">
        <v>673</v>
      </c>
      <c r="BN33" t="s">
        <v>74</v>
      </c>
      <c r="BO33" t="s">
        <v>74</v>
      </c>
      <c r="BP33" t="s">
        <v>74</v>
      </c>
      <c r="BQ33" t="s">
        <v>74</v>
      </c>
      <c r="BR33" t="s">
        <v>100</v>
      </c>
      <c r="BS33" t="s">
        <v>674</v>
      </c>
      <c r="BT33" t="str">
        <f>HYPERLINK("https%3A%2F%2Fwww.webofscience.com%2Fwos%2Fwoscc%2Ffull-record%2FWOS:000399617200009","View Full Record in Web of Science")</f>
        <v>View Full Record in Web of Science</v>
      </c>
    </row>
    <row r="34" spans="1:72" x14ac:dyDescent="0.15">
      <c r="A34" t="s">
        <v>193</v>
      </c>
      <c r="B34" t="s">
        <v>675</v>
      </c>
      <c r="C34" t="s">
        <v>676</v>
      </c>
      <c r="D34" t="s">
        <v>74</v>
      </c>
      <c r="E34" t="s">
        <v>74</v>
      </c>
      <c r="F34" t="s">
        <v>677</v>
      </c>
      <c r="G34" t="s">
        <v>676</v>
      </c>
      <c r="H34" t="s">
        <v>74</v>
      </c>
      <c r="I34" t="s">
        <v>678</v>
      </c>
      <c r="J34" t="s">
        <v>679</v>
      </c>
      <c r="K34" t="s">
        <v>680</v>
      </c>
      <c r="L34" t="s">
        <v>74</v>
      </c>
      <c r="M34" t="s">
        <v>200</v>
      </c>
      <c r="N34" t="s">
        <v>201</v>
      </c>
      <c r="O34" t="s">
        <v>74</v>
      </c>
      <c r="P34" t="s">
        <v>74</v>
      </c>
      <c r="Q34" t="s">
        <v>74</v>
      </c>
      <c r="R34" t="s">
        <v>74</v>
      </c>
      <c r="S34" t="s">
        <v>74</v>
      </c>
      <c r="T34" t="s">
        <v>681</v>
      </c>
      <c r="U34" t="s">
        <v>682</v>
      </c>
      <c r="V34" t="s">
        <v>683</v>
      </c>
      <c r="W34" t="s">
        <v>684</v>
      </c>
      <c r="X34" t="s">
        <v>685</v>
      </c>
      <c r="Y34" t="s">
        <v>686</v>
      </c>
      <c r="Z34" t="s">
        <v>74</v>
      </c>
      <c r="AA34" t="s">
        <v>687</v>
      </c>
      <c r="AB34" t="s">
        <v>688</v>
      </c>
      <c r="AC34" t="s">
        <v>74</v>
      </c>
      <c r="AD34" t="s">
        <v>74</v>
      </c>
      <c r="AE34" t="s">
        <v>74</v>
      </c>
      <c r="AF34" t="s">
        <v>74</v>
      </c>
      <c r="AG34">
        <v>69</v>
      </c>
      <c r="AH34">
        <v>1</v>
      </c>
      <c r="AI34">
        <v>1</v>
      </c>
      <c r="AJ34">
        <v>0</v>
      </c>
      <c r="AK34">
        <v>2</v>
      </c>
      <c r="AL34" t="s">
        <v>393</v>
      </c>
      <c r="AM34" t="s">
        <v>394</v>
      </c>
      <c r="AN34" t="s">
        <v>395</v>
      </c>
      <c r="AO34" t="s">
        <v>689</v>
      </c>
      <c r="AP34" t="s">
        <v>74</v>
      </c>
      <c r="AQ34" t="s">
        <v>690</v>
      </c>
      <c r="AR34" t="s">
        <v>691</v>
      </c>
      <c r="AS34" t="s">
        <v>74</v>
      </c>
      <c r="AT34" t="s">
        <v>74</v>
      </c>
      <c r="AU34">
        <v>2016</v>
      </c>
      <c r="AV34" t="s">
        <v>74</v>
      </c>
      <c r="AW34" t="s">
        <v>74</v>
      </c>
      <c r="AX34" t="s">
        <v>74</v>
      </c>
      <c r="AY34" t="s">
        <v>74</v>
      </c>
      <c r="AZ34" t="s">
        <v>74</v>
      </c>
      <c r="BA34" t="s">
        <v>74</v>
      </c>
      <c r="BB34">
        <v>47</v>
      </c>
      <c r="BC34">
        <v>111</v>
      </c>
      <c r="BD34" t="s">
        <v>74</v>
      </c>
      <c r="BE34" t="s">
        <v>692</v>
      </c>
      <c r="BF34" t="str">
        <f>HYPERLINK("http://dx.doi.org/10.1007/978-3-319-33636-7_12","http://dx.doi.org/10.1007/978-3-319-33636-7_12")</f>
        <v>http://dx.doi.org/10.1007/978-3-319-33636-7_12</v>
      </c>
      <c r="BG34" t="s">
        <v>693</v>
      </c>
      <c r="BH34" t="s">
        <v>74</v>
      </c>
      <c r="BI34">
        <v>65</v>
      </c>
      <c r="BJ34" t="s">
        <v>694</v>
      </c>
      <c r="BK34" t="s">
        <v>216</v>
      </c>
      <c r="BL34" t="s">
        <v>695</v>
      </c>
      <c r="BM34" t="s">
        <v>696</v>
      </c>
      <c r="BN34" t="s">
        <v>74</v>
      </c>
      <c r="BO34" t="s">
        <v>74</v>
      </c>
      <c r="BP34" t="s">
        <v>74</v>
      </c>
      <c r="BQ34" t="s">
        <v>74</v>
      </c>
      <c r="BR34" t="s">
        <v>100</v>
      </c>
      <c r="BS34" t="s">
        <v>697</v>
      </c>
      <c r="BT34" t="str">
        <f>HYPERLINK("https%3A%2F%2Fwww.webofscience.com%2Fwos%2Fwoscc%2Ffull-record%2FWOS:000389198100003","View Full Record in Web of Science")</f>
        <v>View Full Record in Web of Science</v>
      </c>
    </row>
    <row r="35" spans="1:72" x14ac:dyDescent="0.15">
      <c r="A35" t="s">
        <v>72</v>
      </c>
      <c r="B35" t="s">
        <v>698</v>
      </c>
      <c r="C35" t="s">
        <v>74</v>
      </c>
      <c r="D35" t="s">
        <v>74</v>
      </c>
      <c r="E35" t="s">
        <v>74</v>
      </c>
      <c r="F35" t="s">
        <v>699</v>
      </c>
      <c r="G35" t="s">
        <v>74</v>
      </c>
      <c r="H35" t="s">
        <v>74</v>
      </c>
      <c r="I35" t="s">
        <v>700</v>
      </c>
      <c r="J35" t="s">
        <v>701</v>
      </c>
      <c r="K35" t="s">
        <v>74</v>
      </c>
      <c r="L35" t="s">
        <v>74</v>
      </c>
      <c r="M35" t="s">
        <v>200</v>
      </c>
      <c r="N35" t="s">
        <v>52</v>
      </c>
      <c r="O35" t="s">
        <v>74</v>
      </c>
      <c r="P35" t="s">
        <v>74</v>
      </c>
      <c r="Q35" t="s">
        <v>74</v>
      </c>
      <c r="R35" t="s">
        <v>74</v>
      </c>
      <c r="S35" t="s">
        <v>74</v>
      </c>
      <c r="T35" t="s">
        <v>74</v>
      </c>
      <c r="U35" t="s">
        <v>74</v>
      </c>
      <c r="V35" t="s">
        <v>74</v>
      </c>
      <c r="W35" t="s">
        <v>702</v>
      </c>
      <c r="X35" t="s">
        <v>703</v>
      </c>
      <c r="Y35" t="s">
        <v>74</v>
      </c>
      <c r="Z35" t="s">
        <v>704</v>
      </c>
      <c r="AA35" t="s">
        <v>74</v>
      </c>
      <c r="AB35" t="s">
        <v>74</v>
      </c>
      <c r="AC35" t="s">
        <v>74</v>
      </c>
      <c r="AD35" t="s">
        <v>74</v>
      </c>
      <c r="AE35" t="s">
        <v>74</v>
      </c>
      <c r="AF35" t="s">
        <v>74</v>
      </c>
      <c r="AG35">
        <v>0</v>
      </c>
      <c r="AH35">
        <v>0</v>
      </c>
      <c r="AI35">
        <v>0</v>
      </c>
      <c r="AJ35">
        <v>0</v>
      </c>
      <c r="AK35">
        <v>0</v>
      </c>
      <c r="AL35" t="s">
        <v>502</v>
      </c>
      <c r="AM35" t="s">
        <v>503</v>
      </c>
      <c r="AN35" t="s">
        <v>504</v>
      </c>
      <c r="AO35" t="s">
        <v>705</v>
      </c>
      <c r="AP35" t="s">
        <v>706</v>
      </c>
      <c r="AQ35" t="s">
        <v>74</v>
      </c>
      <c r="AR35" t="s">
        <v>707</v>
      </c>
      <c r="AS35" t="s">
        <v>708</v>
      </c>
      <c r="AT35" t="s">
        <v>74</v>
      </c>
      <c r="AU35">
        <v>2016</v>
      </c>
      <c r="AV35">
        <v>75</v>
      </c>
      <c r="AW35" t="s">
        <v>74</v>
      </c>
      <c r="AX35" t="s">
        <v>74</v>
      </c>
      <c r="AY35" t="s">
        <v>74</v>
      </c>
      <c r="AZ35" t="s">
        <v>74</v>
      </c>
      <c r="BA35" t="s">
        <v>74</v>
      </c>
      <c r="BB35">
        <v>92</v>
      </c>
      <c r="BC35">
        <v>92</v>
      </c>
      <c r="BD35" t="s">
        <v>74</v>
      </c>
      <c r="BE35" t="s">
        <v>74</v>
      </c>
      <c r="BF35" t="s">
        <v>74</v>
      </c>
      <c r="BG35" t="s">
        <v>74</v>
      </c>
      <c r="BH35" t="s">
        <v>74</v>
      </c>
      <c r="BI35">
        <v>1</v>
      </c>
      <c r="BJ35" t="s">
        <v>709</v>
      </c>
      <c r="BK35" t="s">
        <v>710</v>
      </c>
      <c r="BL35" t="s">
        <v>709</v>
      </c>
      <c r="BM35" t="s">
        <v>711</v>
      </c>
      <c r="BN35" t="s">
        <v>74</v>
      </c>
      <c r="BO35" t="s">
        <v>74</v>
      </c>
      <c r="BP35" t="s">
        <v>74</v>
      </c>
      <c r="BQ35" t="s">
        <v>74</v>
      </c>
      <c r="BR35" t="s">
        <v>100</v>
      </c>
      <c r="BS35" t="s">
        <v>712</v>
      </c>
      <c r="BT35" t="str">
        <f>HYPERLINK("https%3A%2F%2Fwww.webofscience.com%2Fwos%2Fwoscc%2Ffull-record%2FWOS:000396153800253","View Full Record in Web of Science")</f>
        <v>View Full Record in Web of Science</v>
      </c>
    </row>
    <row r="36" spans="1:72" x14ac:dyDescent="0.15">
      <c r="A36" t="s">
        <v>72</v>
      </c>
      <c r="B36" t="s">
        <v>713</v>
      </c>
      <c r="C36" t="s">
        <v>74</v>
      </c>
      <c r="D36" t="s">
        <v>74</v>
      </c>
      <c r="E36" t="s">
        <v>74</v>
      </c>
      <c r="F36" t="s">
        <v>714</v>
      </c>
      <c r="G36" t="s">
        <v>74</v>
      </c>
      <c r="H36" t="s">
        <v>74</v>
      </c>
      <c r="I36" t="s">
        <v>715</v>
      </c>
      <c r="J36" t="s">
        <v>716</v>
      </c>
      <c r="K36" t="s">
        <v>74</v>
      </c>
      <c r="L36" t="s">
        <v>74</v>
      </c>
      <c r="M36" t="s">
        <v>200</v>
      </c>
      <c r="N36" t="s">
        <v>717</v>
      </c>
      <c r="O36" t="s">
        <v>74</v>
      </c>
      <c r="P36" t="s">
        <v>74</v>
      </c>
      <c r="Q36" t="s">
        <v>74</v>
      </c>
      <c r="R36" t="s">
        <v>74</v>
      </c>
      <c r="S36" t="s">
        <v>74</v>
      </c>
      <c r="T36" t="s">
        <v>718</v>
      </c>
      <c r="U36" t="s">
        <v>719</v>
      </c>
      <c r="V36" t="s">
        <v>720</v>
      </c>
      <c r="W36" t="s">
        <v>721</v>
      </c>
      <c r="X36" t="s">
        <v>722</v>
      </c>
      <c r="Y36" t="s">
        <v>723</v>
      </c>
      <c r="Z36" t="s">
        <v>724</v>
      </c>
      <c r="AA36" t="s">
        <v>725</v>
      </c>
      <c r="AB36" t="s">
        <v>726</v>
      </c>
      <c r="AC36" t="s">
        <v>727</v>
      </c>
      <c r="AD36" t="s">
        <v>728</v>
      </c>
      <c r="AE36" t="s">
        <v>729</v>
      </c>
      <c r="AF36" t="s">
        <v>74</v>
      </c>
      <c r="AG36">
        <v>117</v>
      </c>
      <c r="AH36">
        <v>5</v>
      </c>
      <c r="AI36">
        <v>5</v>
      </c>
      <c r="AJ36">
        <v>0</v>
      </c>
      <c r="AK36">
        <v>4</v>
      </c>
      <c r="AL36" t="s">
        <v>730</v>
      </c>
      <c r="AM36" t="s">
        <v>731</v>
      </c>
      <c r="AN36" t="s">
        <v>732</v>
      </c>
      <c r="AO36" t="s">
        <v>733</v>
      </c>
      <c r="AP36" t="s">
        <v>74</v>
      </c>
      <c r="AQ36" t="s">
        <v>74</v>
      </c>
      <c r="AR36" t="s">
        <v>734</v>
      </c>
      <c r="AS36" t="s">
        <v>735</v>
      </c>
      <c r="AT36" t="s">
        <v>74</v>
      </c>
      <c r="AU36">
        <v>2016</v>
      </c>
      <c r="AV36">
        <v>13</v>
      </c>
      <c r="AW36" t="s">
        <v>74</v>
      </c>
      <c r="AX36" t="s">
        <v>74</v>
      </c>
      <c r="AY36" t="s">
        <v>74</v>
      </c>
      <c r="AZ36" t="s">
        <v>74</v>
      </c>
      <c r="BA36" t="s">
        <v>74</v>
      </c>
      <c r="BB36">
        <v>355</v>
      </c>
      <c r="BC36">
        <v>373</v>
      </c>
      <c r="BD36" t="s">
        <v>74</v>
      </c>
      <c r="BE36" t="s">
        <v>74</v>
      </c>
      <c r="BF36" t="s">
        <v>74</v>
      </c>
      <c r="BG36" t="s">
        <v>74</v>
      </c>
      <c r="BH36" t="s">
        <v>74</v>
      </c>
      <c r="BI36">
        <v>19</v>
      </c>
      <c r="BJ36" t="s">
        <v>736</v>
      </c>
      <c r="BK36" t="s">
        <v>264</v>
      </c>
      <c r="BL36" t="s">
        <v>736</v>
      </c>
      <c r="BM36" t="s">
        <v>737</v>
      </c>
      <c r="BN36" t="s">
        <v>74</v>
      </c>
      <c r="BO36" t="s">
        <v>74</v>
      </c>
      <c r="BP36" t="s">
        <v>74</v>
      </c>
      <c r="BQ36" t="s">
        <v>74</v>
      </c>
      <c r="BR36" t="s">
        <v>100</v>
      </c>
      <c r="BS36" t="s">
        <v>738</v>
      </c>
      <c r="BT36" t="str">
        <f>HYPERLINK("https%3A%2F%2Fwww.webofscience.com%2Fwos%2Fwoscc%2Ffull-record%2FWOS:000397519800007","View Full Record in Web of Science")</f>
        <v>View Full Record in Web of Science</v>
      </c>
    </row>
    <row r="37" spans="1:72" x14ac:dyDescent="0.15">
      <c r="A37" t="s">
        <v>267</v>
      </c>
      <c r="B37" t="s">
        <v>739</v>
      </c>
      <c r="C37" t="s">
        <v>74</v>
      </c>
      <c r="D37" t="s">
        <v>740</v>
      </c>
      <c r="E37" t="s">
        <v>74</v>
      </c>
      <c r="F37" t="s">
        <v>741</v>
      </c>
      <c r="G37" t="s">
        <v>74</v>
      </c>
      <c r="H37" t="s">
        <v>74</v>
      </c>
      <c r="I37" t="s">
        <v>742</v>
      </c>
      <c r="J37" t="s">
        <v>743</v>
      </c>
      <c r="K37" t="s">
        <v>744</v>
      </c>
      <c r="L37" t="s">
        <v>74</v>
      </c>
      <c r="M37" t="s">
        <v>200</v>
      </c>
      <c r="N37" t="s">
        <v>273</v>
      </c>
      <c r="O37" t="s">
        <v>745</v>
      </c>
      <c r="P37" t="s">
        <v>746</v>
      </c>
      <c r="Q37" t="s">
        <v>747</v>
      </c>
      <c r="R37" t="s">
        <v>74</v>
      </c>
      <c r="S37" t="s">
        <v>74</v>
      </c>
      <c r="T37" t="s">
        <v>748</v>
      </c>
      <c r="U37" t="s">
        <v>74</v>
      </c>
      <c r="V37" t="s">
        <v>749</v>
      </c>
      <c r="W37" t="s">
        <v>750</v>
      </c>
      <c r="X37" t="s">
        <v>751</v>
      </c>
      <c r="Y37" t="s">
        <v>752</v>
      </c>
      <c r="Z37" t="s">
        <v>753</v>
      </c>
      <c r="AA37" t="s">
        <v>74</v>
      </c>
      <c r="AB37" t="s">
        <v>74</v>
      </c>
      <c r="AC37" t="s">
        <v>754</v>
      </c>
      <c r="AD37" t="s">
        <v>755</v>
      </c>
      <c r="AE37" t="s">
        <v>756</v>
      </c>
      <c r="AF37" t="s">
        <v>74</v>
      </c>
      <c r="AG37">
        <v>13</v>
      </c>
      <c r="AH37">
        <v>0</v>
      </c>
      <c r="AI37">
        <v>0</v>
      </c>
      <c r="AJ37">
        <v>0</v>
      </c>
      <c r="AK37">
        <v>0</v>
      </c>
      <c r="AL37" t="s">
        <v>757</v>
      </c>
      <c r="AM37" t="s">
        <v>758</v>
      </c>
      <c r="AN37" t="s">
        <v>759</v>
      </c>
      <c r="AO37" t="s">
        <v>760</v>
      </c>
      <c r="AP37" t="s">
        <v>74</v>
      </c>
      <c r="AQ37" t="s">
        <v>761</v>
      </c>
      <c r="AR37" t="s">
        <v>762</v>
      </c>
      <c r="AS37" t="s">
        <v>74</v>
      </c>
      <c r="AT37" t="s">
        <v>74</v>
      </c>
      <c r="AU37">
        <v>2016</v>
      </c>
      <c r="AV37">
        <v>130</v>
      </c>
      <c r="AW37" t="s">
        <v>74</v>
      </c>
      <c r="AX37" t="s">
        <v>74</v>
      </c>
      <c r="AY37" t="s">
        <v>74</v>
      </c>
      <c r="AZ37" t="s">
        <v>74</v>
      </c>
      <c r="BA37" t="s">
        <v>74</v>
      </c>
      <c r="BB37">
        <v>901</v>
      </c>
      <c r="BC37">
        <v>906</v>
      </c>
      <c r="BD37" t="s">
        <v>74</v>
      </c>
      <c r="BE37" t="s">
        <v>74</v>
      </c>
      <c r="BF37" t="s">
        <v>74</v>
      </c>
      <c r="BG37" t="s">
        <v>74</v>
      </c>
      <c r="BH37" t="s">
        <v>74</v>
      </c>
      <c r="BI37">
        <v>6</v>
      </c>
      <c r="BJ37" t="s">
        <v>763</v>
      </c>
      <c r="BK37" t="s">
        <v>293</v>
      </c>
      <c r="BL37" t="s">
        <v>764</v>
      </c>
      <c r="BM37" t="s">
        <v>765</v>
      </c>
      <c r="BN37" t="s">
        <v>74</v>
      </c>
      <c r="BO37" t="s">
        <v>74</v>
      </c>
      <c r="BP37" t="s">
        <v>74</v>
      </c>
      <c r="BQ37" t="s">
        <v>74</v>
      </c>
      <c r="BR37" t="s">
        <v>100</v>
      </c>
      <c r="BS37" t="s">
        <v>766</v>
      </c>
      <c r="BT37" t="str">
        <f>HYPERLINK("https%3A%2F%2Fwww.webofscience.com%2Fwos%2Fwoscc%2Ffull-record%2FWOS:000398726300187","View Full Record in Web of Science")</f>
        <v>View Full Record in Web of Science</v>
      </c>
    </row>
    <row r="38" spans="1:72" x14ac:dyDescent="0.15">
      <c r="A38" t="s">
        <v>267</v>
      </c>
      <c r="B38" t="s">
        <v>767</v>
      </c>
      <c r="C38" t="s">
        <v>74</v>
      </c>
      <c r="D38" t="s">
        <v>74</v>
      </c>
      <c r="E38" t="s">
        <v>768</v>
      </c>
      <c r="F38" t="s">
        <v>769</v>
      </c>
      <c r="G38" t="s">
        <v>74</v>
      </c>
      <c r="H38" t="s">
        <v>74</v>
      </c>
      <c r="I38" t="s">
        <v>770</v>
      </c>
      <c r="J38" t="s">
        <v>771</v>
      </c>
      <c r="K38" t="s">
        <v>772</v>
      </c>
      <c r="L38" t="s">
        <v>74</v>
      </c>
      <c r="M38" t="s">
        <v>200</v>
      </c>
      <c r="N38" t="s">
        <v>273</v>
      </c>
      <c r="O38" t="s">
        <v>773</v>
      </c>
      <c r="P38" t="s">
        <v>774</v>
      </c>
      <c r="Q38" t="s">
        <v>775</v>
      </c>
      <c r="R38" t="s">
        <v>74</v>
      </c>
      <c r="S38" t="s">
        <v>74</v>
      </c>
      <c r="T38" t="s">
        <v>776</v>
      </c>
      <c r="U38" t="s">
        <v>74</v>
      </c>
      <c r="V38" t="s">
        <v>777</v>
      </c>
      <c r="W38" t="s">
        <v>778</v>
      </c>
      <c r="X38" t="s">
        <v>779</v>
      </c>
      <c r="Y38" t="s">
        <v>780</v>
      </c>
      <c r="Z38" t="s">
        <v>74</v>
      </c>
      <c r="AA38" t="s">
        <v>781</v>
      </c>
      <c r="AB38" t="s">
        <v>782</v>
      </c>
      <c r="AC38" t="s">
        <v>783</v>
      </c>
      <c r="AD38" t="s">
        <v>783</v>
      </c>
      <c r="AE38" t="s">
        <v>784</v>
      </c>
      <c r="AF38" t="s">
        <v>74</v>
      </c>
      <c r="AG38">
        <v>8</v>
      </c>
      <c r="AH38">
        <v>0</v>
      </c>
      <c r="AI38">
        <v>0</v>
      </c>
      <c r="AJ38">
        <v>0</v>
      </c>
      <c r="AK38">
        <v>2</v>
      </c>
      <c r="AL38" t="s">
        <v>785</v>
      </c>
      <c r="AM38" t="s">
        <v>786</v>
      </c>
      <c r="AN38" t="s">
        <v>787</v>
      </c>
      <c r="AO38" t="s">
        <v>788</v>
      </c>
      <c r="AP38" t="s">
        <v>74</v>
      </c>
      <c r="AQ38" t="s">
        <v>789</v>
      </c>
      <c r="AR38" t="s">
        <v>790</v>
      </c>
      <c r="AS38" t="s">
        <v>74</v>
      </c>
      <c r="AT38" t="s">
        <v>74</v>
      </c>
      <c r="AU38">
        <v>2016</v>
      </c>
      <c r="AV38" t="s">
        <v>74</v>
      </c>
      <c r="AW38" t="s">
        <v>74</v>
      </c>
      <c r="AX38" t="s">
        <v>74</v>
      </c>
      <c r="AY38" t="s">
        <v>74</v>
      </c>
      <c r="AZ38" t="s">
        <v>74</v>
      </c>
      <c r="BA38" t="s">
        <v>74</v>
      </c>
      <c r="BB38">
        <v>495</v>
      </c>
      <c r="BC38">
        <v>502</v>
      </c>
      <c r="BD38" t="s">
        <v>74</v>
      </c>
      <c r="BE38" t="s">
        <v>74</v>
      </c>
      <c r="BF38" t="s">
        <v>74</v>
      </c>
      <c r="BG38" t="s">
        <v>74</v>
      </c>
      <c r="BH38" t="s">
        <v>74</v>
      </c>
      <c r="BI38">
        <v>8</v>
      </c>
      <c r="BJ38" t="s">
        <v>95</v>
      </c>
      <c r="BK38" t="s">
        <v>293</v>
      </c>
      <c r="BL38" t="s">
        <v>97</v>
      </c>
      <c r="BM38" t="s">
        <v>791</v>
      </c>
      <c r="BN38" t="s">
        <v>74</v>
      </c>
      <c r="BO38" t="s">
        <v>74</v>
      </c>
      <c r="BP38" t="s">
        <v>74</v>
      </c>
      <c r="BQ38" t="s">
        <v>74</v>
      </c>
      <c r="BR38" t="s">
        <v>100</v>
      </c>
      <c r="BS38" t="s">
        <v>792</v>
      </c>
      <c r="BT38" t="str">
        <f>HYPERLINK("https%3A%2F%2Fwww.webofscience.com%2Fwos%2Fwoscc%2Ffull-record%2FWOS:000395499600063","View Full Record in Web of Science")</f>
        <v>View Full Record in Web of Science</v>
      </c>
    </row>
    <row r="39" spans="1:72" x14ac:dyDescent="0.15">
      <c r="A39" t="s">
        <v>267</v>
      </c>
      <c r="B39" t="s">
        <v>793</v>
      </c>
      <c r="C39" t="s">
        <v>74</v>
      </c>
      <c r="D39" t="s">
        <v>74</v>
      </c>
      <c r="E39" t="s">
        <v>768</v>
      </c>
      <c r="F39" t="s">
        <v>794</v>
      </c>
      <c r="G39" t="s">
        <v>74</v>
      </c>
      <c r="H39" t="s">
        <v>74</v>
      </c>
      <c r="I39" t="s">
        <v>795</v>
      </c>
      <c r="J39" t="s">
        <v>796</v>
      </c>
      <c r="K39" t="s">
        <v>772</v>
      </c>
      <c r="L39" t="s">
        <v>74</v>
      </c>
      <c r="M39" t="s">
        <v>200</v>
      </c>
      <c r="N39" t="s">
        <v>273</v>
      </c>
      <c r="O39" t="s">
        <v>773</v>
      </c>
      <c r="P39" t="s">
        <v>774</v>
      </c>
      <c r="Q39" t="s">
        <v>775</v>
      </c>
      <c r="R39" t="s">
        <v>74</v>
      </c>
      <c r="S39" t="s">
        <v>74</v>
      </c>
      <c r="T39" t="s">
        <v>797</v>
      </c>
      <c r="U39" t="s">
        <v>798</v>
      </c>
      <c r="V39" t="s">
        <v>799</v>
      </c>
      <c r="W39" t="s">
        <v>800</v>
      </c>
      <c r="X39" t="s">
        <v>801</v>
      </c>
      <c r="Y39" t="s">
        <v>802</v>
      </c>
      <c r="Z39" t="s">
        <v>74</v>
      </c>
      <c r="AA39" t="s">
        <v>74</v>
      </c>
      <c r="AB39" t="s">
        <v>74</v>
      </c>
      <c r="AC39" t="s">
        <v>803</v>
      </c>
      <c r="AD39" t="s">
        <v>803</v>
      </c>
      <c r="AE39" t="s">
        <v>804</v>
      </c>
      <c r="AF39" t="s">
        <v>74</v>
      </c>
      <c r="AG39">
        <v>10</v>
      </c>
      <c r="AH39">
        <v>0</v>
      </c>
      <c r="AI39">
        <v>0</v>
      </c>
      <c r="AJ39">
        <v>0</v>
      </c>
      <c r="AK39">
        <v>15</v>
      </c>
      <c r="AL39" t="s">
        <v>785</v>
      </c>
      <c r="AM39" t="s">
        <v>786</v>
      </c>
      <c r="AN39" t="s">
        <v>787</v>
      </c>
      <c r="AO39" t="s">
        <v>788</v>
      </c>
      <c r="AP39" t="s">
        <v>74</v>
      </c>
      <c r="AQ39" t="s">
        <v>805</v>
      </c>
      <c r="AR39" t="s">
        <v>790</v>
      </c>
      <c r="AS39" t="s">
        <v>74</v>
      </c>
      <c r="AT39" t="s">
        <v>74</v>
      </c>
      <c r="AU39">
        <v>2016</v>
      </c>
      <c r="AV39" t="s">
        <v>74</v>
      </c>
      <c r="AW39" t="s">
        <v>74</v>
      </c>
      <c r="AX39" t="s">
        <v>74</v>
      </c>
      <c r="AY39" t="s">
        <v>74</v>
      </c>
      <c r="AZ39" t="s">
        <v>74</v>
      </c>
      <c r="BA39" t="s">
        <v>74</v>
      </c>
      <c r="BB39">
        <v>589</v>
      </c>
      <c r="BC39">
        <v>594</v>
      </c>
      <c r="BD39" t="s">
        <v>74</v>
      </c>
      <c r="BE39" t="s">
        <v>74</v>
      </c>
      <c r="BF39" t="s">
        <v>74</v>
      </c>
      <c r="BG39" t="s">
        <v>74</v>
      </c>
      <c r="BH39" t="s">
        <v>74</v>
      </c>
      <c r="BI39">
        <v>6</v>
      </c>
      <c r="BJ39" t="s">
        <v>806</v>
      </c>
      <c r="BK39" t="s">
        <v>293</v>
      </c>
      <c r="BL39" t="s">
        <v>97</v>
      </c>
      <c r="BM39" t="s">
        <v>807</v>
      </c>
      <c r="BN39" t="s">
        <v>74</v>
      </c>
      <c r="BO39" t="s">
        <v>74</v>
      </c>
      <c r="BP39" t="s">
        <v>74</v>
      </c>
      <c r="BQ39" t="s">
        <v>74</v>
      </c>
      <c r="BR39" t="s">
        <v>100</v>
      </c>
      <c r="BS39" t="s">
        <v>808</v>
      </c>
      <c r="BT39" t="str">
        <f>HYPERLINK("https%3A%2F%2Fwww.webofscience.com%2Fwos%2Fwoscc%2Ffull-record%2FWOS:000395499700077","View Full Record in Web of Science")</f>
        <v>View Full Record in Web of Science</v>
      </c>
    </row>
    <row r="40" spans="1:72" x14ac:dyDescent="0.15">
      <c r="A40" t="s">
        <v>267</v>
      </c>
      <c r="B40" t="s">
        <v>809</v>
      </c>
      <c r="C40" t="s">
        <v>74</v>
      </c>
      <c r="D40" t="s">
        <v>74</v>
      </c>
      <c r="E40" t="s">
        <v>269</v>
      </c>
      <c r="F40" t="s">
        <v>810</v>
      </c>
      <c r="G40" t="s">
        <v>74</v>
      </c>
      <c r="H40" t="s">
        <v>74</v>
      </c>
      <c r="I40" t="s">
        <v>811</v>
      </c>
      <c r="J40" t="s">
        <v>812</v>
      </c>
      <c r="K40" t="s">
        <v>813</v>
      </c>
      <c r="L40" t="s">
        <v>74</v>
      </c>
      <c r="M40" t="s">
        <v>200</v>
      </c>
      <c r="N40" t="s">
        <v>273</v>
      </c>
      <c r="O40" t="s">
        <v>814</v>
      </c>
      <c r="P40" t="s">
        <v>815</v>
      </c>
      <c r="Q40" t="s">
        <v>816</v>
      </c>
      <c r="R40" t="s">
        <v>74</v>
      </c>
      <c r="S40" t="s">
        <v>74</v>
      </c>
      <c r="T40" t="s">
        <v>817</v>
      </c>
      <c r="U40" t="s">
        <v>818</v>
      </c>
      <c r="V40" t="s">
        <v>819</v>
      </c>
      <c r="W40" t="s">
        <v>820</v>
      </c>
      <c r="X40" t="s">
        <v>821</v>
      </c>
      <c r="Y40" t="s">
        <v>822</v>
      </c>
      <c r="Z40" t="s">
        <v>74</v>
      </c>
      <c r="AA40" t="s">
        <v>823</v>
      </c>
      <c r="AB40" t="s">
        <v>824</v>
      </c>
      <c r="AC40" t="s">
        <v>825</v>
      </c>
      <c r="AD40" t="s">
        <v>826</v>
      </c>
      <c r="AE40" t="s">
        <v>827</v>
      </c>
      <c r="AF40" t="s">
        <v>74</v>
      </c>
      <c r="AG40">
        <v>19</v>
      </c>
      <c r="AH40">
        <v>11</v>
      </c>
      <c r="AI40">
        <v>13</v>
      </c>
      <c r="AJ40">
        <v>1</v>
      </c>
      <c r="AK40">
        <v>17</v>
      </c>
      <c r="AL40" t="s">
        <v>269</v>
      </c>
      <c r="AM40" t="s">
        <v>289</v>
      </c>
      <c r="AN40" t="s">
        <v>290</v>
      </c>
      <c r="AO40" t="s">
        <v>828</v>
      </c>
      <c r="AP40" t="s">
        <v>74</v>
      </c>
      <c r="AQ40" t="s">
        <v>829</v>
      </c>
      <c r="AR40" t="s">
        <v>830</v>
      </c>
      <c r="AS40" t="s">
        <v>74</v>
      </c>
      <c r="AT40" t="s">
        <v>74</v>
      </c>
      <c r="AU40">
        <v>2016</v>
      </c>
      <c r="AV40" t="s">
        <v>74</v>
      </c>
      <c r="AW40" t="s">
        <v>74</v>
      </c>
      <c r="AX40" t="s">
        <v>74</v>
      </c>
      <c r="AY40" t="s">
        <v>74</v>
      </c>
      <c r="AZ40" t="s">
        <v>74</v>
      </c>
      <c r="BA40" t="s">
        <v>74</v>
      </c>
      <c r="BB40">
        <v>2001</v>
      </c>
      <c r="BC40">
        <v>2004</v>
      </c>
      <c r="BD40" t="s">
        <v>74</v>
      </c>
      <c r="BE40" t="s">
        <v>831</v>
      </c>
      <c r="BF40" t="str">
        <f>HYPERLINK("http://dx.doi.org/10.1109/IGARSS.2016.7729516","http://dx.doi.org/10.1109/IGARSS.2016.7729516")</f>
        <v>http://dx.doi.org/10.1109/IGARSS.2016.7729516</v>
      </c>
      <c r="BG40" t="s">
        <v>74</v>
      </c>
      <c r="BH40" t="s">
        <v>74</v>
      </c>
      <c r="BI40">
        <v>4</v>
      </c>
      <c r="BJ40" t="s">
        <v>832</v>
      </c>
      <c r="BK40" t="s">
        <v>293</v>
      </c>
      <c r="BL40" t="s">
        <v>833</v>
      </c>
      <c r="BM40" t="s">
        <v>834</v>
      </c>
      <c r="BN40" t="s">
        <v>74</v>
      </c>
      <c r="BO40" t="s">
        <v>241</v>
      </c>
      <c r="BP40" t="s">
        <v>74</v>
      </c>
      <c r="BQ40" t="s">
        <v>74</v>
      </c>
      <c r="BR40" t="s">
        <v>100</v>
      </c>
      <c r="BS40" t="s">
        <v>835</v>
      </c>
      <c r="BT40" t="str">
        <f>HYPERLINK("https%3A%2F%2Fwww.webofscience.com%2Fwos%2Fwoscc%2Ffull-record%2FWOS:000388114602029","View Full Record in Web of Science")</f>
        <v>View Full Record in Web of Science</v>
      </c>
    </row>
    <row r="41" spans="1:72" x14ac:dyDescent="0.15">
      <c r="A41" t="s">
        <v>267</v>
      </c>
      <c r="B41" t="s">
        <v>836</v>
      </c>
      <c r="C41" t="s">
        <v>74</v>
      </c>
      <c r="D41" t="s">
        <v>74</v>
      </c>
      <c r="E41" t="s">
        <v>269</v>
      </c>
      <c r="F41" t="s">
        <v>837</v>
      </c>
      <c r="G41" t="s">
        <v>74</v>
      </c>
      <c r="H41" t="s">
        <v>74</v>
      </c>
      <c r="I41" t="s">
        <v>838</v>
      </c>
      <c r="J41" t="s">
        <v>812</v>
      </c>
      <c r="K41" t="s">
        <v>813</v>
      </c>
      <c r="L41" t="s">
        <v>74</v>
      </c>
      <c r="M41" t="s">
        <v>200</v>
      </c>
      <c r="N41" t="s">
        <v>273</v>
      </c>
      <c r="O41" t="s">
        <v>814</v>
      </c>
      <c r="P41" t="s">
        <v>815</v>
      </c>
      <c r="Q41" t="s">
        <v>816</v>
      </c>
      <c r="R41" t="s">
        <v>74</v>
      </c>
      <c r="S41" t="s">
        <v>74</v>
      </c>
      <c r="T41" t="s">
        <v>839</v>
      </c>
      <c r="U41" t="s">
        <v>840</v>
      </c>
      <c r="V41" t="s">
        <v>841</v>
      </c>
      <c r="W41" t="s">
        <v>842</v>
      </c>
      <c r="X41" t="s">
        <v>843</v>
      </c>
      <c r="Y41" t="s">
        <v>844</v>
      </c>
      <c r="Z41" t="s">
        <v>845</v>
      </c>
      <c r="AA41" t="s">
        <v>74</v>
      </c>
      <c r="AB41" t="s">
        <v>74</v>
      </c>
      <c r="AC41" t="s">
        <v>846</v>
      </c>
      <c r="AD41" t="s">
        <v>847</v>
      </c>
      <c r="AE41" t="s">
        <v>848</v>
      </c>
      <c r="AF41" t="s">
        <v>74</v>
      </c>
      <c r="AG41">
        <v>10</v>
      </c>
      <c r="AH41">
        <v>0</v>
      </c>
      <c r="AI41">
        <v>0</v>
      </c>
      <c r="AJ41">
        <v>1</v>
      </c>
      <c r="AK41">
        <v>4</v>
      </c>
      <c r="AL41" t="s">
        <v>269</v>
      </c>
      <c r="AM41" t="s">
        <v>289</v>
      </c>
      <c r="AN41" t="s">
        <v>290</v>
      </c>
      <c r="AO41" t="s">
        <v>828</v>
      </c>
      <c r="AP41" t="s">
        <v>74</v>
      </c>
      <c r="AQ41" t="s">
        <v>829</v>
      </c>
      <c r="AR41" t="s">
        <v>830</v>
      </c>
      <c r="AS41" t="s">
        <v>74</v>
      </c>
      <c r="AT41" t="s">
        <v>74</v>
      </c>
      <c r="AU41">
        <v>2016</v>
      </c>
      <c r="AV41" t="s">
        <v>74</v>
      </c>
      <c r="AW41" t="s">
        <v>74</v>
      </c>
      <c r="AX41" t="s">
        <v>74</v>
      </c>
      <c r="AY41" t="s">
        <v>74</v>
      </c>
      <c r="AZ41" t="s">
        <v>74</v>
      </c>
      <c r="BA41" t="s">
        <v>74</v>
      </c>
      <c r="BB41">
        <v>2933</v>
      </c>
      <c r="BC41">
        <v>2936</v>
      </c>
      <c r="BD41" t="s">
        <v>74</v>
      </c>
      <c r="BE41" t="s">
        <v>849</v>
      </c>
      <c r="BF41" t="str">
        <f>HYPERLINK("http://dx.doi.org/10.1109/IGARSS.2016.7729757","http://dx.doi.org/10.1109/IGARSS.2016.7729757")</f>
        <v>http://dx.doi.org/10.1109/IGARSS.2016.7729757</v>
      </c>
      <c r="BG41" t="s">
        <v>74</v>
      </c>
      <c r="BH41" t="s">
        <v>74</v>
      </c>
      <c r="BI41">
        <v>4</v>
      </c>
      <c r="BJ41" t="s">
        <v>832</v>
      </c>
      <c r="BK41" t="s">
        <v>293</v>
      </c>
      <c r="BL41" t="s">
        <v>833</v>
      </c>
      <c r="BM41" t="s">
        <v>834</v>
      </c>
      <c r="BN41" t="s">
        <v>74</v>
      </c>
      <c r="BO41" t="s">
        <v>74</v>
      </c>
      <c r="BP41" t="s">
        <v>74</v>
      </c>
      <c r="BQ41" t="s">
        <v>74</v>
      </c>
      <c r="BR41" t="s">
        <v>100</v>
      </c>
      <c r="BS41" t="s">
        <v>850</v>
      </c>
      <c r="BT41" t="str">
        <f>HYPERLINK("https%3A%2F%2Fwww.webofscience.com%2Fwos%2Fwoscc%2Ffull-record%2FWOS:000388114602251","View Full Record in Web of Science")</f>
        <v>View Full Record in Web of Science</v>
      </c>
    </row>
    <row r="42" spans="1:72" x14ac:dyDescent="0.15">
      <c r="A42" t="s">
        <v>267</v>
      </c>
      <c r="B42" t="s">
        <v>851</v>
      </c>
      <c r="C42" t="s">
        <v>74</v>
      </c>
      <c r="D42" t="s">
        <v>74</v>
      </c>
      <c r="E42" t="s">
        <v>269</v>
      </c>
      <c r="F42" t="s">
        <v>852</v>
      </c>
      <c r="G42" t="s">
        <v>74</v>
      </c>
      <c r="H42" t="s">
        <v>74</v>
      </c>
      <c r="I42" t="s">
        <v>853</v>
      </c>
      <c r="J42" t="s">
        <v>812</v>
      </c>
      <c r="K42" t="s">
        <v>813</v>
      </c>
      <c r="L42" t="s">
        <v>74</v>
      </c>
      <c r="M42" t="s">
        <v>200</v>
      </c>
      <c r="N42" t="s">
        <v>273</v>
      </c>
      <c r="O42" t="s">
        <v>814</v>
      </c>
      <c r="P42" t="s">
        <v>815</v>
      </c>
      <c r="Q42" t="s">
        <v>816</v>
      </c>
      <c r="R42" t="s">
        <v>74</v>
      </c>
      <c r="S42" t="s">
        <v>74</v>
      </c>
      <c r="T42" t="s">
        <v>854</v>
      </c>
      <c r="U42" t="s">
        <v>855</v>
      </c>
      <c r="V42" t="s">
        <v>856</v>
      </c>
      <c r="W42" t="s">
        <v>857</v>
      </c>
      <c r="X42" t="s">
        <v>858</v>
      </c>
      <c r="Y42" t="s">
        <v>859</v>
      </c>
      <c r="Z42" t="s">
        <v>74</v>
      </c>
      <c r="AA42" t="s">
        <v>860</v>
      </c>
      <c r="AB42" t="s">
        <v>74</v>
      </c>
      <c r="AC42" t="s">
        <v>74</v>
      </c>
      <c r="AD42" t="s">
        <v>74</v>
      </c>
      <c r="AE42" t="s">
        <v>74</v>
      </c>
      <c r="AF42" t="s">
        <v>74</v>
      </c>
      <c r="AG42">
        <v>11</v>
      </c>
      <c r="AH42">
        <v>0</v>
      </c>
      <c r="AI42">
        <v>0</v>
      </c>
      <c r="AJ42">
        <v>0</v>
      </c>
      <c r="AK42">
        <v>13</v>
      </c>
      <c r="AL42" t="s">
        <v>269</v>
      </c>
      <c r="AM42" t="s">
        <v>289</v>
      </c>
      <c r="AN42" t="s">
        <v>290</v>
      </c>
      <c r="AO42" t="s">
        <v>828</v>
      </c>
      <c r="AP42" t="s">
        <v>74</v>
      </c>
      <c r="AQ42" t="s">
        <v>829</v>
      </c>
      <c r="AR42" t="s">
        <v>830</v>
      </c>
      <c r="AS42" t="s">
        <v>74</v>
      </c>
      <c r="AT42" t="s">
        <v>74</v>
      </c>
      <c r="AU42">
        <v>2016</v>
      </c>
      <c r="AV42" t="s">
        <v>74</v>
      </c>
      <c r="AW42" t="s">
        <v>74</v>
      </c>
      <c r="AX42" t="s">
        <v>74</v>
      </c>
      <c r="AY42" t="s">
        <v>74</v>
      </c>
      <c r="AZ42" t="s">
        <v>74</v>
      </c>
      <c r="BA42" t="s">
        <v>74</v>
      </c>
      <c r="BB42">
        <v>3481</v>
      </c>
      <c r="BC42">
        <v>3484</v>
      </c>
      <c r="BD42" t="s">
        <v>74</v>
      </c>
      <c r="BE42" t="s">
        <v>861</v>
      </c>
      <c r="BF42" t="str">
        <f>HYPERLINK("http://dx.doi.org/10.1109/IGARSS.2016.7729900","http://dx.doi.org/10.1109/IGARSS.2016.7729900")</f>
        <v>http://dx.doi.org/10.1109/IGARSS.2016.7729900</v>
      </c>
      <c r="BG42" t="s">
        <v>74</v>
      </c>
      <c r="BH42" t="s">
        <v>74</v>
      </c>
      <c r="BI42">
        <v>4</v>
      </c>
      <c r="BJ42" t="s">
        <v>832</v>
      </c>
      <c r="BK42" t="s">
        <v>293</v>
      </c>
      <c r="BL42" t="s">
        <v>833</v>
      </c>
      <c r="BM42" t="s">
        <v>834</v>
      </c>
      <c r="BN42" t="s">
        <v>74</v>
      </c>
      <c r="BO42" t="s">
        <v>74</v>
      </c>
      <c r="BP42" t="s">
        <v>74</v>
      </c>
      <c r="BQ42" t="s">
        <v>74</v>
      </c>
      <c r="BR42" t="s">
        <v>100</v>
      </c>
      <c r="BS42" t="s">
        <v>862</v>
      </c>
      <c r="BT42" t="str">
        <f>HYPERLINK("https%3A%2F%2Fwww.webofscience.com%2Fwos%2Fwoscc%2Ffull-record%2FWOS:000388114603126","View Full Record in Web of Science")</f>
        <v>View Full Record in Web of Science</v>
      </c>
    </row>
    <row r="43" spans="1:72" x14ac:dyDescent="0.15">
      <c r="A43" t="s">
        <v>267</v>
      </c>
      <c r="B43" t="s">
        <v>863</v>
      </c>
      <c r="C43" t="s">
        <v>74</v>
      </c>
      <c r="D43" t="s">
        <v>74</v>
      </c>
      <c r="E43" t="s">
        <v>269</v>
      </c>
      <c r="F43" t="s">
        <v>864</v>
      </c>
      <c r="G43" t="s">
        <v>74</v>
      </c>
      <c r="H43" t="s">
        <v>74</v>
      </c>
      <c r="I43" t="s">
        <v>865</v>
      </c>
      <c r="J43" t="s">
        <v>812</v>
      </c>
      <c r="K43" t="s">
        <v>813</v>
      </c>
      <c r="L43" t="s">
        <v>74</v>
      </c>
      <c r="M43" t="s">
        <v>200</v>
      </c>
      <c r="N43" t="s">
        <v>273</v>
      </c>
      <c r="O43" t="s">
        <v>814</v>
      </c>
      <c r="P43" t="s">
        <v>815</v>
      </c>
      <c r="Q43" t="s">
        <v>816</v>
      </c>
      <c r="R43" t="s">
        <v>74</v>
      </c>
      <c r="S43" t="s">
        <v>74</v>
      </c>
      <c r="T43" t="s">
        <v>866</v>
      </c>
      <c r="U43" t="s">
        <v>74</v>
      </c>
      <c r="V43" t="s">
        <v>867</v>
      </c>
      <c r="W43" t="s">
        <v>868</v>
      </c>
      <c r="X43" t="s">
        <v>869</v>
      </c>
      <c r="Y43" t="s">
        <v>870</v>
      </c>
      <c r="Z43" t="s">
        <v>871</v>
      </c>
      <c r="AA43" t="s">
        <v>872</v>
      </c>
      <c r="AB43" t="s">
        <v>74</v>
      </c>
      <c r="AC43" t="s">
        <v>873</v>
      </c>
      <c r="AD43" t="s">
        <v>874</v>
      </c>
      <c r="AE43" t="s">
        <v>875</v>
      </c>
      <c r="AF43" t="s">
        <v>74</v>
      </c>
      <c r="AG43">
        <v>8</v>
      </c>
      <c r="AH43">
        <v>3</v>
      </c>
      <c r="AI43">
        <v>3</v>
      </c>
      <c r="AJ43">
        <v>0</v>
      </c>
      <c r="AK43">
        <v>5</v>
      </c>
      <c r="AL43" t="s">
        <v>269</v>
      </c>
      <c r="AM43" t="s">
        <v>289</v>
      </c>
      <c r="AN43" t="s">
        <v>290</v>
      </c>
      <c r="AO43" t="s">
        <v>828</v>
      </c>
      <c r="AP43" t="s">
        <v>74</v>
      </c>
      <c r="AQ43" t="s">
        <v>829</v>
      </c>
      <c r="AR43" t="s">
        <v>830</v>
      </c>
      <c r="AS43" t="s">
        <v>74</v>
      </c>
      <c r="AT43" t="s">
        <v>74</v>
      </c>
      <c r="AU43">
        <v>2016</v>
      </c>
      <c r="AV43" t="s">
        <v>74</v>
      </c>
      <c r="AW43" t="s">
        <v>74</v>
      </c>
      <c r="AX43" t="s">
        <v>74</v>
      </c>
      <c r="AY43" t="s">
        <v>74</v>
      </c>
      <c r="AZ43" t="s">
        <v>74</v>
      </c>
      <c r="BA43" t="s">
        <v>74</v>
      </c>
      <c r="BB43">
        <v>4861</v>
      </c>
      <c r="BC43">
        <v>4864</v>
      </c>
      <c r="BD43" t="s">
        <v>74</v>
      </c>
      <c r="BE43" t="s">
        <v>876</v>
      </c>
      <c r="BF43" t="str">
        <f>HYPERLINK("http://dx.doi.org/10.1109/IGARSS.2016.7730268","http://dx.doi.org/10.1109/IGARSS.2016.7730268")</f>
        <v>http://dx.doi.org/10.1109/IGARSS.2016.7730268</v>
      </c>
      <c r="BG43" t="s">
        <v>74</v>
      </c>
      <c r="BH43" t="s">
        <v>74</v>
      </c>
      <c r="BI43">
        <v>4</v>
      </c>
      <c r="BJ43" t="s">
        <v>832</v>
      </c>
      <c r="BK43" t="s">
        <v>293</v>
      </c>
      <c r="BL43" t="s">
        <v>833</v>
      </c>
      <c r="BM43" t="s">
        <v>834</v>
      </c>
      <c r="BN43" t="s">
        <v>74</v>
      </c>
      <c r="BO43" t="s">
        <v>74</v>
      </c>
      <c r="BP43" t="s">
        <v>74</v>
      </c>
      <c r="BQ43" t="s">
        <v>74</v>
      </c>
      <c r="BR43" t="s">
        <v>100</v>
      </c>
      <c r="BS43" t="s">
        <v>877</v>
      </c>
      <c r="BT43" t="str">
        <f>HYPERLINK("https%3A%2F%2Fwww.webofscience.com%2Fwos%2Fwoscc%2Ffull-record%2FWOS:000388114604205","View Full Record in Web of Science")</f>
        <v>View Full Record in Web of Science</v>
      </c>
    </row>
    <row r="44" spans="1:72" x14ac:dyDescent="0.15">
      <c r="A44" t="s">
        <v>267</v>
      </c>
      <c r="B44" t="s">
        <v>878</v>
      </c>
      <c r="C44" t="s">
        <v>74</v>
      </c>
      <c r="D44" t="s">
        <v>74</v>
      </c>
      <c r="E44" t="s">
        <v>269</v>
      </c>
      <c r="F44" t="s">
        <v>879</v>
      </c>
      <c r="G44" t="s">
        <v>74</v>
      </c>
      <c r="H44" t="s">
        <v>74</v>
      </c>
      <c r="I44" t="s">
        <v>880</v>
      </c>
      <c r="J44" t="s">
        <v>812</v>
      </c>
      <c r="K44" t="s">
        <v>813</v>
      </c>
      <c r="L44" t="s">
        <v>74</v>
      </c>
      <c r="M44" t="s">
        <v>200</v>
      </c>
      <c r="N44" t="s">
        <v>273</v>
      </c>
      <c r="O44" t="s">
        <v>814</v>
      </c>
      <c r="P44" t="s">
        <v>815</v>
      </c>
      <c r="Q44" t="s">
        <v>816</v>
      </c>
      <c r="R44" t="s">
        <v>74</v>
      </c>
      <c r="S44" t="s">
        <v>74</v>
      </c>
      <c r="T44" t="s">
        <v>74</v>
      </c>
      <c r="U44" t="s">
        <v>74</v>
      </c>
      <c r="V44" t="s">
        <v>74</v>
      </c>
      <c r="W44" t="s">
        <v>881</v>
      </c>
      <c r="X44" t="s">
        <v>882</v>
      </c>
      <c r="Y44" t="s">
        <v>883</v>
      </c>
      <c r="Z44" t="s">
        <v>884</v>
      </c>
      <c r="AA44" t="s">
        <v>885</v>
      </c>
      <c r="AB44" t="s">
        <v>74</v>
      </c>
      <c r="AC44" t="s">
        <v>886</v>
      </c>
      <c r="AD44" t="s">
        <v>847</v>
      </c>
      <c r="AE44" t="s">
        <v>887</v>
      </c>
      <c r="AF44" t="s">
        <v>74</v>
      </c>
      <c r="AG44">
        <v>8</v>
      </c>
      <c r="AH44">
        <v>0</v>
      </c>
      <c r="AI44">
        <v>0</v>
      </c>
      <c r="AJ44">
        <v>0</v>
      </c>
      <c r="AK44">
        <v>2</v>
      </c>
      <c r="AL44" t="s">
        <v>269</v>
      </c>
      <c r="AM44" t="s">
        <v>289</v>
      </c>
      <c r="AN44" t="s">
        <v>290</v>
      </c>
      <c r="AO44" t="s">
        <v>828</v>
      </c>
      <c r="AP44" t="s">
        <v>74</v>
      </c>
      <c r="AQ44" t="s">
        <v>829</v>
      </c>
      <c r="AR44" t="s">
        <v>830</v>
      </c>
      <c r="AS44" t="s">
        <v>74</v>
      </c>
      <c r="AT44" t="s">
        <v>74</v>
      </c>
      <c r="AU44">
        <v>2016</v>
      </c>
      <c r="AV44" t="s">
        <v>74</v>
      </c>
      <c r="AW44" t="s">
        <v>74</v>
      </c>
      <c r="AX44" t="s">
        <v>74</v>
      </c>
      <c r="AY44" t="s">
        <v>74</v>
      </c>
      <c r="AZ44" t="s">
        <v>74</v>
      </c>
      <c r="BA44" t="s">
        <v>74</v>
      </c>
      <c r="BB44">
        <v>4868</v>
      </c>
      <c r="BC44">
        <v>4871</v>
      </c>
      <c r="BD44" t="s">
        <v>74</v>
      </c>
      <c r="BE44" t="s">
        <v>888</v>
      </c>
      <c r="BF44" t="str">
        <f>HYPERLINK("http://dx.doi.org/10.1109/IGARSS.2016.7730270","http://dx.doi.org/10.1109/IGARSS.2016.7730270")</f>
        <v>http://dx.doi.org/10.1109/IGARSS.2016.7730270</v>
      </c>
      <c r="BG44" t="s">
        <v>74</v>
      </c>
      <c r="BH44" t="s">
        <v>74</v>
      </c>
      <c r="BI44">
        <v>4</v>
      </c>
      <c r="BJ44" t="s">
        <v>832</v>
      </c>
      <c r="BK44" t="s">
        <v>293</v>
      </c>
      <c r="BL44" t="s">
        <v>833</v>
      </c>
      <c r="BM44" t="s">
        <v>834</v>
      </c>
      <c r="BN44" t="s">
        <v>74</v>
      </c>
      <c r="BO44" t="s">
        <v>74</v>
      </c>
      <c r="BP44" t="s">
        <v>74</v>
      </c>
      <c r="BQ44" t="s">
        <v>74</v>
      </c>
      <c r="BR44" t="s">
        <v>100</v>
      </c>
      <c r="BS44" t="s">
        <v>889</v>
      </c>
      <c r="BT44" t="str">
        <f>HYPERLINK("https%3A%2F%2Fwww.webofscience.com%2Fwos%2Fwoscc%2Ffull-record%2FWOS:000388114604207","View Full Record in Web of Science")</f>
        <v>View Full Record in Web of Science</v>
      </c>
    </row>
    <row r="45" spans="1:72" x14ac:dyDescent="0.15">
      <c r="A45" t="s">
        <v>267</v>
      </c>
      <c r="B45" t="s">
        <v>890</v>
      </c>
      <c r="C45" t="s">
        <v>74</v>
      </c>
      <c r="D45" t="s">
        <v>74</v>
      </c>
      <c r="E45" t="s">
        <v>269</v>
      </c>
      <c r="F45" t="s">
        <v>891</v>
      </c>
      <c r="G45" t="s">
        <v>74</v>
      </c>
      <c r="H45" t="s">
        <v>74</v>
      </c>
      <c r="I45" t="s">
        <v>892</v>
      </c>
      <c r="J45" t="s">
        <v>812</v>
      </c>
      <c r="K45" t="s">
        <v>813</v>
      </c>
      <c r="L45" t="s">
        <v>74</v>
      </c>
      <c r="M45" t="s">
        <v>200</v>
      </c>
      <c r="N45" t="s">
        <v>273</v>
      </c>
      <c r="O45" t="s">
        <v>814</v>
      </c>
      <c r="P45" t="s">
        <v>815</v>
      </c>
      <c r="Q45" t="s">
        <v>816</v>
      </c>
      <c r="R45" t="s">
        <v>74</v>
      </c>
      <c r="S45" t="s">
        <v>74</v>
      </c>
      <c r="T45" t="s">
        <v>893</v>
      </c>
      <c r="U45" t="s">
        <v>74</v>
      </c>
      <c r="V45" t="s">
        <v>894</v>
      </c>
      <c r="W45" t="s">
        <v>895</v>
      </c>
      <c r="X45" t="s">
        <v>896</v>
      </c>
      <c r="Y45" t="s">
        <v>897</v>
      </c>
      <c r="Z45" t="s">
        <v>898</v>
      </c>
      <c r="AA45" t="s">
        <v>74</v>
      </c>
      <c r="AB45" t="s">
        <v>74</v>
      </c>
      <c r="AC45" t="s">
        <v>74</v>
      </c>
      <c r="AD45" t="s">
        <v>74</v>
      </c>
      <c r="AE45" t="s">
        <v>74</v>
      </c>
      <c r="AF45" t="s">
        <v>74</v>
      </c>
      <c r="AG45">
        <v>7</v>
      </c>
      <c r="AH45">
        <v>1</v>
      </c>
      <c r="AI45">
        <v>1</v>
      </c>
      <c r="AJ45">
        <v>0</v>
      </c>
      <c r="AK45">
        <v>3</v>
      </c>
      <c r="AL45" t="s">
        <v>269</v>
      </c>
      <c r="AM45" t="s">
        <v>289</v>
      </c>
      <c r="AN45" t="s">
        <v>290</v>
      </c>
      <c r="AO45" t="s">
        <v>828</v>
      </c>
      <c r="AP45" t="s">
        <v>74</v>
      </c>
      <c r="AQ45" t="s">
        <v>829</v>
      </c>
      <c r="AR45" t="s">
        <v>830</v>
      </c>
      <c r="AS45" t="s">
        <v>74</v>
      </c>
      <c r="AT45" t="s">
        <v>74</v>
      </c>
      <c r="AU45">
        <v>2016</v>
      </c>
      <c r="AV45" t="s">
        <v>74</v>
      </c>
      <c r="AW45" t="s">
        <v>74</v>
      </c>
      <c r="AX45" t="s">
        <v>74</v>
      </c>
      <c r="AY45" t="s">
        <v>74</v>
      </c>
      <c r="AZ45" t="s">
        <v>74</v>
      </c>
      <c r="BA45" t="s">
        <v>74</v>
      </c>
      <c r="BB45">
        <v>4897</v>
      </c>
      <c r="BC45">
        <v>4900</v>
      </c>
      <c r="BD45" t="s">
        <v>74</v>
      </c>
      <c r="BE45" t="s">
        <v>899</v>
      </c>
      <c r="BF45" t="str">
        <f>HYPERLINK("http://dx.doi.org/10.1109/IGARSS.2016.7730278","http://dx.doi.org/10.1109/IGARSS.2016.7730278")</f>
        <v>http://dx.doi.org/10.1109/IGARSS.2016.7730278</v>
      </c>
      <c r="BG45" t="s">
        <v>74</v>
      </c>
      <c r="BH45" t="s">
        <v>74</v>
      </c>
      <c r="BI45">
        <v>4</v>
      </c>
      <c r="BJ45" t="s">
        <v>832</v>
      </c>
      <c r="BK45" t="s">
        <v>293</v>
      </c>
      <c r="BL45" t="s">
        <v>833</v>
      </c>
      <c r="BM45" t="s">
        <v>834</v>
      </c>
      <c r="BN45" t="s">
        <v>74</v>
      </c>
      <c r="BO45" t="s">
        <v>74</v>
      </c>
      <c r="BP45" t="s">
        <v>74</v>
      </c>
      <c r="BQ45" t="s">
        <v>74</v>
      </c>
      <c r="BR45" t="s">
        <v>100</v>
      </c>
      <c r="BS45" t="s">
        <v>900</v>
      </c>
      <c r="BT45" t="str">
        <f>HYPERLINK("https%3A%2F%2Fwww.webofscience.com%2Fwos%2Fwoscc%2Ffull-record%2FWOS:000388114604215","View Full Record in Web of Science")</f>
        <v>View Full Record in Web of Science</v>
      </c>
    </row>
    <row r="46" spans="1:72" x14ac:dyDescent="0.15">
      <c r="A46" t="s">
        <v>267</v>
      </c>
      <c r="B46" t="s">
        <v>901</v>
      </c>
      <c r="C46" t="s">
        <v>74</v>
      </c>
      <c r="D46" t="s">
        <v>74</v>
      </c>
      <c r="E46" t="s">
        <v>269</v>
      </c>
      <c r="F46" t="s">
        <v>902</v>
      </c>
      <c r="G46" t="s">
        <v>74</v>
      </c>
      <c r="H46" t="s">
        <v>74</v>
      </c>
      <c r="I46" t="s">
        <v>903</v>
      </c>
      <c r="J46" t="s">
        <v>812</v>
      </c>
      <c r="K46" t="s">
        <v>813</v>
      </c>
      <c r="L46" t="s">
        <v>74</v>
      </c>
      <c r="M46" t="s">
        <v>200</v>
      </c>
      <c r="N46" t="s">
        <v>273</v>
      </c>
      <c r="O46" t="s">
        <v>814</v>
      </c>
      <c r="P46" t="s">
        <v>815</v>
      </c>
      <c r="Q46" t="s">
        <v>816</v>
      </c>
      <c r="R46" t="s">
        <v>74</v>
      </c>
      <c r="S46" t="s">
        <v>74</v>
      </c>
      <c r="T46" t="s">
        <v>904</v>
      </c>
      <c r="U46" t="s">
        <v>74</v>
      </c>
      <c r="V46" t="s">
        <v>905</v>
      </c>
      <c r="W46" t="s">
        <v>906</v>
      </c>
      <c r="X46" t="s">
        <v>907</v>
      </c>
      <c r="Y46" t="s">
        <v>908</v>
      </c>
      <c r="Z46" t="s">
        <v>909</v>
      </c>
      <c r="AA46" t="s">
        <v>910</v>
      </c>
      <c r="AB46" t="s">
        <v>911</v>
      </c>
      <c r="AC46" t="s">
        <v>912</v>
      </c>
      <c r="AD46" t="s">
        <v>912</v>
      </c>
      <c r="AE46" t="s">
        <v>913</v>
      </c>
      <c r="AF46" t="s">
        <v>74</v>
      </c>
      <c r="AG46">
        <v>9</v>
      </c>
      <c r="AH46">
        <v>1</v>
      </c>
      <c r="AI46">
        <v>1</v>
      </c>
      <c r="AJ46">
        <v>2</v>
      </c>
      <c r="AK46">
        <v>11</v>
      </c>
      <c r="AL46" t="s">
        <v>269</v>
      </c>
      <c r="AM46" t="s">
        <v>289</v>
      </c>
      <c r="AN46" t="s">
        <v>290</v>
      </c>
      <c r="AO46" t="s">
        <v>828</v>
      </c>
      <c r="AP46" t="s">
        <v>74</v>
      </c>
      <c r="AQ46" t="s">
        <v>829</v>
      </c>
      <c r="AR46" t="s">
        <v>830</v>
      </c>
      <c r="AS46" t="s">
        <v>74</v>
      </c>
      <c r="AT46" t="s">
        <v>74</v>
      </c>
      <c r="AU46">
        <v>2016</v>
      </c>
      <c r="AV46" t="s">
        <v>74</v>
      </c>
      <c r="AW46" t="s">
        <v>74</v>
      </c>
      <c r="AX46" t="s">
        <v>74</v>
      </c>
      <c r="AY46" t="s">
        <v>74</v>
      </c>
      <c r="AZ46" t="s">
        <v>74</v>
      </c>
      <c r="BA46" t="s">
        <v>74</v>
      </c>
      <c r="BB46">
        <v>5221</v>
      </c>
      <c r="BC46">
        <v>5224</v>
      </c>
      <c r="BD46" t="s">
        <v>74</v>
      </c>
      <c r="BE46" t="s">
        <v>914</v>
      </c>
      <c r="BF46" t="str">
        <f>HYPERLINK("http://dx.doi.org/10.1109/IGARSS.2016.7730360","http://dx.doi.org/10.1109/IGARSS.2016.7730360")</f>
        <v>http://dx.doi.org/10.1109/IGARSS.2016.7730360</v>
      </c>
      <c r="BG46" t="s">
        <v>74</v>
      </c>
      <c r="BH46" t="s">
        <v>74</v>
      </c>
      <c r="BI46">
        <v>4</v>
      </c>
      <c r="BJ46" t="s">
        <v>832</v>
      </c>
      <c r="BK46" t="s">
        <v>293</v>
      </c>
      <c r="BL46" t="s">
        <v>833</v>
      </c>
      <c r="BM46" t="s">
        <v>834</v>
      </c>
      <c r="BN46" t="s">
        <v>74</v>
      </c>
      <c r="BO46" t="s">
        <v>74</v>
      </c>
      <c r="BP46" t="s">
        <v>74</v>
      </c>
      <c r="BQ46" t="s">
        <v>74</v>
      </c>
      <c r="BR46" t="s">
        <v>100</v>
      </c>
      <c r="BS46" t="s">
        <v>915</v>
      </c>
      <c r="BT46" t="str">
        <f>HYPERLINK("https%3A%2F%2Fwww.webofscience.com%2Fwos%2Fwoscc%2Ffull-record%2FWOS:000388114605036","View Full Record in Web of Science")</f>
        <v>View Full Record in Web of Science</v>
      </c>
    </row>
    <row r="47" spans="1:72" x14ac:dyDescent="0.15">
      <c r="A47" t="s">
        <v>267</v>
      </c>
      <c r="B47" t="s">
        <v>916</v>
      </c>
      <c r="C47" t="s">
        <v>74</v>
      </c>
      <c r="D47" t="s">
        <v>74</v>
      </c>
      <c r="E47" t="s">
        <v>269</v>
      </c>
      <c r="F47" t="s">
        <v>917</v>
      </c>
      <c r="G47" t="s">
        <v>74</v>
      </c>
      <c r="H47" t="s">
        <v>74</v>
      </c>
      <c r="I47" t="s">
        <v>918</v>
      </c>
      <c r="J47" t="s">
        <v>812</v>
      </c>
      <c r="K47" t="s">
        <v>813</v>
      </c>
      <c r="L47" t="s">
        <v>74</v>
      </c>
      <c r="M47" t="s">
        <v>200</v>
      </c>
      <c r="N47" t="s">
        <v>273</v>
      </c>
      <c r="O47" t="s">
        <v>814</v>
      </c>
      <c r="P47" t="s">
        <v>815</v>
      </c>
      <c r="Q47" t="s">
        <v>816</v>
      </c>
      <c r="R47" t="s">
        <v>74</v>
      </c>
      <c r="S47" t="s">
        <v>74</v>
      </c>
      <c r="T47" t="s">
        <v>919</v>
      </c>
      <c r="U47" t="s">
        <v>74</v>
      </c>
      <c r="V47" t="s">
        <v>920</v>
      </c>
      <c r="W47" t="s">
        <v>921</v>
      </c>
      <c r="X47" t="s">
        <v>922</v>
      </c>
      <c r="Y47" t="s">
        <v>923</v>
      </c>
      <c r="Z47" t="s">
        <v>924</v>
      </c>
      <c r="AA47" t="s">
        <v>925</v>
      </c>
      <c r="AB47" t="s">
        <v>926</v>
      </c>
      <c r="AC47" t="s">
        <v>927</v>
      </c>
      <c r="AD47" t="s">
        <v>928</v>
      </c>
      <c r="AE47" t="s">
        <v>929</v>
      </c>
      <c r="AF47" t="s">
        <v>74</v>
      </c>
      <c r="AG47">
        <v>8</v>
      </c>
      <c r="AH47">
        <v>3</v>
      </c>
      <c r="AI47">
        <v>4</v>
      </c>
      <c r="AJ47">
        <v>0</v>
      </c>
      <c r="AK47">
        <v>0</v>
      </c>
      <c r="AL47" t="s">
        <v>269</v>
      </c>
      <c r="AM47" t="s">
        <v>289</v>
      </c>
      <c r="AN47" t="s">
        <v>290</v>
      </c>
      <c r="AO47" t="s">
        <v>828</v>
      </c>
      <c r="AP47" t="s">
        <v>74</v>
      </c>
      <c r="AQ47" t="s">
        <v>829</v>
      </c>
      <c r="AR47" t="s">
        <v>830</v>
      </c>
      <c r="AS47" t="s">
        <v>74</v>
      </c>
      <c r="AT47" t="s">
        <v>74</v>
      </c>
      <c r="AU47">
        <v>2016</v>
      </c>
      <c r="AV47" t="s">
        <v>74</v>
      </c>
      <c r="AW47" t="s">
        <v>74</v>
      </c>
      <c r="AX47" t="s">
        <v>74</v>
      </c>
      <c r="AY47" t="s">
        <v>74</v>
      </c>
      <c r="AZ47" t="s">
        <v>74</v>
      </c>
      <c r="BA47" t="s">
        <v>74</v>
      </c>
      <c r="BB47">
        <v>7088</v>
      </c>
      <c r="BC47">
        <v>7091</v>
      </c>
      <c r="BD47" t="s">
        <v>74</v>
      </c>
      <c r="BE47" t="s">
        <v>930</v>
      </c>
      <c r="BF47" t="str">
        <f>HYPERLINK("http://dx.doi.org/10.1109/IGARSS.2016.7730849","http://dx.doi.org/10.1109/IGARSS.2016.7730849")</f>
        <v>http://dx.doi.org/10.1109/IGARSS.2016.7730849</v>
      </c>
      <c r="BG47" t="s">
        <v>74</v>
      </c>
      <c r="BH47" t="s">
        <v>74</v>
      </c>
      <c r="BI47">
        <v>4</v>
      </c>
      <c r="BJ47" t="s">
        <v>832</v>
      </c>
      <c r="BK47" t="s">
        <v>293</v>
      </c>
      <c r="BL47" t="s">
        <v>833</v>
      </c>
      <c r="BM47" t="s">
        <v>834</v>
      </c>
      <c r="BN47" t="s">
        <v>74</v>
      </c>
      <c r="BO47" t="s">
        <v>403</v>
      </c>
      <c r="BP47" t="s">
        <v>74</v>
      </c>
      <c r="BQ47" t="s">
        <v>74</v>
      </c>
      <c r="BR47" t="s">
        <v>100</v>
      </c>
      <c r="BS47" t="s">
        <v>931</v>
      </c>
      <c r="BT47" t="str">
        <f>HYPERLINK("https%3A%2F%2Fwww.webofscience.com%2Fwos%2Fwoscc%2Ffull-record%2FWOS:000388114606224","View Full Record in Web of Science")</f>
        <v>View Full Record in Web of Science</v>
      </c>
    </row>
    <row r="48" spans="1:72" x14ac:dyDescent="0.15">
      <c r="A48" t="s">
        <v>267</v>
      </c>
      <c r="B48" t="s">
        <v>932</v>
      </c>
      <c r="C48" t="s">
        <v>74</v>
      </c>
      <c r="D48" t="s">
        <v>74</v>
      </c>
      <c r="E48" t="s">
        <v>269</v>
      </c>
      <c r="F48" t="s">
        <v>933</v>
      </c>
      <c r="G48" t="s">
        <v>74</v>
      </c>
      <c r="H48" t="s">
        <v>74</v>
      </c>
      <c r="I48" t="s">
        <v>934</v>
      </c>
      <c r="J48" t="s">
        <v>812</v>
      </c>
      <c r="K48" t="s">
        <v>813</v>
      </c>
      <c r="L48" t="s">
        <v>74</v>
      </c>
      <c r="M48" t="s">
        <v>200</v>
      </c>
      <c r="N48" t="s">
        <v>273</v>
      </c>
      <c r="O48" t="s">
        <v>814</v>
      </c>
      <c r="P48" t="s">
        <v>815</v>
      </c>
      <c r="Q48" t="s">
        <v>816</v>
      </c>
      <c r="R48" t="s">
        <v>74</v>
      </c>
      <c r="S48" t="s">
        <v>74</v>
      </c>
      <c r="T48" t="s">
        <v>935</v>
      </c>
      <c r="U48" t="s">
        <v>936</v>
      </c>
      <c r="V48" t="s">
        <v>937</v>
      </c>
      <c r="W48" t="s">
        <v>938</v>
      </c>
      <c r="X48" t="s">
        <v>939</v>
      </c>
      <c r="Y48" t="s">
        <v>940</v>
      </c>
      <c r="Z48" t="s">
        <v>941</v>
      </c>
      <c r="AA48" t="s">
        <v>942</v>
      </c>
      <c r="AB48" t="s">
        <v>74</v>
      </c>
      <c r="AC48" t="s">
        <v>74</v>
      </c>
      <c r="AD48" t="s">
        <v>74</v>
      </c>
      <c r="AE48" t="s">
        <v>74</v>
      </c>
      <c r="AF48" t="s">
        <v>74</v>
      </c>
      <c r="AG48">
        <v>14</v>
      </c>
      <c r="AH48">
        <v>2</v>
      </c>
      <c r="AI48">
        <v>2</v>
      </c>
      <c r="AJ48">
        <v>0</v>
      </c>
      <c r="AK48">
        <v>2</v>
      </c>
      <c r="AL48" t="s">
        <v>269</v>
      </c>
      <c r="AM48" t="s">
        <v>289</v>
      </c>
      <c r="AN48" t="s">
        <v>290</v>
      </c>
      <c r="AO48" t="s">
        <v>828</v>
      </c>
      <c r="AP48" t="s">
        <v>74</v>
      </c>
      <c r="AQ48" t="s">
        <v>829</v>
      </c>
      <c r="AR48" t="s">
        <v>830</v>
      </c>
      <c r="AS48" t="s">
        <v>74</v>
      </c>
      <c r="AT48" t="s">
        <v>74</v>
      </c>
      <c r="AU48">
        <v>2016</v>
      </c>
      <c r="AV48" t="s">
        <v>74</v>
      </c>
      <c r="AW48" t="s">
        <v>74</v>
      </c>
      <c r="AX48" t="s">
        <v>74</v>
      </c>
      <c r="AY48" t="s">
        <v>74</v>
      </c>
      <c r="AZ48" t="s">
        <v>74</v>
      </c>
      <c r="BA48" t="s">
        <v>74</v>
      </c>
      <c r="BB48">
        <v>7094</v>
      </c>
      <c r="BC48">
        <v>7097</v>
      </c>
      <c r="BD48" t="s">
        <v>74</v>
      </c>
      <c r="BE48" t="s">
        <v>943</v>
      </c>
      <c r="BF48" t="str">
        <f>HYPERLINK("http://dx.doi.org/10.1109/IGARSS.2016.7730851","http://dx.doi.org/10.1109/IGARSS.2016.7730851")</f>
        <v>http://dx.doi.org/10.1109/IGARSS.2016.7730851</v>
      </c>
      <c r="BG48" t="s">
        <v>74</v>
      </c>
      <c r="BH48" t="s">
        <v>74</v>
      </c>
      <c r="BI48">
        <v>4</v>
      </c>
      <c r="BJ48" t="s">
        <v>832</v>
      </c>
      <c r="BK48" t="s">
        <v>293</v>
      </c>
      <c r="BL48" t="s">
        <v>833</v>
      </c>
      <c r="BM48" t="s">
        <v>834</v>
      </c>
      <c r="BN48" t="s">
        <v>74</v>
      </c>
      <c r="BO48" t="s">
        <v>74</v>
      </c>
      <c r="BP48" t="s">
        <v>74</v>
      </c>
      <c r="BQ48" t="s">
        <v>74</v>
      </c>
      <c r="BR48" t="s">
        <v>100</v>
      </c>
      <c r="BS48" t="s">
        <v>944</v>
      </c>
      <c r="BT48" t="str">
        <f>HYPERLINK("https%3A%2F%2Fwww.webofscience.com%2Fwos%2Fwoscc%2Ffull-record%2FWOS:000388114606226","View Full Record in Web of Science")</f>
        <v>View Full Record in Web of Science</v>
      </c>
    </row>
    <row r="49" spans="1:72" x14ac:dyDescent="0.15">
      <c r="A49" t="s">
        <v>267</v>
      </c>
      <c r="B49" t="s">
        <v>945</v>
      </c>
      <c r="C49" t="s">
        <v>74</v>
      </c>
      <c r="D49" t="s">
        <v>74</v>
      </c>
      <c r="E49" t="s">
        <v>269</v>
      </c>
      <c r="F49" t="s">
        <v>946</v>
      </c>
      <c r="G49" t="s">
        <v>74</v>
      </c>
      <c r="H49" t="s">
        <v>74</v>
      </c>
      <c r="I49" t="s">
        <v>947</v>
      </c>
      <c r="J49" t="s">
        <v>812</v>
      </c>
      <c r="K49" t="s">
        <v>813</v>
      </c>
      <c r="L49" t="s">
        <v>74</v>
      </c>
      <c r="M49" t="s">
        <v>200</v>
      </c>
      <c r="N49" t="s">
        <v>273</v>
      </c>
      <c r="O49" t="s">
        <v>814</v>
      </c>
      <c r="P49" t="s">
        <v>815</v>
      </c>
      <c r="Q49" t="s">
        <v>816</v>
      </c>
      <c r="R49" t="s">
        <v>74</v>
      </c>
      <c r="S49" t="s">
        <v>74</v>
      </c>
      <c r="T49" t="s">
        <v>74</v>
      </c>
      <c r="U49" t="s">
        <v>74</v>
      </c>
      <c r="V49" t="s">
        <v>74</v>
      </c>
      <c r="W49" t="s">
        <v>948</v>
      </c>
      <c r="X49" t="s">
        <v>949</v>
      </c>
      <c r="Y49" t="s">
        <v>950</v>
      </c>
      <c r="Z49" t="s">
        <v>951</v>
      </c>
      <c r="AA49" t="s">
        <v>952</v>
      </c>
      <c r="AB49" t="s">
        <v>953</v>
      </c>
      <c r="AC49" t="s">
        <v>74</v>
      </c>
      <c r="AD49" t="s">
        <v>74</v>
      </c>
      <c r="AE49" t="s">
        <v>74</v>
      </c>
      <c r="AF49" t="s">
        <v>74</v>
      </c>
      <c r="AG49">
        <v>7</v>
      </c>
      <c r="AH49">
        <v>0</v>
      </c>
      <c r="AI49">
        <v>0</v>
      </c>
      <c r="AJ49">
        <v>1</v>
      </c>
      <c r="AK49">
        <v>8</v>
      </c>
      <c r="AL49" t="s">
        <v>269</v>
      </c>
      <c r="AM49" t="s">
        <v>289</v>
      </c>
      <c r="AN49" t="s">
        <v>290</v>
      </c>
      <c r="AO49" t="s">
        <v>828</v>
      </c>
      <c r="AP49" t="s">
        <v>74</v>
      </c>
      <c r="AQ49" t="s">
        <v>829</v>
      </c>
      <c r="AR49" t="s">
        <v>830</v>
      </c>
      <c r="AS49" t="s">
        <v>74</v>
      </c>
      <c r="AT49" t="s">
        <v>74</v>
      </c>
      <c r="AU49">
        <v>2016</v>
      </c>
      <c r="AV49" t="s">
        <v>74</v>
      </c>
      <c r="AW49" t="s">
        <v>74</v>
      </c>
      <c r="AX49" t="s">
        <v>74</v>
      </c>
      <c r="AY49" t="s">
        <v>74</v>
      </c>
      <c r="AZ49" t="s">
        <v>74</v>
      </c>
      <c r="BA49" t="s">
        <v>74</v>
      </c>
      <c r="BB49">
        <v>7682</v>
      </c>
      <c r="BC49">
        <v>7685</v>
      </c>
      <c r="BD49" t="s">
        <v>74</v>
      </c>
      <c r="BE49" t="s">
        <v>954</v>
      </c>
      <c r="BF49" t="str">
        <f>HYPERLINK("http://dx.doi.org/10.1109/IGARSS.2016.7731003","http://dx.doi.org/10.1109/IGARSS.2016.7731003")</f>
        <v>http://dx.doi.org/10.1109/IGARSS.2016.7731003</v>
      </c>
      <c r="BG49" t="s">
        <v>74</v>
      </c>
      <c r="BH49" t="s">
        <v>74</v>
      </c>
      <c r="BI49">
        <v>4</v>
      </c>
      <c r="BJ49" t="s">
        <v>832</v>
      </c>
      <c r="BK49" t="s">
        <v>293</v>
      </c>
      <c r="BL49" t="s">
        <v>833</v>
      </c>
      <c r="BM49" t="s">
        <v>834</v>
      </c>
      <c r="BN49" t="s">
        <v>74</v>
      </c>
      <c r="BO49" t="s">
        <v>403</v>
      </c>
      <c r="BP49" t="s">
        <v>74</v>
      </c>
      <c r="BQ49" t="s">
        <v>74</v>
      </c>
      <c r="BR49" t="s">
        <v>100</v>
      </c>
      <c r="BS49" t="s">
        <v>955</v>
      </c>
      <c r="BT49" t="str">
        <f>HYPERLINK("https%3A%2F%2Fwww.webofscience.com%2Fwos%2Fwoscc%2Ffull-record%2FWOS:000388114607123","View Full Record in Web of Science")</f>
        <v>View Full Record in Web of Science</v>
      </c>
    </row>
    <row r="50" spans="1:72" x14ac:dyDescent="0.15">
      <c r="A50" t="s">
        <v>267</v>
      </c>
      <c r="B50" t="s">
        <v>956</v>
      </c>
      <c r="C50" t="s">
        <v>74</v>
      </c>
      <c r="D50" t="s">
        <v>957</v>
      </c>
      <c r="E50" t="s">
        <v>74</v>
      </c>
      <c r="F50" t="s">
        <v>958</v>
      </c>
      <c r="G50" t="s">
        <v>74</v>
      </c>
      <c r="H50" t="s">
        <v>74</v>
      </c>
      <c r="I50" t="s">
        <v>959</v>
      </c>
      <c r="J50" t="s">
        <v>960</v>
      </c>
      <c r="K50" t="s">
        <v>961</v>
      </c>
      <c r="L50" t="s">
        <v>74</v>
      </c>
      <c r="M50" t="s">
        <v>200</v>
      </c>
      <c r="N50" t="s">
        <v>273</v>
      </c>
      <c r="O50" t="s">
        <v>962</v>
      </c>
      <c r="P50" t="s">
        <v>963</v>
      </c>
      <c r="Q50" t="s">
        <v>964</v>
      </c>
      <c r="R50" t="s">
        <v>74</v>
      </c>
      <c r="S50" t="s">
        <v>74</v>
      </c>
      <c r="T50" t="s">
        <v>965</v>
      </c>
      <c r="U50" t="s">
        <v>74</v>
      </c>
      <c r="V50" t="s">
        <v>966</v>
      </c>
      <c r="W50" t="s">
        <v>967</v>
      </c>
      <c r="X50" t="s">
        <v>968</v>
      </c>
      <c r="Y50" t="s">
        <v>969</v>
      </c>
      <c r="Z50" t="s">
        <v>970</v>
      </c>
      <c r="AA50" t="s">
        <v>971</v>
      </c>
      <c r="AB50" t="s">
        <v>972</v>
      </c>
      <c r="AC50" t="s">
        <v>973</v>
      </c>
      <c r="AD50" t="s">
        <v>974</v>
      </c>
      <c r="AE50" t="s">
        <v>975</v>
      </c>
      <c r="AF50" t="s">
        <v>74</v>
      </c>
      <c r="AG50">
        <v>12</v>
      </c>
      <c r="AH50">
        <v>1</v>
      </c>
      <c r="AI50">
        <v>1</v>
      </c>
      <c r="AJ50">
        <v>0</v>
      </c>
      <c r="AK50">
        <v>2</v>
      </c>
      <c r="AL50" t="s">
        <v>358</v>
      </c>
      <c r="AM50" t="s">
        <v>359</v>
      </c>
      <c r="AN50" t="s">
        <v>360</v>
      </c>
      <c r="AO50" t="s">
        <v>976</v>
      </c>
      <c r="AP50" t="s">
        <v>361</v>
      </c>
      <c r="AQ50" t="s">
        <v>74</v>
      </c>
      <c r="AR50" t="s">
        <v>362</v>
      </c>
      <c r="AS50" t="s">
        <v>74</v>
      </c>
      <c r="AT50" t="s">
        <v>74</v>
      </c>
      <c r="AU50">
        <v>2016</v>
      </c>
      <c r="AV50">
        <v>41</v>
      </c>
      <c r="AW50" t="s">
        <v>977</v>
      </c>
      <c r="AX50" t="s">
        <v>74</v>
      </c>
      <c r="AY50" t="s">
        <v>74</v>
      </c>
      <c r="AZ50" t="s">
        <v>74</v>
      </c>
      <c r="BA50" t="s">
        <v>74</v>
      </c>
      <c r="BB50">
        <v>459</v>
      </c>
      <c r="BC50">
        <v>462</v>
      </c>
      <c r="BD50" t="s">
        <v>74</v>
      </c>
      <c r="BE50" t="s">
        <v>978</v>
      </c>
      <c r="BF50" t="str">
        <f>HYPERLINK("http://dx.doi.org/10.5194/isprsarchives-XLI-B8-459-2016","http://dx.doi.org/10.5194/isprsarchives-XLI-B8-459-2016")</f>
        <v>http://dx.doi.org/10.5194/isprsarchives-XLI-B8-459-2016</v>
      </c>
      <c r="BG50" t="s">
        <v>74</v>
      </c>
      <c r="BH50" t="s">
        <v>74</v>
      </c>
      <c r="BI50">
        <v>4</v>
      </c>
      <c r="BJ50" t="s">
        <v>979</v>
      </c>
      <c r="BK50" t="s">
        <v>293</v>
      </c>
      <c r="BL50" t="s">
        <v>980</v>
      </c>
      <c r="BM50" t="s">
        <v>981</v>
      </c>
      <c r="BN50" t="s">
        <v>74</v>
      </c>
      <c r="BO50" t="s">
        <v>99</v>
      </c>
      <c r="BP50" t="s">
        <v>74</v>
      </c>
      <c r="BQ50" t="s">
        <v>74</v>
      </c>
      <c r="BR50" t="s">
        <v>100</v>
      </c>
      <c r="BS50" t="s">
        <v>982</v>
      </c>
      <c r="BT50" t="str">
        <f>HYPERLINK("https%3A%2F%2Fwww.webofscience.com%2Fwos%2Fwoscc%2Ffull-record%2FWOS:000393156000079","View Full Record in Web of Science")</f>
        <v>View Full Record in Web of Science</v>
      </c>
    </row>
    <row r="51" spans="1:72" x14ac:dyDescent="0.15">
      <c r="A51" t="s">
        <v>267</v>
      </c>
      <c r="B51" t="s">
        <v>983</v>
      </c>
      <c r="C51" t="s">
        <v>74</v>
      </c>
      <c r="D51" t="s">
        <v>957</v>
      </c>
      <c r="E51" t="s">
        <v>74</v>
      </c>
      <c r="F51" t="s">
        <v>984</v>
      </c>
      <c r="G51" t="s">
        <v>74</v>
      </c>
      <c r="H51" t="s">
        <v>74</v>
      </c>
      <c r="I51" t="s">
        <v>985</v>
      </c>
      <c r="J51" t="s">
        <v>960</v>
      </c>
      <c r="K51" t="s">
        <v>961</v>
      </c>
      <c r="L51" t="s">
        <v>74</v>
      </c>
      <c r="M51" t="s">
        <v>200</v>
      </c>
      <c r="N51" t="s">
        <v>273</v>
      </c>
      <c r="O51" t="s">
        <v>962</v>
      </c>
      <c r="P51" t="s">
        <v>963</v>
      </c>
      <c r="Q51" t="s">
        <v>964</v>
      </c>
      <c r="R51" t="s">
        <v>74</v>
      </c>
      <c r="S51" t="s">
        <v>74</v>
      </c>
      <c r="T51" t="s">
        <v>986</v>
      </c>
      <c r="U51" t="s">
        <v>987</v>
      </c>
      <c r="V51" t="s">
        <v>988</v>
      </c>
      <c r="W51" t="s">
        <v>989</v>
      </c>
      <c r="X51" t="s">
        <v>990</v>
      </c>
      <c r="Y51" t="s">
        <v>991</v>
      </c>
      <c r="Z51" t="s">
        <v>992</v>
      </c>
      <c r="AA51" t="s">
        <v>74</v>
      </c>
      <c r="AB51" t="s">
        <v>74</v>
      </c>
      <c r="AC51" t="s">
        <v>993</v>
      </c>
      <c r="AD51" t="s">
        <v>993</v>
      </c>
      <c r="AE51" t="s">
        <v>994</v>
      </c>
      <c r="AF51" t="s">
        <v>74</v>
      </c>
      <c r="AG51">
        <v>37</v>
      </c>
      <c r="AH51">
        <v>1</v>
      </c>
      <c r="AI51">
        <v>2</v>
      </c>
      <c r="AJ51">
        <v>2</v>
      </c>
      <c r="AK51">
        <v>12</v>
      </c>
      <c r="AL51" t="s">
        <v>358</v>
      </c>
      <c r="AM51" t="s">
        <v>359</v>
      </c>
      <c r="AN51" t="s">
        <v>360</v>
      </c>
      <c r="AO51" t="s">
        <v>976</v>
      </c>
      <c r="AP51" t="s">
        <v>361</v>
      </c>
      <c r="AQ51" t="s">
        <v>74</v>
      </c>
      <c r="AR51" t="s">
        <v>362</v>
      </c>
      <c r="AS51" t="s">
        <v>74</v>
      </c>
      <c r="AT51" t="s">
        <v>74</v>
      </c>
      <c r="AU51">
        <v>2016</v>
      </c>
      <c r="AV51">
        <v>41</v>
      </c>
      <c r="AW51" t="s">
        <v>977</v>
      </c>
      <c r="AX51" t="s">
        <v>74</v>
      </c>
      <c r="AY51" t="s">
        <v>74</v>
      </c>
      <c r="AZ51" t="s">
        <v>74</v>
      </c>
      <c r="BA51" t="s">
        <v>74</v>
      </c>
      <c r="BB51">
        <v>469</v>
      </c>
      <c r="BC51">
        <v>479</v>
      </c>
      <c r="BD51" t="s">
        <v>74</v>
      </c>
      <c r="BE51" t="s">
        <v>995</v>
      </c>
      <c r="BF51" t="str">
        <f>HYPERLINK("http://dx.doi.org/10.5194/isprsarchives-XLI-B8-469-2016","http://dx.doi.org/10.5194/isprsarchives-XLI-B8-469-2016")</f>
        <v>http://dx.doi.org/10.5194/isprsarchives-XLI-B8-469-2016</v>
      </c>
      <c r="BG51" t="s">
        <v>74</v>
      </c>
      <c r="BH51" t="s">
        <v>74</v>
      </c>
      <c r="BI51">
        <v>11</v>
      </c>
      <c r="BJ51" t="s">
        <v>979</v>
      </c>
      <c r="BK51" t="s">
        <v>293</v>
      </c>
      <c r="BL51" t="s">
        <v>980</v>
      </c>
      <c r="BM51" t="s">
        <v>981</v>
      </c>
      <c r="BN51" t="s">
        <v>74</v>
      </c>
      <c r="BO51" t="s">
        <v>99</v>
      </c>
      <c r="BP51" t="s">
        <v>74</v>
      </c>
      <c r="BQ51" t="s">
        <v>74</v>
      </c>
      <c r="BR51" t="s">
        <v>100</v>
      </c>
      <c r="BS51" t="s">
        <v>996</v>
      </c>
      <c r="BT51" t="str">
        <f>HYPERLINK("https%3A%2F%2Fwww.webofscience.com%2Fwos%2Fwoscc%2Ffull-record%2FWOS:000393156000081","View Full Record in Web of Science")</f>
        <v>View Full Record in Web of Science</v>
      </c>
    </row>
    <row r="52" spans="1:72" x14ac:dyDescent="0.15">
      <c r="A52" t="s">
        <v>267</v>
      </c>
      <c r="B52" t="s">
        <v>997</v>
      </c>
      <c r="C52" t="s">
        <v>74</v>
      </c>
      <c r="D52" t="s">
        <v>957</v>
      </c>
      <c r="E52" t="s">
        <v>74</v>
      </c>
      <c r="F52" t="s">
        <v>998</v>
      </c>
      <c r="G52" t="s">
        <v>74</v>
      </c>
      <c r="H52" t="s">
        <v>74</v>
      </c>
      <c r="I52" t="s">
        <v>999</v>
      </c>
      <c r="J52" t="s">
        <v>960</v>
      </c>
      <c r="K52" t="s">
        <v>343</v>
      </c>
      <c r="L52" t="s">
        <v>74</v>
      </c>
      <c r="M52" t="s">
        <v>200</v>
      </c>
      <c r="N52" t="s">
        <v>273</v>
      </c>
      <c r="O52" t="s">
        <v>962</v>
      </c>
      <c r="P52" t="s">
        <v>963</v>
      </c>
      <c r="Q52" t="s">
        <v>964</v>
      </c>
      <c r="R52" t="s">
        <v>74</v>
      </c>
      <c r="S52" t="s">
        <v>74</v>
      </c>
      <c r="T52" t="s">
        <v>1000</v>
      </c>
      <c r="U52" t="s">
        <v>1001</v>
      </c>
      <c r="V52" t="s">
        <v>1002</v>
      </c>
      <c r="W52" t="s">
        <v>1003</v>
      </c>
      <c r="X52" t="s">
        <v>1004</v>
      </c>
      <c r="Y52" t="s">
        <v>1005</v>
      </c>
      <c r="Z52" t="s">
        <v>1006</v>
      </c>
      <c r="AA52" t="s">
        <v>1007</v>
      </c>
      <c r="AB52" t="s">
        <v>74</v>
      </c>
      <c r="AC52" t="s">
        <v>74</v>
      </c>
      <c r="AD52" t="s">
        <v>74</v>
      </c>
      <c r="AE52" t="s">
        <v>74</v>
      </c>
      <c r="AF52" t="s">
        <v>74</v>
      </c>
      <c r="AG52">
        <v>14</v>
      </c>
      <c r="AH52">
        <v>5</v>
      </c>
      <c r="AI52">
        <v>9</v>
      </c>
      <c r="AJ52">
        <v>0</v>
      </c>
      <c r="AK52">
        <v>12</v>
      </c>
      <c r="AL52" t="s">
        <v>358</v>
      </c>
      <c r="AM52" t="s">
        <v>359</v>
      </c>
      <c r="AN52" t="s">
        <v>360</v>
      </c>
      <c r="AO52" t="s">
        <v>361</v>
      </c>
      <c r="AP52" t="s">
        <v>74</v>
      </c>
      <c r="AQ52" t="s">
        <v>74</v>
      </c>
      <c r="AR52" t="s">
        <v>362</v>
      </c>
      <c r="AS52" t="s">
        <v>74</v>
      </c>
      <c r="AT52" t="s">
        <v>74</v>
      </c>
      <c r="AU52">
        <v>2016</v>
      </c>
      <c r="AV52">
        <v>41</v>
      </c>
      <c r="AW52" t="s">
        <v>977</v>
      </c>
      <c r="AX52" t="s">
        <v>74</v>
      </c>
      <c r="AY52" t="s">
        <v>74</v>
      </c>
      <c r="AZ52" t="s">
        <v>74</v>
      </c>
      <c r="BA52" t="s">
        <v>74</v>
      </c>
      <c r="BB52">
        <v>481</v>
      </c>
      <c r="BC52">
        <v>487</v>
      </c>
      <c r="BD52" t="s">
        <v>74</v>
      </c>
      <c r="BE52" t="s">
        <v>1008</v>
      </c>
      <c r="BF52" t="str">
        <f>HYPERLINK("http://dx.doi.org/10.5194/isprsarchives-XLI-B8-481-2016","http://dx.doi.org/10.5194/isprsarchives-XLI-B8-481-2016")</f>
        <v>http://dx.doi.org/10.5194/isprsarchives-XLI-B8-481-2016</v>
      </c>
      <c r="BG52" t="s">
        <v>74</v>
      </c>
      <c r="BH52" t="s">
        <v>74</v>
      </c>
      <c r="BI52">
        <v>7</v>
      </c>
      <c r="BJ52" t="s">
        <v>979</v>
      </c>
      <c r="BK52" t="s">
        <v>293</v>
      </c>
      <c r="BL52" t="s">
        <v>980</v>
      </c>
      <c r="BM52" t="s">
        <v>981</v>
      </c>
      <c r="BN52" t="s">
        <v>74</v>
      </c>
      <c r="BO52" t="s">
        <v>99</v>
      </c>
      <c r="BP52" t="s">
        <v>74</v>
      </c>
      <c r="BQ52" t="s">
        <v>74</v>
      </c>
      <c r="BR52" t="s">
        <v>100</v>
      </c>
      <c r="BS52" t="s">
        <v>1009</v>
      </c>
      <c r="BT52" t="str">
        <f>HYPERLINK("https%3A%2F%2Fwww.webofscience.com%2Fwos%2Fwoscc%2Ffull-record%2FWOS:000393156000082","View Full Record in Web of Science")</f>
        <v>View Full Record in Web of Science</v>
      </c>
    </row>
    <row r="53" spans="1:72" x14ac:dyDescent="0.15">
      <c r="A53" t="s">
        <v>267</v>
      </c>
      <c r="B53" t="s">
        <v>1010</v>
      </c>
      <c r="C53" t="s">
        <v>74</v>
      </c>
      <c r="D53" t="s">
        <v>957</v>
      </c>
      <c r="E53" t="s">
        <v>74</v>
      </c>
      <c r="F53" t="s">
        <v>1011</v>
      </c>
      <c r="G53" t="s">
        <v>74</v>
      </c>
      <c r="H53" t="s">
        <v>74</v>
      </c>
      <c r="I53" t="s">
        <v>1012</v>
      </c>
      <c r="J53" t="s">
        <v>960</v>
      </c>
      <c r="K53" t="s">
        <v>343</v>
      </c>
      <c r="L53" t="s">
        <v>74</v>
      </c>
      <c r="M53" t="s">
        <v>200</v>
      </c>
      <c r="N53" t="s">
        <v>273</v>
      </c>
      <c r="O53" t="s">
        <v>962</v>
      </c>
      <c r="P53" t="s">
        <v>963</v>
      </c>
      <c r="Q53" t="s">
        <v>964</v>
      </c>
      <c r="R53" t="s">
        <v>74</v>
      </c>
      <c r="S53" t="s">
        <v>74</v>
      </c>
      <c r="T53" t="s">
        <v>1013</v>
      </c>
      <c r="U53" t="s">
        <v>1014</v>
      </c>
      <c r="V53" t="s">
        <v>1015</v>
      </c>
      <c r="W53" t="s">
        <v>1016</v>
      </c>
      <c r="X53" t="s">
        <v>858</v>
      </c>
      <c r="Y53" t="s">
        <v>1017</v>
      </c>
      <c r="Z53" t="s">
        <v>1018</v>
      </c>
      <c r="AA53" t="s">
        <v>1019</v>
      </c>
      <c r="AB53" t="s">
        <v>1020</v>
      </c>
      <c r="AC53" t="s">
        <v>1021</v>
      </c>
      <c r="AD53" t="s">
        <v>1022</v>
      </c>
      <c r="AE53" t="s">
        <v>1023</v>
      </c>
      <c r="AF53" t="s">
        <v>74</v>
      </c>
      <c r="AG53">
        <v>21</v>
      </c>
      <c r="AH53">
        <v>0</v>
      </c>
      <c r="AI53">
        <v>0</v>
      </c>
      <c r="AJ53">
        <v>0</v>
      </c>
      <c r="AK53">
        <v>4</v>
      </c>
      <c r="AL53" t="s">
        <v>358</v>
      </c>
      <c r="AM53" t="s">
        <v>359</v>
      </c>
      <c r="AN53" t="s">
        <v>360</v>
      </c>
      <c r="AO53" t="s">
        <v>361</v>
      </c>
      <c r="AP53" t="s">
        <v>74</v>
      </c>
      <c r="AQ53" t="s">
        <v>74</v>
      </c>
      <c r="AR53" t="s">
        <v>362</v>
      </c>
      <c r="AS53" t="s">
        <v>74</v>
      </c>
      <c r="AT53" t="s">
        <v>74</v>
      </c>
      <c r="AU53">
        <v>2016</v>
      </c>
      <c r="AV53">
        <v>41</v>
      </c>
      <c r="AW53" t="s">
        <v>977</v>
      </c>
      <c r="AX53" t="s">
        <v>74</v>
      </c>
      <c r="AY53" t="s">
        <v>74</v>
      </c>
      <c r="AZ53" t="s">
        <v>74</v>
      </c>
      <c r="BA53" t="s">
        <v>74</v>
      </c>
      <c r="BB53">
        <v>521</v>
      </c>
      <c r="BC53">
        <v>524</v>
      </c>
      <c r="BD53" t="s">
        <v>74</v>
      </c>
      <c r="BE53" t="s">
        <v>1024</v>
      </c>
      <c r="BF53" t="str">
        <f>HYPERLINK("http://dx.doi.org/10.5194/isprsarchives-XLI-B8-521-2016","http://dx.doi.org/10.5194/isprsarchives-XLI-B8-521-2016")</f>
        <v>http://dx.doi.org/10.5194/isprsarchives-XLI-B8-521-2016</v>
      </c>
      <c r="BG53" t="s">
        <v>74</v>
      </c>
      <c r="BH53" t="s">
        <v>74</v>
      </c>
      <c r="BI53">
        <v>4</v>
      </c>
      <c r="BJ53" t="s">
        <v>979</v>
      </c>
      <c r="BK53" t="s">
        <v>293</v>
      </c>
      <c r="BL53" t="s">
        <v>980</v>
      </c>
      <c r="BM53" t="s">
        <v>981</v>
      </c>
      <c r="BN53" t="s">
        <v>74</v>
      </c>
      <c r="BO53" t="s">
        <v>99</v>
      </c>
      <c r="BP53" t="s">
        <v>74</v>
      </c>
      <c r="BQ53" t="s">
        <v>74</v>
      </c>
      <c r="BR53" t="s">
        <v>100</v>
      </c>
      <c r="BS53" t="s">
        <v>1025</v>
      </c>
      <c r="BT53" t="str">
        <f>HYPERLINK("https%3A%2F%2Fwww.webofscience.com%2Fwos%2Fwoscc%2Ffull-record%2FWOS:000393156000088","View Full Record in Web of Science")</f>
        <v>View Full Record in Web of Science</v>
      </c>
    </row>
    <row r="54" spans="1:72" x14ac:dyDescent="0.15">
      <c r="A54" t="s">
        <v>267</v>
      </c>
      <c r="B54" t="s">
        <v>1026</v>
      </c>
      <c r="C54" t="s">
        <v>74</v>
      </c>
      <c r="D54" t="s">
        <v>957</v>
      </c>
      <c r="E54" t="s">
        <v>74</v>
      </c>
      <c r="F54" t="s">
        <v>1027</v>
      </c>
      <c r="G54" t="s">
        <v>74</v>
      </c>
      <c r="H54" t="s">
        <v>74</v>
      </c>
      <c r="I54" t="s">
        <v>1028</v>
      </c>
      <c r="J54" t="s">
        <v>960</v>
      </c>
      <c r="K54" t="s">
        <v>343</v>
      </c>
      <c r="L54" t="s">
        <v>74</v>
      </c>
      <c r="M54" t="s">
        <v>200</v>
      </c>
      <c r="N54" t="s">
        <v>273</v>
      </c>
      <c r="O54" t="s">
        <v>962</v>
      </c>
      <c r="P54" t="s">
        <v>963</v>
      </c>
      <c r="Q54" t="s">
        <v>964</v>
      </c>
      <c r="R54" t="s">
        <v>74</v>
      </c>
      <c r="S54" t="s">
        <v>74</v>
      </c>
      <c r="T54" t="s">
        <v>1029</v>
      </c>
      <c r="U54" t="s">
        <v>74</v>
      </c>
      <c r="V54" t="s">
        <v>1030</v>
      </c>
      <c r="W54" t="s">
        <v>1031</v>
      </c>
      <c r="X54" t="s">
        <v>1032</v>
      </c>
      <c r="Y54" t="s">
        <v>1033</v>
      </c>
      <c r="Z54" t="s">
        <v>1034</v>
      </c>
      <c r="AA54" t="s">
        <v>74</v>
      </c>
      <c r="AB54" t="s">
        <v>74</v>
      </c>
      <c r="AC54" t="s">
        <v>74</v>
      </c>
      <c r="AD54" t="s">
        <v>74</v>
      </c>
      <c r="AE54" t="s">
        <v>74</v>
      </c>
      <c r="AF54" t="s">
        <v>74</v>
      </c>
      <c r="AG54">
        <v>11</v>
      </c>
      <c r="AH54">
        <v>1</v>
      </c>
      <c r="AI54">
        <v>1</v>
      </c>
      <c r="AJ54">
        <v>0</v>
      </c>
      <c r="AK54">
        <v>1</v>
      </c>
      <c r="AL54" t="s">
        <v>358</v>
      </c>
      <c r="AM54" t="s">
        <v>359</v>
      </c>
      <c r="AN54" t="s">
        <v>360</v>
      </c>
      <c r="AO54" t="s">
        <v>361</v>
      </c>
      <c r="AP54" t="s">
        <v>74</v>
      </c>
      <c r="AQ54" t="s">
        <v>74</v>
      </c>
      <c r="AR54" t="s">
        <v>362</v>
      </c>
      <c r="AS54" t="s">
        <v>74</v>
      </c>
      <c r="AT54" t="s">
        <v>74</v>
      </c>
      <c r="AU54">
        <v>2016</v>
      </c>
      <c r="AV54">
        <v>41</v>
      </c>
      <c r="AW54" t="s">
        <v>977</v>
      </c>
      <c r="AX54" t="s">
        <v>74</v>
      </c>
      <c r="AY54" t="s">
        <v>74</v>
      </c>
      <c r="AZ54" t="s">
        <v>74</v>
      </c>
      <c r="BA54" t="s">
        <v>74</v>
      </c>
      <c r="BB54">
        <v>545</v>
      </c>
      <c r="BC54">
        <v>547</v>
      </c>
      <c r="BD54" t="s">
        <v>74</v>
      </c>
      <c r="BE54" t="s">
        <v>1035</v>
      </c>
      <c r="BF54" t="str">
        <f>HYPERLINK("http://dx.doi.org/10.5194/isprsarchives-XLI-B8-545-2016","http://dx.doi.org/10.5194/isprsarchives-XLI-B8-545-2016")</f>
        <v>http://dx.doi.org/10.5194/isprsarchives-XLI-B8-545-2016</v>
      </c>
      <c r="BG54" t="s">
        <v>74</v>
      </c>
      <c r="BH54" t="s">
        <v>74</v>
      </c>
      <c r="BI54">
        <v>3</v>
      </c>
      <c r="BJ54" t="s">
        <v>979</v>
      </c>
      <c r="BK54" t="s">
        <v>293</v>
      </c>
      <c r="BL54" t="s">
        <v>980</v>
      </c>
      <c r="BM54" t="s">
        <v>981</v>
      </c>
      <c r="BN54" t="s">
        <v>74</v>
      </c>
      <c r="BO54" t="s">
        <v>99</v>
      </c>
      <c r="BP54" t="s">
        <v>74</v>
      </c>
      <c r="BQ54" t="s">
        <v>74</v>
      </c>
      <c r="BR54" t="s">
        <v>100</v>
      </c>
      <c r="BS54" t="s">
        <v>1036</v>
      </c>
      <c r="BT54" t="str">
        <f>HYPERLINK("https%3A%2F%2Fwww.webofscience.com%2Fwos%2Fwoscc%2Ffull-record%2FWOS:000393156000092","View Full Record in Web of Science")</f>
        <v>View Full Record in Web of Science</v>
      </c>
    </row>
    <row r="55" spans="1:72" x14ac:dyDescent="0.15">
      <c r="A55" t="s">
        <v>267</v>
      </c>
      <c r="B55" t="s">
        <v>1037</v>
      </c>
      <c r="C55" t="s">
        <v>74</v>
      </c>
      <c r="D55" t="s">
        <v>957</v>
      </c>
      <c r="E55" t="s">
        <v>74</v>
      </c>
      <c r="F55" t="s">
        <v>1038</v>
      </c>
      <c r="G55" t="s">
        <v>74</v>
      </c>
      <c r="H55" t="s">
        <v>74</v>
      </c>
      <c r="I55" t="s">
        <v>1039</v>
      </c>
      <c r="J55" t="s">
        <v>960</v>
      </c>
      <c r="K55" t="s">
        <v>343</v>
      </c>
      <c r="L55" t="s">
        <v>74</v>
      </c>
      <c r="M55" t="s">
        <v>200</v>
      </c>
      <c r="N55" t="s">
        <v>273</v>
      </c>
      <c r="O55" t="s">
        <v>962</v>
      </c>
      <c r="P55" t="s">
        <v>963</v>
      </c>
      <c r="Q55" t="s">
        <v>964</v>
      </c>
      <c r="R55" t="s">
        <v>74</v>
      </c>
      <c r="S55" t="s">
        <v>74</v>
      </c>
      <c r="T55" t="s">
        <v>1040</v>
      </c>
      <c r="U55" t="s">
        <v>1041</v>
      </c>
      <c r="V55" t="s">
        <v>1042</v>
      </c>
      <c r="W55" t="s">
        <v>1043</v>
      </c>
      <c r="X55" t="s">
        <v>858</v>
      </c>
      <c r="Y55" t="s">
        <v>1044</v>
      </c>
      <c r="Z55" t="s">
        <v>1045</v>
      </c>
      <c r="AA55" t="s">
        <v>860</v>
      </c>
      <c r="AB55" t="s">
        <v>74</v>
      </c>
      <c r="AC55" t="s">
        <v>1021</v>
      </c>
      <c r="AD55" t="s">
        <v>1022</v>
      </c>
      <c r="AE55" t="s">
        <v>1023</v>
      </c>
      <c r="AF55" t="s">
        <v>74</v>
      </c>
      <c r="AG55">
        <v>32</v>
      </c>
      <c r="AH55">
        <v>1</v>
      </c>
      <c r="AI55">
        <v>1</v>
      </c>
      <c r="AJ55">
        <v>0</v>
      </c>
      <c r="AK55">
        <v>8</v>
      </c>
      <c r="AL55" t="s">
        <v>358</v>
      </c>
      <c r="AM55" t="s">
        <v>359</v>
      </c>
      <c r="AN55" t="s">
        <v>360</v>
      </c>
      <c r="AO55" t="s">
        <v>361</v>
      </c>
      <c r="AP55" t="s">
        <v>74</v>
      </c>
      <c r="AQ55" t="s">
        <v>74</v>
      </c>
      <c r="AR55" t="s">
        <v>362</v>
      </c>
      <c r="AS55" t="s">
        <v>74</v>
      </c>
      <c r="AT55" t="s">
        <v>74</v>
      </c>
      <c r="AU55">
        <v>2016</v>
      </c>
      <c r="AV55">
        <v>41</v>
      </c>
      <c r="AW55" t="s">
        <v>977</v>
      </c>
      <c r="AX55" t="s">
        <v>74</v>
      </c>
      <c r="AY55" t="s">
        <v>74</v>
      </c>
      <c r="AZ55" t="s">
        <v>74</v>
      </c>
      <c r="BA55" t="s">
        <v>74</v>
      </c>
      <c r="BB55">
        <v>549</v>
      </c>
      <c r="BC55">
        <v>553</v>
      </c>
      <c r="BD55" t="s">
        <v>74</v>
      </c>
      <c r="BE55" t="s">
        <v>1046</v>
      </c>
      <c r="BF55" t="str">
        <f>HYPERLINK("http://dx.doi.org/10.5194/isprsarchives-XLI-B8-549-2016","http://dx.doi.org/10.5194/isprsarchives-XLI-B8-549-2016")</f>
        <v>http://dx.doi.org/10.5194/isprsarchives-XLI-B8-549-2016</v>
      </c>
      <c r="BG55" t="s">
        <v>74</v>
      </c>
      <c r="BH55" t="s">
        <v>74</v>
      </c>
      <c r="BI55">
        <v>5</v>
      </c>
      <c r="BJ55" t="s">
        <v>979</v>
      </c>
      <c r="BK55" t="s">
        <v>293</v>
      </c>
      <c r="BL55" t="s">
        <v>980</v>
      </c>
      <c r="BM55" t="s">
        <v>981</v>
      </c>
      <c r="BN55" t="s">
        <v>74</v>
      </c>
      <c r="BO55" t="s">
        <v>99</v>
      </c>
      <c r="BP55" t="s">
        <v>74</v>
      </c>
      <c r="BQ55" t="s">
        <v>74</v>
      </c>
      <c r="BR55" t="s">
        <v>100</v>
      </c>
      <c r="BS55" t="s">
        <v>1047</v>
      </c>
      <c r="BT55" t="str">
        <f>HYPERLINK("https%3A%2F%2Fwww.webofscience.com%2Fwos%2Fwoscc%2Ffull-record%2FWOS:000393156000093","View Full Record in Web of Science")</f>
        <v>View Full Record in Web of Science</v>
      </c>
    </row>
    <row r="56" spans="1:72" x14ac:dyDescent="0.15">
      <c r="A56" t="s">
        <v>267</v>
      </c>
      <c r="B56" t="s">
        <v>1048</v>
      </c>
      <c r="C56" t="s">
        <v>74</v>
      </c>
      <c r="D56" t="s">
        <v>1049</v>
      </c>
      <c r="E56" t="s">
        <v>74</v>
      </c>
      <c r="F56" t="s">
        <v>1050</v>
      </c>
      <c r="G56" t="s">
        <v>74</v>
      </c>
      <c r="H56" t="s">
        <v>74</v>
      </c>
      <c r="I56" t="s">
        <v>1051</v>
      </c>
      <c r="J56" t="s">
        <v>1052</v>
      </c>
      <c r="K56" t="s">
        <v>1053</v>
      </c>
      <c r="L56" t="s">
        <v>74</v>
      </c>
      <c r="M56" t="s">
        <v>200</v>
      </c>
      <c r="N56" t="s">
        <v>273</v>
      </c>
      <c r="O56" t="s">
        <v>1054</v>
      </c>
      <c r="P56" t="s">
        <v>1055</v>
      </c>
      <c r="Q56" t="s">
        <v>1056</v>
      </c>
      <c r="R56" t="s">
        <v>74</v>
      </c>
      <c r="S56" t="s">
        <v>74</v>
      </c>
      <c r="T56" t="s">
        <v>1057</v>
      </c>
      <c r="U56" t="s">
        <v>74</v>
      </c>
      <c r="V56" t="s">
        <v>1058</v>
      </c>
      <c r="W56" t="s">
        <v>1059</v>
      </c>
      <c r="X56" t="s">
        <v>1060</v>
      </c>
      <c r="Y56" t="s">
        <v>1061</v>
      </c>
      <c r="Z56" t="s">
        <v>74</v>
      </c>
      <c r="AA56" t="s">
        <v>1062</v>
      </c>
      <c r="AB56" t="s">
        <v>1063</v>
      </c>
      <c r="AC56" t="s">
        <v>1064</v>
      </c>
      <c r="AD56" t="s">
        <v>1065</v>
      </c>
      <c r="AE56" t="s">
        <v>1066</v>
      </c>
      <c r="AF56" t="s">
        <v>74</v>
      </c>
      <c r="AG56">
        <v>12</v>
      </c>
      <c r="AH56">
        <v>0</v>
      </c>
      <c r="AI56">
        <v>0</v>
      </c>
      <c r="AJ56">
        <v>1</v>
      </c>
      <c r="AK56">
        <v>4</v>
      </c>
      <c r="AL56" t="s">
        <v>1067</v>
      </c>
      <c r="AM56" t="s">
        <v>1068</v>
      </c>
      <c r="AN56" t="s">
        <v>1069</v>
      </c>
      <c r="AO56" t="s">
        <v>1070</v>
      </c>
      <c r="AP56" t="s">
        <v>74</v>
      </c>
      <c r="AQ56" t="s">
        <v>1071</v>
      </c>
      <c r="AR56" t="s">
        <v>1072</v>
      </c>
      <c r="AS56" t="s">
        <v>74</v>
      </c>
      <c r="AT56" t="s">
        <v>74</v>
      </c>
      <c r="AU56">
        <v>2016</v>
      </c>
      <c r="AV56">
        <v>10035</v>
      </c>
      <c r="AW56" t="s">
        <v>74</v>
      </c>
      <c r="AX56" t="s">
        <v>74</v>
      </c>
      <c r="AY56" t="s">
        <v>74</v>
      </c>
      <c r="AZ56" t="s">
        <v>74</v>
      </c>
      <c r="BA56" t="s">
        <v>74</v>
      </c>
      <c r="BB56" t="s">
        <v>74</v>
      </c>
      <c r="BC56" t="s">
        <v>74</v>
      </c>
      <c r="BD56">
        <v>1003534</v>
      </c>
      <c r="BE56" t="s">
        <v>1073</v>
      </c>
      <c r="BF56" t="str">
        <f>HYPERLINK("http://dx.doi.org/10.1117/12.2248456","http://dx.doi.org/10.1117/12.2248456")</f>
        <v>http://dx.doi.org/10.1117/12.2248456</v>
      </c>
      <c r="BG56" t="s">
        <v>74</v>
      </c>
      <c r="BH56" t="s">
        <v>74</v>
      </c>
      <c r="BI56">
        <v>6</v>
      </c>
      <c r="BJ56" t="s">
        <v>1074</v>
      </c>
      <c r="BK56" t="s">
        <v>293</v>
      </c>
      <c r="BL56" t="s">
        <v>1074</v>
      </c>
      <c r="BM56" t="s">
        <v>1075</v>
      </c>
      <c r="BN56" t="s">
        <v>74</v>
      </c>
      <c r="BO56" t="s">
        <v>74</v>
      </c>
      <c r="BP56" t="s">
        <v>74</v>
      </c>
      <c r="BQ56" t="s">
        <v>74</v>
      </c>
      <c r="BR56" t="s">
        <v>100</v>
      </c>
      <c r="BS56" t="s">
        <v>1076</v>
      </c>
      <c r="BT56" t="str">
        <f>HYPERLINK("https%3A%2F%2Fwww.webofscience.com%2Fwos%2Fwoscc%2Ffull-record%2FWOS:000392623500112","View Full Record in Web of Science")</f>
        <v>View Full Record in Web of Science</v>
      </c>
    </row>
    <row r="57" spans="1:72" x14ac:dyDescent="0.15">
      <c r="A57" t="s">
        <v>267</v>
      </c>
      <c r="B57" t="s">
        <v>1077</v>
      </c>
      <c r="C57" t="s">
        <v>74</v>
      </c>
      <c r="D57" t="s">
        <v>1049</v>
      </c>
      <c r="E57" t="s">
        <v>74</v>
      </c>
      <c r="F57" t="s">
        <v>1078</v>
      </c>
      <c r="G57" t="s">
        <v>74</v>
      </c>
      <c r="H57" t="s">
        <v>74</v>
      </c>
      <c r="I57" t="s">
        <v>1079</v>
      </c>
      <c r="J57" t="s">
        <v>1052</v>
      </c>
      <c r="K57" t="s">
        <v>1053</v>
      </c>
      <c r="L57" t="s">
        <v>74</v>
      </c>
      <c r="M57" t="s">
        <v>200</v>
      </c>
      <c r="N57" t="s">
        <v>273</v>
      </c>
      <c r="O57" t="s">
        <v>1054</v>
      </c>
      <c r="P57" t="s">
        <v>1055</v>
      </c>
      <c r="Q57" t="s">
        <v>1056</v>
      </c>
      <c r="R57" t="s">
        <v>74</v>
      </c>
      <c r="S57" t="s">
        <v>74</v>
      </c>
      <c r="T57" t="s">
        <v>1080</v>
      </c>
      <c r="U57" t="s">
        <v>74</v>
      </c>
      <c r="V57" t="s">
        <v>1081</v>
      </c>
      <c r="W57" t="s">
        <v>1082</v>
      </c>
      <c r="X57" t="s">
        <v>1083</v>
      </c>
      <c r="Y57" t="s">
        <v>1084</v>
      </c>
      <c r="Z57" t="s">
        <v>1085</v>
      </c>
      <c r="AA57" t="s">
        <v>1086</v>
      </c>
      <c r="AB57" t="s">
        <v>1087</v>
      </c>
      <c r="AC57" t="s">
        <v>1088</v>
      </c>
      <c r="AD57" t="s">
        <v>1089</v>
      </c>
      <c r="AE57" t="s">
        <v>1090</v>
      </c>
      <c r="AF57" t="s">
        <v>74</v>
      </c>
      <c r="AG57">
        <v>12</v>
      </c>
      <c r="AH57">
        <v>0</v>
      </c>
      <c r="AI57">
        <v>0</v>
      </c>
      <c r="AJ57">
        <v>0</v>
      </c>
      <c r="AK57">
        <v>3</v>
      </c>
      <c r="AL57" t="s">
        <v>1067</v>
      </c>
      <c r="AM57" t="s">
        <v>1068</v>
      </c>
      <c r="AN57" t="s">
        <v>1069</v>
      </c>
      <c r="AO57" t="s">
        <v>1070</v>
      </c>
      <c r="AP57" t="s">
        <v>74</v>
      </c>
      <c r="AQ57" t="s">
        <v>1071</v>
      </c>
      <c r="AR57" t="s">
        <v>1072</v>
      </c>
      <c r="AS57" t="s">
        <v>74</v>
      </c>
      <c r="AT57" t="s">
        <v>74</v>
      </c>
      <c r="AU57">
        <v>2016</v>
      </c>
      <c r="AV57">
        <v>10035</v>
      </c>
      <c r="AW57" t="s">
        <v>74</v>
      </c>
      <c r="AX57" t="s">
        <v>74</v>
      </c>
      <c r="AY57" t="s">
        <v>74</v>
      </c>
      <c r="AZ57" t="s">
        <v>74</v>
      </c>
      <c r="BA57" t="s">
        <v>74</v>
      </c>
      <c r="BB57" t="s">
        <v>74</v>
      </c>
      <c r="BC57" t="s">
        <v>74</v>
      </c>
      <c r="BD57" t="s">
        <v>1091</v>
      </c>
      <c r="BE57" t="s">
        <v>1092</v>
      </c>
      <c r="BF57" t="str">
        <f>HYPERLINK("http://dx.doi.org/10.1117/12.2248667","http://dx.doi.org/10.1117/12.2248667")</f>
        <v>http://dx.doi.org/10.1117/12.2248667</v>
      </c>
      <c r="BG57" t="s">
        <v>74</v>
      </c>
      <c r="BH57" t="s">
        <v>74</v>
      </c>
      <c r="BI57">
        <v>7</v>
      </c>
      <c r="BJ57" t="s">
        <v>1074</v>
      </c>
      <c r="BK57" t="s">
        <v>293</v>
      </c>
      <c r="BL57" t="s">
        <v>1074</v>
      </c>
      <c r="BM57" t="s">
        <v>1075</v>
      </c>
      <c r="BN57" t="s">
        <v>74</v>
      </c>
      <c r="BO57" t="s">
        <v>74</v>
      </c>
      <c r="BP57" t="s">
        <v>74</v>
      </c>
      <c r="BQ57" t="s">
        <v>74</v>
      </c>
      <c r="BR57" t="s">
        <v>100</v>
      </c>
      <c r="BS57" t="s">
        <v>1093</v>
      </c>
      <c r="BT57" t="str">
        <f>HYPERLINK("https%3A%2F%2Fwww.webofscience.com%2Fwos%2Fwoscc%2Ffull-record%2FWOS:000392623500124","View Full Record in Web of Science")</f>
        <v>View Full Record in Web of Science</v>
      </c>
    </row>
    <row r="58" spans="1:72" x14ac:dyDescent="0.15">
      <c r="A58" t="s">
        <v>267</v>
      </c>
      <c r="B58" t="s">
        <v>1094</v>
      </c>
      <c r="C58" t="s">
        <v>74</v>
      </c>
      <c r="D58" t="s">
        <v>1049</v>
      </c>
      <c r="E58" t="s">
        <v>74</v>
      </c>
      <c r="F58" t="s">
        <v>1095</v>
      </c>
      <c r="G58" t="s">
        <v>74</v>
      </c>
      <c r="H58" t="s">
        <v>74</v>
      </c>
      <c r="I58" t="s">
        <v>1096</v>
      </c>
      <c r="J58" t="s">
        <v>1052</v>
      </c>
      <c r="K58" t="s">
        <v>1053</v>
      </c>
      <c r="L58" t="s">
        <v>74</v>
      </c>
      <c r="M58" t="s">
        <v>200</v>
      </c>
      <c r="N58" t="s">
        <v>273</v>
      </c>
      <c r="O58" t="s">
        <v>1054</v>
      </c>
      <c r="P58" t="s">
        <v>1055</v>
      </c>
      <c r="Q58" t="s">
        <v>1056</v>
      </c>
      <c r="R58" t="s">
        <v>74</v>
      </c>
      <c r="S58" t="s">
        <v>74</v>
      </c>
      <c r="T58" t="s">
        <v>1097</v>
      </c>
      <c r="U58" t="s">
        <v>1098</v>
      </c>
      <c r="V58" t="s">
        <v>1099</v>
      </c>
      <c r="W58" t="s">
        <v>1100</v>
      </c>
      <c r="X58" t="s">
        <v>1101</v>
      </c>
      <c r="Y58" t="s">
        <v>1102</v>
      </c>
      <c r="Z58" t="s">
        <v>1085</v>
      </c>
      <c r="AA58" t="s">
        <v>1103</v>
      </c>
      <c r="AB58" t="s">
        <v>74</v>
      </c>
      <c r="AC58" t="s">
        <v>1104</v>
      </c>
      <c r="AD58" t="s">
        <v>1105</v>
      </c>
      <c r="AE58" t="s">
        <v>1106</v>
      </c>
      <c r="AF58" t="s">
        <v>74</v>
      </c>
      <c r="AG58">
        <v>17</v>
      </c>
      <c r="AH58">
        <v>2</v>
      </c>
      <c r="AI58">
        <v>3</v>
      </c>
      <c r="AJ58">
        <v>1</v>
      </c>
      <c r="AK58">
        <v>3</v>
      </c>
      <c r="AL58" t="s">
        <v>1067</v>
      </c>
      <c r="AM58" t="s">
        <v>1068</v>
      </c>
      <c r="AN58" t="s">
        <v>1069</v>
      </c>
      <c r="AO58" t="s">
        <v>1070</v>
      </c>
      <c r="AP58" t="s">
        <v>1107</v>
      </c>
      <c r="AQ58" t="s">
        <v>1071</v>
      </c>
      <c r="AR58" t="s">
        <v>1072</v>
      </c>
      <c r="AS58" t="s">
        <v>74</v>
      </c>
      <c r="AT58" t="s">
        <v>74</v>
      </c>
      <c r="AU58">
        <v>2016</v>
      </c>
      <c r="AV58">
        <v>10035</v>
      </c>
      <c r="AW58" t="s">
        <v>74</v>
      </c>
      <c r="AX58" t="s">
        <v>74</v>
      </c>
      <c r="AY58" t="s">
        <v>74</v>
      </c>
      <c r="AZ58" t="s">
        <v>74</v>
      </c>
      <c r="BA58" t="s">
        <v>74</v>
      </c>
      <c r="BB58" t="s">
        <v>74</v>
      </c>
      <c r="BC58" t="s">
        <v>74</v>
      </c>
      <c r="BD58" t="s">
        <v>1108</v>
      </c>
      <c r="BE58" t="s">
        <v>1109</v>
      </c>
      <c r="BF58" t="str">
        <f>HYPERLINK("http://dx.doi.org/10.1117/12.2248657","http://dx.doi.org/10.1117/12.2248657")</f>
        <v>http://dx.doi.org/10.1117/12.2248657</v>
      </c>
      <c r="BG58" t="s">
        <v>74</v>
      </c>
      <c r="BH58" t="s">
        <v>74</v>
      </c>
      <c r="BI58">
        <v>7</v>
      </c>
      <c r="BJ58" t="s">
        <v>1074</v>
      </c>
      <c r="BK58" t="s">
        <v>293</v>
      </c>
      <c r="BL58" t="s">
        <v>1074</v>
      </c>
      <c r="BM58" t="s">
        <v>1075</v>
      </c>
      <c r="BN58" t="s">
        <v>74</v>
      </c>
      <c r="BO58" t="s">
        <v>74</v>
      </c>
      <c r="BP58" t="s">
        <v>74</v>
      </c>
      <c r="BQ58" t="s">
        <v>74</v>
      </c>
      <c r="BR58" t="s">
        <v>100</v>
      </c>
      <c r="BS58" t="s">
        <v>1110</v>
      </c>
      <c r="BT58" t="str">
        <f>HYPERLINK("https%3A%2F%2Fwww.webofscience.com%2Fwos%2Fwoscc%2Ffull-record%2FWOS:000392623500121","View Full Record in Web of Science")</f>
        <v>View Full Record in Web of Science</v>
      </c>
    </row>
    <row r="59" spans="1:72" x14ac:dyDescent="0.15">
      <c r="A59" t="s">
        <v>267</v>
      </c>
      <c r="B59" t="s">
        <v>1111</v>
      </c>
      <c r="C59" t="s">
        <v>74</v>
      </c>
      <c r="D59" t="s">
        <v>1049</v>
      </c>
      <c r="E59" t="s">
        <v>74</v>
      </c>
      <c r="F59" t="s">
        <v>1112</v>
      </c>
      <c r="G59" t="s">
        <v>74</v>
      </c>
      <c r="H59" t="s">
        <v>74</v>
      </c>
      <c r="I59" t="s">
        <v>1113</v>
      </c>
      <c r="J59" t="s">
        <v>1052</v>
      </c>
      <c r="K59" t="s">
        <v>1053</v>
      </c>
      <c r="L59" t="s">
        <v>74</v>
      </c>
      <c r="M59" t="s">
        <v>200</v>
      </c>
      <c r="N59" t="s">
        <v>273</v>
      </c>
      <c r="O59" t="s">
        <v>1054</v>
      </c>
      <c r="P59" t="s">
        <v>1055</v>
      </c>
      <c r="Q59" t="s">
        <v>1056</v>
      </c>
      <c r="R59" t="s">
        <v>74</v>
      </c>
      <c r="S59" t="s">
        <v>74</v>
      </c>
      <c r="T59" t="s">
        <v>1114</v>
      </c>
      <c r="U59" t="s">
        <v>74</v>
      </c>
      <c r="V59" t="s">
        <v>1115</v>
      </c>
      <c r="W59" t="s">
        <v>1116</v>
      </c>
      <c r="X59" t="s">
        <v>1117</v>
      </c>
      <c r="Y59" t="s">
        <v>1118</v>
      </c>
      <c r="Z59" t="s">
        <v>1119</v>
      </c>
      <c r="AA59" t="s">
        <v>74</v>
      </c>
      <c r="AB59" t="s">
        <v>74</v>
      </c>
      <c r="AC59" t="s">
        <v>74</v>
      </c>
      <c r="AD59" t="s">
        <v>74</v>
      </c>
      <c r="AE59" t="s">
        <v>74</v>
      </c>
      <c r="AF59" t="s">
        <v>74</v>
      </c>
      <c r="AG59">
        <v>6</v>
      </c>
      <c r="AH59">
        <v>0</v>
      </c>
      <c r="AI59">
        <v>0</v>
      </c>
      <c r="AJ59">
        <v>0</v>
      </c>
      <c r="AK59">
        <v>0</v>
      </c>
      <c r="AL59" t="s">
        <v>1067</v>
      </c>
      <c r="AM59" t="s">
        <v>1068</v>
      </c>
      <c r="AN59" t="s">
        <v>1069</v>
      </c>
      <c r="AO59" t="s">
        <v>1070</v>
      </c>
      <c r="AP59" t="s">
        <v>74</v>
      </c>
      <c r="AQ59" t="s">
        <v>1071</v>
      </c>
      <c r="AR59" t="s">
        <v>1072</v>
      </c>
      <c r="AS59" t="s">
        <v>74</v>
      </c>
      <c r="AT59" t="s">
        <v>74</v>
      </c>
      <c r="AU59">
        <v>2016</v>
      </c>
      <c r="AV59">
        <v>10035</v>
      </c>
      <c r="AW59" t="s">
        <v>74</v>
      </c>
      <c r="AX59" t="s">
        <v>74</v>
      </c>
      <c r="AY59" t="s">
        <v>74</v>
      </c>
      <c r="AZ59" t="s">
        <v>74</v>
      </c>
      <c r="BA59" t="s">
        <v>74</v>
      </c>
      <c r="BB59" t="s">
        <v>74</v>
      </c>
      <c r="BC59" t="s">
        <v>74</v>
      </c>
      <c r="BD59" t="s">
        <v>74</v>
      </c>
      <c r="BE59" t="s">
        <v>1120</v>
      </c>
      <c r="BF59" t="str">
        <f>HYPERLINK("http://dx.doi.org/10.1117/12.2250889","http://dx.doi.org/10.1117/12.2250889")</f>
        <v>http://dx.doi.org/10.1117/12.2250889</v>
      </c>
      <c r="BG59" t="s">
        <v>74</v>
      </c>
      <c r="BH59" t="s">
        <v>74</v>
      </c>
      <c r="BI59">
        <v>5</v>
      </c>
      <c r="BJ59" t="s">
        <v>1074</v>
      </c>
      <c r="BK59" t="s">
        <v>293</v>
      </c>
      <c r="BL59" t="s">
        <v>1074</v>
      </c>
      <c r="BM59" t="s">
        <v>1075</v>
      </c>
      <c r="BN59" t="s">
        <v>74</v>
      </c>
      <c r="BO59" t="s">
        <v>74</v>
      </c>
      <c r="BP59" t="s">
        <v>74</v>
      </c>
      <c r="BQ59" t="s">
        <v>74</v>
      </c>
      <c r="BR59" t="s">
        <v>100</v>
      </c>
      <c r="BS59" t="s">
        <v>1121</v>
      </c>
      <c r="BT59" t="str">
        <f>HYPERLINK("https%3A%2F%2Fwww.webofscience.com%2Fwos%2Fwoscc%2Ffull-record%2FWOS:000392623500191","View Full Record in Web of Science")</f>
        <v>View Full Record in Web of Science</v>
      </c>
    </row>
    <row r="60" spans="1:72" x14ac:dyDescent="0.15">
      <c r="A60" t="s">
        <v>267</v>
      </c>
      <c r="B60" t="s">
        <v>1122</v>
      </c>
      <c r="C60" t="s">
        <v>74</v>
      </c>
      <c r="D60" t="s">
        <v>1123</v>
      </c>
      <c r="E60" t="s">
        <v>74</v>
      </c>
      <c r="F60" t="s">
        <v>1124</v>
      </c>
      <c r="G60" t="s">
        <v>74</v>
      </c>
      <c r="H60" t="s">
        <v>74</v>
      </c>
      <c r="I60" t="s">
        <v>1125</v>
      </c>
      <c r="J60" t="s">
        <v>1126</v>
      </c>
      <c r="K60" t="s">
        <v>1053</v>
      </c>
      <c r="L60" t="s">
        <v>74</v>
      </c>
      <c r="M60" t="s">
        <v>200</v>
      </c>
      <c r="N60" t="s">
        <v>273</v>
      </c>
      <c r="O60" t="s">
        <v>1127</v>
      </c>
      <c r="P60" t="s">
        <v>1128</v>
      </c>
      <c r="Q60" t="s">
        <v>1129</v>
      </c>
      <c r="R60" t="s">
        <v>74</v>
      </c>
      <c r="S60" t="s">
        <v>74</v>
      </c>
      <c r="T60" t="s">
        <v>1130</v>
      </c>
      <c r="U60" t="s">
        <v>1131</v>
      </c>
      <c r="V60" t="s">
        <v>1132</v>
      </c>
      <c r="W60" t="s">
        <v>1133</v>
      </c>
      <c r="X60" t="s">
        <v>1134</v>
      </c>
      <c r="Y60" t="s">
        <v>1135</v>
      </c>
      <c r="Z60" t="s">
        <v>74</v>
      </c>
      <c r="AA60" t="s">
        <v>1136</v>
      </c>
      <c r="AB60" t="s">
        <v>1137</v>
      </c>
      <c r="AC60" t="s">
        <v>74</v>
      </c>
      <c r="AD60" t="s">
        <v>74</v>
      </c>
      <c r="AE60" t="s">
        <v>74</v>
      </c>
      <c r="AF60" t="s">
        <v>74</v>
      </c>
      <c r="AG60">
        <v>35</v>
      </c>
      <c r="AH60">
        <v>0</v>
      </c>
      <c r="AI60">
        <v>0</v>
      </c>
      <c r="AJ60">
        <v>0</v>
      </c>
      <c r="AK60">
        <v>9</v>
      </c>
      <c r="AL60" t="s">
        <v>1067</v>
      </c>
      <c r="AM60" t="s">
        <v>1068</v>
      </c>
      <c r="AN60" t="s">
        <v>1069</v>
      </c>
      <c r="AO60" t="s">
        <v>1070</v>
      </c>
      <c r="AP60" t="s">
        <v>1107</v>
      </c>
      <c r="AQ60" t="s">
        <v>1138</v>
      </c>
      <c r="AR60" t="s">
        <v>1072</v>
      </c>
      <c r="AS60" t="s">
        <v>74</v>
      </c>
      <c r="AT60" t="s">
        <v>74</v>
      </c>
      <c r="AU60">
        <v>2016</v>
      </c>
      <c r="AV60">
        <v>10003</v>
      </c>
      <c r="AW60" t="s">
        <v>74</v>
      </c>
      <c r="AX60" t="s">
        <v>74</v>
      </c>
      <c r="AY60" t="s">
        <v>74</v>
      </c>
      <c r="AZ60" t="s">
        <v>74</v>
      </c>
      <c r="BA60" t="s">
        <v>74</v>
      </c>
      <c r="BB60" t="s">
        <v>74</v>
      </c>
      <c r="BC60" t="s">
        <v>74</v>
      </c>
      <c r="BD60" t="s">
        <v>1139</v>
      </c>
      <c r="BE60" t="s">
        <v>1140</v>
      </c>
      <c r="BF60" t="str">
        <f>HYPERLINK("http://dx.doi.org/10.1117/12.2241617","http://dx.doi.org/10.1117/12.2241617")</f>
        <v>http://dx.doi.org/10.1117/12.2241617</v>
      </c>
      <c r="BG60" t="s">
        <v>74</v>
      </c>
      <c r="BH60" t="s">
        <v>74</v>
      </c>
      <c r="BI60">
        <v>7</v>
      </c>
      <c r="BJ60" t="s">
        <v>1141</v>
      </c>
      <c r="BK60" t="s">
        <v>293</v>
      </c>
      <c r="BL60" t="s">
        <v>1142</v>
      </c>
      <c r="BM60" t="s">
        <v>1143</v>
      </c>
      <c r="BN60" t="s">
        <v>74</v>
      </c>
      <c r="BO60" t="s">
        <v>431</v>
      </c>
      <c r="BP60" t="s">
        <v>74</v>
      </c>
      <c r="BQ60" t="s">
        <v>74</v>
      </c>
      <c r="BR60" t="s">
        <v>100</v>
      </c>
      <c r="BS60" t="s">
        <v>1144</v>
      </c>
      <c r="BT60" t="str">
        <f>HYPERLINK("https%3A%2F%2Fwww.webofscience.com%2Fwos%2Fwoscc%2Ffull-record%2FWOS:000391442000007","View Full Record in Web of Science")</f>
        <v>View Full Record in Web of Science</v>
      </c>
    </row>
    <row r="61" spans="1:72" x14ac:dyDescent="0.15">
      <c r="A61" t="s">
        <v>72</v>
      </c>
      <c r="B61" t="s">
        <v>1145</v>
      </c>
      <c r="C61" t="s">
        <v>74</v>
      </c>
      <c r="D61" t="s">
        <v>74</v>
      </c>
      <c r="E61" t="s">
        <v>74</v>
      </c>
      <c r="F61" t="s">
        <v>1146</v>
      </c>
      <c r="G61" t="s">
        <v>74</v>
      </c>
      <c r="H61" t="s">
        <v>74</v>
      </c>
      <c r="I61" t="s">
        <v>1147</v>
      </c>
      <c r="J61" t="s">
        <v>1148</v>
      </c>
      <c r="K61" t="s">
        <v>74</v>
      </c>
      <c r="L61" t="s">
        <v>74</v>
      </c>
      <c r="M61" t="s">
        <v>200</v>
      </c>
      <c r="N61" t="s">
        <v>79</v>
      </c>
      <c r="O61" t="s">
        <v>74</v>
      </c>
      <c r="P61" t="s">
        <v>74</v>
      </c>
      <c r="Q61" t="s">
        <v>74</v>
      </c>
      <c r="R61" t="s">
        <v>74</v>
      </c>
      <c r="S61" t="s">
        <v>74</v>
      </c>
      <c r="T61" t="s">
        <v>1149</v>
      </c>
      <c r="U61" t="s">
        <v>1150</v>
      </c>
      <c r="V61" t="s">
        <v>1151</v>
      </c>
      <c r="W61" t="s">
        <v>1152</v>
      </c>
      <c r="X61" t="s">
        <v>1153</v>
      </c>
      <c r="Y61" t="s">
        <v>1154</v>
      </c>
      <c r="Z61" t="s">
        <v>1155</v>
      </c>
      <c r="AA61" t="s">
        <v>1156</v>
      </c>
      <c r="AB61" t="s">
        <v>1157</v>
      </c>
      <c r="AC61" t="s">
        <v>1158</v>
      </c>
      <c r="AD61" t="s">
        <v>1159</v>
      </c>
      <c r="AE61" t="s">
        <v>1160</v>
      </c>
      <c r="AF61" t="s">
        <v>74</v>
      </c>
      <c r="AG61">
        <v>19</v>
      </c>
      <c r="AH61">
        <v>5</v>
      </c>
      <c r="AI61">
        <v>5</v>
      </c>
      <c r="AJ61">
        <v>1</v>
      </c>
      <c r="AK61">
        <v>5</v>
      </c>
      <c r="AL61" t="s">
        <v>1161</v>
      </c>
      <c r="AM61" t="s">
        <v>1162</v>
      </c>
      <c r="AN61" t="s">
        <v>1163</v>
      </c>
      <c r="AO61" t="s">
        <v>1164</v>
      </c>
      <c r="AP61" t="s">
        <v>74</v>
      </c>
      <c r="AQ61" t="s">
        <v>74</v>
      </c>
      <c r="AR61" t="s">
        <v>1165</v>
      </c>
      <c r="AS61" t="s">
        <v>1166</v>
      </c>
      <c r="AT61" t="s">
        <v>74</v>
      </c>
      <c r="AU61">
        <v>2016</v>
      </c>
      <c r="AV61">
        <v>6</v>
      </c>
      <c r="AW61">
        <v>1</v>
      </c>
      <c r="AX61" t="s">
        <v>74</v>
      </c>
      <c r="AY61" t="s">
        <v>74</v>
      </c>
      <c r="AZ61" t="s">
        <v>74</v>
      </c>
      <c r="BA61" t="s">
        <v>74</v>
      </c>
      <c r="BB61">
        <v>45</v>
      </c>
      <c r="BC61">
        <v>49</v>
      </c>
      <c r="BD61" t="s">
        <v>74</v>
      </c>
      <c r="BE61" t="s">
        <v>1167</v>
      </c>
      <c r="BF61" t="str">
        <f>HYPERLINK("http://dx.doi.org/10.17721/2227-1481.6.45-49","http://dx.doi.org/10.17721/2227-1481.6.45-49")</f>
        <v>http://dx.doi.org/10.17721/2227-1481.6.45-49</v>
      </c>
      <c r="BG61" t="s">
        <v>74</v>
      </c>
      <c r="BH61" t="s">
        <v>74</v>
      </c>
      <c r="BI61">
        <v>5</v>
      </c>
      <c r="BJ61" t="s">
        <v>1168</v>
      </c>
      <c r="BK61" t="s">
        <v>96</v>
      </c>
      <c r="BL61" t="s">
        <v>1168</v>
      </c>
      <c r="BM61" t="s">
        <v>1169</v>
      </c>
      <c r="BN61" t="s">
        <v>74</v>
      </c>
      <c r="BO61" t="s">
        <v>74</v>
      </c>
      <c r="BP61" t="s">
        <v>74</v>
      </c>
      <c r="BQ61" t="s">
        <v>74</v>
      </c>
      <c r="BR61" t="s">
        <v>100</v>
      </c>
      <c r="BS61" t="s">
        <v>1170</v>
      </c>
      <c r="BT61" t="str">
        <f>HYPERLINK("https%3A%2F%2Fwww.webofscience.com%2Fwos%2Fwoscc%2Ffull-record%2FWOS:000393512200008","View Full Record in Web of Science")</f>
        <v>View Full Record in Web of Science</v>
      </c>
    </row>
    <row r="62" spans="1:72" x14ac:dyDescent="0.15">
      <c r="A62" t="s">
        <v>72</v>
      </c>
      <c r="B62" t="s">
        <v>1171</v>
      </c>
      <c r="C62" t="s">
        <v>74</v>
      </c>
      <c r="D62" t="s">
        <v>74</v>
      </c>
      <c r="E62" t="s">
        <v>74</v>
      </c>
      <c r="F62" t="s">
        <v>1172</v>
      </c>
      <c r="G62" t="s">
        <v>74</v>
      </c>
      <c r="H62" t="s">
        <v>74</v>
      </c>
      <c r="I62" t="s">
        <v>1173</v>
      </c>
      <c r="J62" t="s">
        <v>1174</v>
      </c>
      <c r="K62" t="s">
        <v>74</v>
      </c>
      <c r="L62" t="s">
        <v>74</v>
      </c>
      <c r="M62" t="s">
        <v>200</v>
      </c>
      <c r="N62" t="s">
        <v>79</v>
      </c>
      <c r="O62" t="s">
        <v>74</v>
      </c>
      <c r="P62" t="s">
        <v>74</v>
      </c>
      <c r="Q62" t="s">
        <v>74</v>
      </c>
      <c r="R62" t="s">
        <v>74</v>
      </c>
      <c r="S62" t="s">
        <v>74</v>
      </c>
      <c r="T62" t="s">
        <v>1175</v>
      </c>
      <c r="U62" t="s">
        <v>1176</v>
      </c>
      <c r="V62" t="s">
        <v>1177</v>
      </c>
      <c r="W62" t="s">
        <v>1178</v>
      </c>
      <c r="X62" t="s">
        <v>968</v>
      </c>
      <c r="Y62" t="s">
        <v>1179</v>
      </c>
      <c r="Z62" t="s">
        <v>1180</v>
      </c>
      <c r="AA62" t="s">
        <v>74</v>
      </c>
      <c r="AB62" t="s">
        <v>1181</v>
      </c>
      <c r="AC62" t="s">
        <v>1182</v>
      </c>
      <c r="AD62" t="s">
        <v>974</v>
      </c>
      <c r="AE62" t="s">
        <v>1183</v>
      </c>
      <c r="AF62" t="s">
        <v>74</v>
      </c>
      <c r="AG62">
        <v>7</v>
      </c>
      <c r="AH62">
        <v>9</v>
      </c>
      <c r="AI62">
        <v>9</v>
      </c>
      <c r="AJ62">
        <v>0</v>
      </c>
      <c r="AK62">
        <v>6</v>
      </c>
      <c r="AL62" t="s">
        <v>502</v>
      </c>
      <c r="AM62" t="s">
        <v>503</v>
      </c>
      <c r="AN62" t="s">
        <v>504</v>
      </c>
      <c r="AO62" t="s">
        <v>1184</v>
      </c>
      <c r="AP62" t="s">
        <v>1185</v>
      </c>
      <c r="AQ62" t="s">
        <v>74</v>
      </c>
      <c r="AR62" t="s">
        <v>1186</v>
      </c>
      <c r="AS62" t="s">
        <v>1187</v>
      </c>
      <c r="AT62" t="s">
        <v>74</v>
      </c>
      <c r="AU62">
        <v>2016</v>
      </c>
      <c r="AV62">
        <v>27</v>
      </c>
      <c r="AW62">
        <v>6</v>
      </c>
      <c r="AX62" t="s">
        <v>74</v>
      </c>
      <c r="AY62" t="s">
        <v>74</v>
      </c>
      <c r="AZ62" t="s">
        <v>74</v>
      </c>
      <c r="BA62" t="s">
        <v>74</v>
      </c>
      <c r="BB62">
        <v>4677</v>
      </c>
      <c r="BC62">
        <v>4678</v>
      </c>
      <c r="BD62" t="s">
        <v>74</v>
      </c>
      <c r="BE62" t="s">
        <v>1188</v>
      </c>
      <c r="BF62" t="str">
        <f>HYPERLINK("http://dx.doi.org/10.3109/19401736.2015.1106498","http://dx.doi.org/10.3109/19401736.2015.1106498")</f>
        <v>http://dx.doi.org/10.3109/19401736.2015.1106498</v>
      </c>
      <c r="BG62" t="s">
        <v>74</v>
      </c>
      <c r="BH62" t="s">
        <v>74</v>
      </c>
      <c r="BI62">
        <v>2</v>
      </c>
      <c r="BJ62" t="s">
        <v>509</v>
      </c>
      <c r="BK62" t="s">
        <v>264</v>
      </c>
      <c r="BL62" t="s">
        <v>509</v>
      </c>
      <c r="BM62" t="s">
        <v>1189</v>
      </c>
      <c r="BN62">
        <v>26607817</v>
      </c>
      <c r="BO62" t="s">
        <v>74</v>
      </c>
      <c r="BP62" t="s">
        <v>74</v>
      </c>
      <c r="BQ62" t="s">
        <v>74</v>
      </c>
      <c r="BR62" t="s">
        <v>100</v>
      </c>
      <c r="BS62" t="s">
        <v>1190</v>
      </c>
      <c r="BT62" t="str">
        <f>HYPERLINK("https%3A%2F%2Fwww.webofscience.com%2Fwos%2Fwoscc%2Ffull-record%2FWOS:000393307200328","View Full Record in Web of Science")</f>
        <v>View Full Record in Web of Science</v>
      </c>
    </row>
    <row r="63" spans="1:72" x14ac:dyDescent="0.15">
      <c r="A63" t="s">
        <v>72</v>
      </c>
      <c r="B63" t="s">
        <v>1191</v>
      </c>
      <c r="C63" t="s">
        <v>74</v>
      </c>
      <c r="D63" t="s">
        <v>74</v>
      </c>
      <c r="E63" t="s">
        <v>74</v>
      </c>
      <c r="F63" t="s">
        <v>1192</v>
      </c>
      <c r="G63" t="s">
        <v>74</v>
      </c>
      <c r="H63" t="s">
        <v>74</v>
      </c>
      <c r="I63" t="s">
        <v>1193</v>
      </c>
      <c r="J63" t="s">
        <v>1194</v>
      </c>
      <c r="K63" t="s">
        <v>74</v>
      </c>
      <c r="L63" t="s">
        <v>74</v>
      </c>
      <c r="M63" t="s">
        <v>1195</v>
      </c>
      <c r="N63" t="s">
        <v>79</v>
      </c>
      <c r="O63" t="s">
        <v>74</v>
      </c>
      <c r="P63" t="s">
        <v>74</v>
      </c>
      <c r="Q63" t="s">
        <v>74</v>
      </c>
      <c r="R63" t="s">
        <v>74</v>
      </c>
      <c r="S63" t="s">
        <v>74</v>
      </c>
      <c r="T63" t="s">
        <v>74</v>
      </c>
      <c r="U63" t="s">
        <v>74</v>
      </c>
      <c r="V63" t="s">
        <v>1196</v>
      </c>
      <c r="W63" t="s">
        <v>1197</v>
      </c>
      <c r="X63" t="s">
        <v>1198</v>
      </c>
      <c r="Y63" t="s">
        <v>1199</v>
      </c>
      <c r="Z63" t="s">
        <v>1200</v>
      </c>
      <c r="AA63" t="s">
        <v>74</v>
      </c>
      <c r="AB63" t="s">
        <v>74</v>
      </c>
      <c r="AC63" t="s">
        <v>74</v>
      </c>
      <c r="AD63" t="s">
        <v>74</v>
      </c>
      <c r="AE63" t="s">
        <v>74</v>
      </c>
      <c r="AF63" t="s">
        <v>74</v>
      </c>
      <c r="AG63">
        <v>25</v>
      </c>
      <c r="AH63">
        <v>3</v>
      </c>
      <c r="AI63">
        <v>3</v>
      </c>
      <c r="AJ63">
        <v>0</v>
      </c>
      <c r="AK63">
        <v>0</v>
      </c>
      <c r="AL63" t="s">
        <v>1201</v>
      </c>
      <c r="AM63" t="s">
        <v>1202</v>
      </c>
      <c r="AN63" t="s">
        <v>1203</v>
      </c>
      <c r="AO63" t="s">
        <v>1204</v>
      </c>
      <c r="AP63" t="s">
        <v>74</v>
      </c>
      <c r="AQ63" t="s">
        <v>74</v>
      </c>
      <c r="AR63" t="s">
        <v>1205</v>
      </c>
      <c r="AS63" t="s">
        <v>1206</v>
      </c>
      <c r="AT63" t="s">
        <v>74</v>
      </c>
      <c r="AU63">
        <v>2016</v>
      </c>
      <c r="AV63">
        <v>158</v>
      </c>
      <c r="AW63" t="s">
        <v>74</v>
      </c>
      <c r="AX63" t="s">
        <v>74</v>
      </c>
      <c r="AY63" t="s">
        <v>74</v>
      </c>
      <c r="AZ63" t="s">
        <v>74</v>
      </c>
      <c r="BA63" t="s">
        <v>74</v>
      </c>
      <c r="BB63">
        <v>320</v>
      </c>
      <c r="BC63">
        <v>333</v>
      </c>
      <c r="BD63" t="s">
        <v>74</v>
      </c>
      <c r="BE63" t="s">
        <v>74</v>
      </c>
      <c r="BF63" t="s">
        <v>74</v>
      </c>
      <c r="BG63" t="s">
        <v>74</v>
      </c>
      <c r="BH63" t="s">
        <v>74</v>
      </c>
      <c r="BI63">
        <v>14</v>
      </c>
      <c r="BJ63" t="s">
        <v>1207</v>
      </c>
      <c r="BK63" t="s">
        <v>1208</v>
      </c>
      <c r="BL63" t="s">
        <v>1207</v>
      </c>
      <c r="BM63" t="s">
        <v>1209</v>
      </c>
      <c r="BN63" t="s">
        <v>74</v>
      </c>
      <c r="BO63" t="s">
        <v>74</v>
      </c>
      <c r="BP63" t="s">
        <v>74</v>
      </c>
      <c r="BQ63" t="s">
        <v>74</v>
      </c>
      <c r="BR63" t="s">
        <v>100</v>
      </c>
      <c r="BS63" t="s">
        <v>1210</v>
      </c>
      <c r="BT63" t="str">
        <f>HYPERLINK("https%3A%2F%2Fwww.webofscience.com%2Fwos%2Fwoscc%2Ffull-record%2FWOS:000393632200017","View Full Record in Web of Science")</f>
        <v>View Full Record in Web of Science</v>
      </c>
    </row>
    <row r="64" spans="1:72" x14ac:dyDescent="0.15">
      <c r="A64" t="s">
        <v>72</v>
      </c>
      <c r="B64" t="s">
        <v>1211</v>
      </c>
      <c r="C64" t="s">
        <v>74</v>
      </c>
      <c r="D64" t="s">
        <v>74</v>
      </c>
      <c r="E64" t="s">
        <v>74</v>
      </c>
      <c r="F64" t="s">
        <v>1212</v>
      </c>
      <c r="G64" t="s">
        <v>74</v>
      </c>
      <c r="H64" t="s">
        <v>74</v>
      </c>
      <c r="I64" t="s">
        <v>1213</v>
      </c>
      <c r="J64" t="s">
        <v>1214</v>
      </c>
      <c r="K64" t="s">
        <v>74</v>
      </c>
      <c r="L64" t="s">
        <v>74</v>
      </c>
      <c r="M64" t="s">
        <v>200</v>
      </c>
      <c r="N64" t="s">
        <v>79</v>
      </c>
      <c r="O64" t="s">
        <v>74</v>
      </c>
      <c r="P64" t="s">
        <v>74</v>
      </c>
      <c r="Q64" t="s">
        <v>74</v>
      </c>
      <c r="R64" t="s">
        <v>74</v>
      </c>
      <c r="S64" t="s">
        <v>74</v>
      </c>
      <c r="T64" t="s">
        <v>1215</v>
      </c>
      <c r="U64" t="s">
        <v>1216</v>
      </c>
      <c r="V64" t="s">
        <v>1217</v>
      </c>
      <c r="W64" t="s">
        <v>1218</v>
      </c>
      <c r="X64" t="s">
        <v>1219</v>
      </c>
      <c r="Y64" t="s">
        <v>1220</v>
      </c>
      <c r="Z64" t="s">
        <v>1221</v>
      </c>
      <c r="AA64" t="s">
        <v>74</v>
      </c>
      <c r="AB64" t="s">
        <v>74</v>
      </c>
      <c r="AC64" t="s">
        <v>1222</v>
      </c>
      <c r="AD64" t="s">
        <v>1222</v>
      </c>
      <c r="AE64" t="s">
        <v>1223</v>
      </c>
      <c r="AF64" t="s">
        <v>74</v>
      </c>
      <c r="AG64">
        <v>56</v>
      </c>
      <c r="AH64">
        <v>8</v>
      </c>
      <c r="AI64">
        <v>8</v>
      </c>
      <c r="AJ64">
        <v>0</v>
      </c>
      <c r="AK64">
        <v>14</v>
      </c>
      <c r="AL64" t="s">
        <v>1224</v>
      </c>
      <c r="AM64" t="s">
        <v>1225</v>
      </c>
      <c r="AN64" t="s">
        <v>1226</v>
      </c>
      <c r="AO64" t="s">
        <v>1227</v>
      </c>
      <c r="AP64" t="s">
        <v>1228</v>
      </c>
      <c r="AQ64" t="s">
        <v>74</v>
      </c>
      <c r="AR64" t="s">
        <v>1229</v>
      </c>
      <c r="AS64" t="s">
        <v>1230</v>
      </c>
      <c r="AT64" t="s">
        <v>74</v>
      </c>
      <c r="AU64">
        <v>2016</v>
      </c>
      <c r="AV64">
        <v>116</v>
      </c>
      <c r="AW64">
        <v>4</v>
      </c>
      <c r="AX64" t="s">
        <v>74</v>
      </c>
      <c r="AY64" t="s">
        <v>74</v>
      </c>
      <c r="AZ64" t="s">
        <v>74</v>
      </c>
      <c r="BA64" t="s">
        <v>74</v>
      </c>
      <c r="BB64">
        <v>340</v>
      </c>
      <c r="BC64">
        <v>349</v>
      </c>
      <c r="BD64" t="s">
        <v>74</v>
      </c>
      <c r="BE64" t="s">
        <v>1231</v>
      </c>
      <c r="BF64" t="str">
        <f>HYPERLINK("http://dx.doi.org/10.1071/MU15032","http://dx.doi.org/10.1071/MU15032")</f>
        <v>http://dx.doi.org/10.1071/MU15032</v>
      </c>
      <c r="BG64" t="s">
        <v>74</v>
      </c>
      <c r="BH64" t="s">
        <v>74</v>
      </c>
      <c r="BI64">
        <v>10</v>
      </c>
      <c r="BJ64" t="s">
        <v>1232</v>
      </c>
      <c r="BK64" t="s">
        <v>264</v>
      </c>
      <c r="BL64" t="s">
        <v>672</v>
      </c>
      <c r="BM64" t="s">
        <v>1233</v>
      </c>
      <c r="BN64" t="s">
        <v>74</v>
      </c>
      <c r="BO64" t="s">
        <v>74</v>
      </c>
      <c r="BP64" t="s">
        <v>74</v>
      </c>
      <c r="BQ64" t="s">
        <v>74</v>
      </c>
      <c r="BR64" t="s">
        <v>100</v>
      </c>
      <c r="BS64" t="s">
        <v>1234</v>
      </c>
      <c r="BT64" t="str">
        <f>HYPERLINK("https%3A%2F%2Fwww.webofscience.com%2Fwos%2Fwoscc%2Ffull-record%2FWOS:000393199400004","View Full Record in Web of Science")</f>
        <v>View Full Record in Web of Science</v>
      </c>
    </row>
    <row r="65" spans="1:72" x14ac:dyDescent="0.15">
      <c r="A65" t="s">
        <v>72</v>
      </c>
      <c r="B65" t="s">
        <v>1235</v>
      </c>
      <c r="C65" t="s">
        <v>74</v>
      </c>
      <c r="D65" t="s">
        <v>74</v>
      </c>
      <c r="E65" t="s">
        <v>74</v>
      </c>
      <c r="F65" t="s">
        <v>1236</v>
      </c>
      <c r="G65" t="s">
        <v>74</v>
      </c>
      <c r="H65" t="s">
        <v>74</v>
      </c>
      <c r="I65" t="s">
        <v>1237</v>
      </c>
      <c r="J65" t="s">
        <v>1214</v>
      </c>
      <c r="K65" t="s">
        <v>74</v>
      </c>
      <c r="L65" t="s">
        <v>74</v>
      </c>
      <c r="M65" t="s">
        <v>200</v>
      </c>
      <c r="N65" t="s">
        <v>79</v>
      </c>
      <c r="O65" t="s">
        <v>74</v>
      </c>
      <c r="P65" t="s">
        <v>74</v>
      </c>
      <c r="Q65" t="s">
        <v>74</v>
      </c>
      <c r="R65" t="s">
        <v>74</v>
      </c>
      <c r="S65" t="s">
        <v>74</v>
      </c>
      <c r="T65" t="s">
        <v>1238</v>
      </c>
      <c r="U65" t="s">
        <v>1239</v>
      </c>
      <c r="V65" t="s">
        <v>1240</v>
      </c>
      <c r="W65" t="s">
        <v>1241</v>
      </c>
      <c r="X65" t="s">
        <v>1242</v>
      </c>
      <c r="Y65" t="s">
        <v>1243</v>
      </c>
      <c r="Z65" t="s">
        <v>1244</v>
      </c>
      <c r="AA65" t="s">
        <v>1245</v>
      </c>
      <c r="AB65" t="s">
        <v>1246</v>
      </c>
      <c r="AC65" t="s">
        <v>1247</v>
      </c>
      <c r="AD65" t="s">
        <v>1248</v>
      </c>
      <c r="AE65" t="s">
        <v>1249</v>
      </c>
      <c r="AF65" t="s">
        <v>74</v>
      </c>
      <c r="AG65">
        <v>42</v>
      </c>
      <c r="AH65">
        <v>0</v>
      </c>
      <c r="AI65">
        <v>0</v>
      </c>
      <c r="AJ65">
        <v>0</v>
      </c>
      <c r="AK65">
        <v>6</v>
      </c>
      <c r="AL65" t="s">
        <v>1250</v>
      </c>
      <c r="AM65" t="s">
        <v>1225</v>
      </c>
      <c r="AN65" t="s">
        <v>1226</v>
      </c>
      <c r="AO65" t="s">
        <v>1227</v>
      </c>
      <c r="AP65" t="s">
        <v>1228</v>
      </c>
      <c r="AQ65" t="s">
        <v>74</v>
      </c>
      <c r="AR65" t="s">
        <v>1229</v>
      </c>
      <c r="AS65" t="s">
        <v>1230</v>
      </c>
      <c r="AT65" t="s">
        <v>74</v>
      </c>
      <c r="AU65">
        <v>2016</v>
      </c>
      <c r="AV65">
        <v>116</v>
      </c>
      <c r="AW65">
        <v>4</v>
      </c>
      <c r="AX65" t="s">
        <v>74</v>
      </c>
      <c r="AY65" t="s">
        <v>74</v>
      </c>
      <c r="AZ65" t="s">
        <v>74</v>
      </c>
      <c r="BA65" t="s">
        <v>74</v>
      </c>
      <c r="BB65">
        <v>467</v>
      </c>
      <c r="BC65">
        <v>471</v>
      </c>
      <c r="BD65" t="s">
        <v>74</v>
      </c>
      <c r="BE65" t="s">
        <v>1251</v>
      </c>
      <c r="BF65" t="str">
        <f>HYPERLINK("http://dx.doi.org/10.1071/MU16027","http://dx.doi.org/10.1071/MU16027")</f>
        <v>http://dx.doi.org/10.1071/MU16027</v>
      </c>
      <c r="BG65" t="s">
        <v>74</v>
      </c>
      <c r="BH65" t="s">
        <v>74</v>
      </c>
      <c r="BI65">
        <v>5</v>
      </c>
      <c r="BJ65" t="s">
        <v>1232</v>
      </c>
      <c r="BK65" t="s">
        <v>264</v>
      </c>
      <c r="BL65" t="s">
        <v>672</v>
      </c>
      <c r="BM65" t="s">
        <v>1233</v>
      </c>
      <c r="BN65" t="s">
        <v>74</v>
      </c>
      <c r="BO65" t="s">
        <v>74</v>
      </c>
      <c r="BP65" t="s">
        <v>74</v>
      </c>
      <c r="BQ65" t="s">
        <v>74</v>
      </c>
      <c r="BR65" t="s">
        <v>100</v>
      </c>
      <c r="BS65" t="s">
        <v>1252</v>
      </c>
      <c r="BT65" t="str">
        <f>HYPERLINK("https%3A%2F%2Fwww.webofscience.com%2Fwos%2Fwoscc%2Ffull-record%2FWOS:000393199400020","View Full Record in Web of Science")</f>
        <v>View Full Record in Web of Science</v>
      </c>
    </row>
    <row r="66" spans="1:72" x14ac:dyDescent="0.15">
      <c r="A66" t="s">
        <v>72</v>
      </c>
      <c r="B66" t="s">
        <v>1253</v>
      </c>
      <c r="C66" t="s">
        <v>74</v>
      </c>
      <c r="D66" t="s">
        <v>74</v>
      </c>
      <c r="E66" t="s">
        <v>74</v>
      </c>
      <c r="F66" t="s">
        <v>1254</v>
      </c>
      <c r="G66" t="s">
        <v>74</v>
      </c>
      <c r="H66" t="s">
        <v>74</v>
      </c>
      <c r="I66" t="s">
        <v>1255</v>
      </c>
      <c r="J66" t="s">
        <v>1256</v>
      </c>
      <c r="K66" t="s">
        <v>74</v>
      </c>
      <c r="L66" t="s">
        <v>74</v>
      </c>
      <c r="M66" t="s">
        <v>200</v>
      </c>
      <c r="N66" t="s">
        <v>79</v>
      </c>
      <c r="O66" t="s">
        <v>74</v>
      </c>
      <c r="P66" t="s">
        <v>74</v>
      </c>
      <c r="Q66" t="s">
        <v>74</v>
      </c>
      <c r="R66" t="s">
        <v>74</v>
      </c>
      <c r="S66" t="s">
        <v>74</v>
      </c>
      <c r="T66" t="s">
        <v>1257</v>
      </c>
      <c r="U66" t="s">
        <v>1258</v>
      </c>
      <c r="V66" t="s">
        <v>1259</v>
      </c>
      <c r="W66" t="s">
        <v>1260</v>
      </c>
      <c r="X66" t="s">
        <v>1261</v>
      </c>
      <c r="Y66" t="s">
        <v>1262</v>
      </c>
      <c r="Z66" t="s">
        <v>1263</v>
      </c>
      <c r="AA66" t="s">
        <v>1264</v>
      </c>
      <c r="AB66" t="s">
        <v>1265</v>
      </c>
      <c r="AC66" t="s">
        <v>1266</v>
      </c>
      <c r="AD66" t="s">
        <v>1267</v>
      </c>
      <c r="AE66" t="s">
        <v>1268</v>
      </c>
      <c r="AF66" t="s">
        <v>74</v>
      </c>
      <c r="AG66">
        <v>56</v>
      </c>
      <c r="AH66">
        <v>4</v>
      </c>
      <c r="AI66">
        <v>5</v>
      </c>
      <c r="AJ66">
        <v>0</v>
      </c>
      <c r="AK66">
        <v>10</v>
      </c>
      <c r="AL66" t="s">
        <v>1269</v>
      </c>
      <c r="AM66" t="s">
        <v>1270</v>
      </c>
      <c r="AN66" t="s">
        <v>1271</v>
      </c>
      <c r="AO66" t="s">
        <v>1272</v>
      </c>
      <c r="AP66" t="s">
        <v>1273</v>
      </c>
      <c r="AQ66" t="s">
        <v>74</v>
      </c>
      <c r="AR66" t="s">
        <v>1274</v>
      </c>
      <c r="AS66" t="s">
        <v>1275</v>
      </c>
      <c r="AT66" t="s">
        <v>74</v>
      </c>
      <c r="AU66">
        <v>2016</v>
      </c>
      <c r="AV66">
        <v>73</v>
      </c>
      <c r="AW66">
        <v>2</v>
      </c>
      <c r="AX66" t="s">
        <v>74</v>
      </c>
      <c r="AY66" t="s">
        <v>74</v>
      </c>
      <c r="AZ66" t="s">
        <v>74</v>
      </c>
      <c r="BA66" t="s">
        <v>74</v>
      </c>
      <c r="BB66">
        <v>391</v>
      </c>
      <c r="BC66">
        <v>401</v>
      </c>
      <c r="BD66" t="s">
        <v>74</v>
      </c>
      <c r="BE66" t="s">
        <v>74</v>
      </c>
      <c r="BF66" t="s">
        <v>74</v>
      </c>
      <c r="BG66" t="s">
        <v>74</v>
      </c>
      <c r="BH66" t="s">
        <v>74</v>
      </c>
      <c r="BI66">
        <v>11</v>
      </c>
      <c r="BJ66" t="s">
        <v>1276</v>
      </c>
      <c r="BK66" t="s">
        <v>264</v>
      </c>
      <c r="BL66" t="s">
        <v>1276</v>
      </c>
      <c r="BM66" t="s">
        <v>1277</v>
      </c>
      <c r="BN66" t="s">
        <v>74</v>
      </c>
      <c r="BO66" t="s">
        <v>74</v>
      </c>
      <c r="BP66" t="s">
        <v>74</v>
      </c>
      <c r="BQ66" t="s">
        <v>74</v>
      </c>
      <c r="BR66" t="s">
        <v>100</v>
      </c>
      <c r="BS66" t="s">
        <v>1278</v>
      </c>
      <c r="BT66" t="str">
        <f>HYPERLINK("https%3A%2F%2Fwww.webofscience.com%2Fwos%2Fwoscc%2Ffull-record%2FWOS:000393054300014","View Full Record in Web of Science")</f>
        <v>View Full Record in Web of Science</v>
      </c>
    </row>
    <row r="67" spans="1:72" x14ac:dyDescent="0.15">
      <c r="A67" t="s">
        <v>72</v>
      </c>
      <c r="B67" t="s">
        <v>1279</v>
      </c>
      <c r="C67" t="s">
        <v>74</v>
      </c>
      <c r="D67" t="s">
        <v>74</v>
      </c>
      <c r="E67" t="s">
        <v>74</v>
      </c>
      <c r="F67" t="s">
        <v>1280</v>
      </c>
      <c r="G67" t="s">
        <v>74</v>
      </c>
      <c r="H67" t="s">
        <v>74</v>
      </c>
      <c r="I67" t="s">
        <v>1281</v>
      </c>
      <c r="J67" t="s">
        <v>1282</v>
      </c>
      <c r="K67" t="s">
        <v>74</v>
      </c>
      <c r="L67" t="s">
        <v>74</v>
      </c>
      <c r="M67" t="s">
        <v>78</v>
      </c>
      <c r="N67" t="s">
        <v>79</v>
      </c>
      <c r="O67" t="s">
        <v>74</v>
      </c>
      <c r="P67" t="s">
        <v>74</v>
      </c>
      <c r="Q67" t="s">
        <v>74</v>
      </c>
      <c r="R67" t="s">
        <v>74</v>
      </c>
      <c r="S67" t="s">
        <v>74</v>
      </c>
      <c r="T67" t="s">
        <v>1283</v>
      </c>
      <c r="U67" t="s">
        <v>74</v>
      </c>
      <c r="V67" t="s">
        <v>1284</v>
      </c>
      <c r="W67" t="s">
        <v>1285</v>
      </c>
      <c r="X67" t="s">
        <v>1286</v>
      </c>
      <c r="Y67" t="s">
        <v>1287</v>
      </c>
      <c r="Z67" t="s">
        <v>74</v>
      </c>
      <c r="AA67" t="s">
        <v>1288</v>
      </c>
      <c r="AB67" t="s">
        <v>1289</v>
      </c>
      <c r="AC67" t="s">
        <v>74</v>
      </c>
      <c r="AD67" t="s">
        <v>74</v>
      </c>
      <c r="AE67" t="s">
        <v>74</v>
      </c>
      <c r="AF67" t="s">
        <v>74</v>
      </c>
      <c r="AG67">
        <v>10</v>
      </c>
      <c r="AH67">
        <v>0</v>
      </c>
      <c r="AI67">
        <v>0</v>
      </c>
      <c r="AJ67">
        <v>0</v>
      </c>
      <c r="AK67">
        <v>1</v>
      </c>
      <c r="AL67" t="s">
        <v>1290</v>
      </c>
      <c r="AM67" t="s">
        <v>1291</v>
      </c>
      <c r="AN67" t="s">
        <v>1292</v>
      </c>
      <c r="AO67" t="s">
        <v>1293</v>
      </c>
      <c r="AP67" t="s">
        <v>1294</v>
      </c>
      <c r="AQ67" t="s">
        <v>74</v>
      </c>
      <c r="AR67" t="s">
        <v>1295</v>
      </c>
      <c r="AS67" t="s">
        <v>1296</v>
      </c>
      <c r="AT67" t="s">
        <v>74</v>
      </c>
      <c r="AU67">
        <v>2016</v>
      </c>
      <c r="AV67" t="s">
        <v>74</v>
      </c>
      <c r="AW67">
        <v>7</v>
      </c>
      <c r="AX67" t="s">
        <v>74</v>
      </c>
      <c r="AY67" t="s">
        <v>74</v>
      </c>
      <c r="AZ67" t="s">
        <v>74</v>
      </c>
      <c r="BA67" t="s">
        <v>74</v>
      </c>
      <c r="BB67">
        <v>126</v>
      </c>
      <c r="BC67">
        <v>132</v>
      </c>
      <c r="BD67" t="s">
        <v>74</v>
      </c>
      <c r="BE67" t="s">
        <v>74</v>
      </c>
      <c r="BF67" t="s">
        <v>74</v>
      </c>
      <c r="BG67" t="s">
        <v>74</v>
      </c>
      <c r="BH67" t="s">
        <v>74</v>
      </c>
      <c r="BI67">
        <v>7</v>
      </c>
      <c r="BJ67" t="s">
        <v>1297</v>
      </c>
      <c r="BK67" t="s">
        <v>96</v>
      </c>
      <c r="BL67" t="s">
        <v>1297</v>
      </c>
      <c r="BM67" t="s">
        <v>1298</v>
      </c>
      <c r="BN67" t="s">
        <v>74</v>
      </c>
      <c r="BO67" t="s">
        <v>74</v>
      </c>
      <c r="BP67" t="s">
        <v>74</v>
      </c>
      <c r="BQ67" t="s">
        <v>74</v>
      </c>
      <c r="BR67" t="s">
        <v>100</v>
      </c>
      <c r="BS67" t="s">
        <v>1299</v>
      </c>
      <c r="BT67" t="str">
        <f>HYPERLINK("https%3A%2F%2Fwww.webofscience.com%2Fwos%2Fwoscc%2Ffull-record%2FWOS:000393302000019","View Full Record in Web of Science")</f>
        <v>View Full Record in Web of Science</v>
      </c>
    </row>
    <row r="68" spans="1:72" x14ac:dyDescent="0.15">
      <c r="A68" t="s">
        <v>267</v>
      </c>
      <c r="B68" t="s">
        <v>1300</v>
      </c>
      <c r="C68" t="s">
        <v>74</v>
      </c>
      <c r="D68" t="s">
        <v>1301</v>
      </c>
      <c r="E68" t="s">
        <v>74</v>
      </c>
      <c r="F68" t="s">
        <v>1302</v>
      </c>
      <c r="G68" t="s">
        <v>74</v>
      </c>
      <c r="H68" t="s">
        <v>74</v>
      </c>
      <c r="I68" t="s">
        <v>1303</v>
      </c>
      <c r="J68" t="s">
        <v>1304</v>
      </c>
      <c r="K68" t="s">
        <v>343</v>
      </c>
      <c r="L68" t="s">
        <v>74</v>
      </c>
      <c r="M68" t="s">
        <v>200</v>
      </c>
      <c r="N68" t="s">
        <v>273</v>
      </c>
      <c r="O68" t="s">
        <v>962</v>
      </c>
      <c r="P68" t="s">
        <v>963</v>
      </c>
      <c r="Q68" t="s">
        <v>964</v>
      </c>
      <c r="R68" t="s">
        <v>74</v>
      </c>
      <c r="S68" t="s">
        <v>74</v>
      </c>
      <c r="T68" t="s">
        <v>1305</v>
      </c>
      <c r="U68" t="s">
        <v>1306</v>
      </c>
      <c r="V68" t="s">
        <v>1307</v>
      </c>
      <c r="W68" t="s">
        <v>1308</v>
      </c>
      <c r="X68" t="s">
        <v>1309</v>
      </c>
      <c r="Y68" t="s">
        <v>1310</v>
      </c>
      <c r="Z68" t="s">
        <v>1311</v>
      </c>
      <c r="AA68" t="s">
        <v>1312</v>
      </c>
      <c r="AB68" t="s">
        <v>1313</v>
      </c>
      <c r="AC68" t="s">
        <v>1314</v>
      </c>
      <c r="AD68" t="s">
        <v>1315</v>
      </c>
      <c r="AE68" t="s">
        <v>1316</v>
      </c>
      <c r="AF68" t="s">
        <v>74</v>
      </c>
      <c r="AG68">
        <v>31</v>
      </c>
      <c r="AH68">
        <v>1</v>
      </c>
      <c r="AI68">
        <v>1</v>
      </c>
      <c r="AJ68">
        <v>0</v>
      </c>
      <c r="AK68">
        <v>5</v>
      </c>
      <c r="AL68" t="s">
        <v>358</v>
      </c>
      <c r="AM68" t="s">
        <v>359</v>
      </c>
      <c r="AN68" t="s">
        <v>360</v>
      </c>
      <c r="AO68" t="s">
        <v>361</v>
      </c>
      <c r="AP68" t="s">
        <v>74</v>
      </c>
      <c r="AQ68" t="s">
        <v>74</v>
      </c>
      <c r="AR68" t="s">
        <v>362</v>
      </c>
      <c r="AS68" t="s">
        <v>74</v>
      </c>
      <c r="AT68" t="s">
        <v>74</v>
      </c>
      <c r="AU68">
        <v>2016</v>
      </c>
      <c r="AV68">
        <v>41</v>
      </c>
      <c r="AW68" t="s">
        <v>1317</v>
      </c>
      <c r="AX68" t="s">
        <v>74</v>
      </c>
      <c r="AY68" t="s">
        <v>74</v>
      </c>
      <c r="AZ68" t="s">
        <v>74</v>
      </c>
      <c r="BA68" t="s">
        <v>74</v>
      </c>
      <c r="BB68">
        <v>267</v>
      </c>
      <c r="BC68">
        <v>273</v>
      </c>
      <c r="BD68" t="s">
        <v>74</v>
      </c>
      <c r="BE68" t="s">
        <v>1318</v>
      </c>
      <c r="BF68" t="str">
        <f>HYPERLINK("http://dx.doi.org/10.5194/isprsarchives-XLI-B6-267-2016","http://dx.doi.org/10.5194/isprsarchives-XLI-B6-267-2016")</f>
        <v>http://dx.doi.org/10.5194/isprsarchives-XLI-B6-267-2016</v>
      </c>
      <c r="BG68" t="s">
        <v>74</v>
      </c>
      <c r="BH68" t="s">
        <v>74</v>
      </c>
      <c r="BI68">
        <v>7</v>
      </c>
      <c r="BJ68" t="s">
        <v>1319</v>
      </c>
      <c r="BK68" t="s">
        <v>293</v>
      </c>
      <c r="BL68" t="s">
        <v>1320</v>
      </c>
      <c r="BM68" t="s">
        <v>1321</v>
      </c>
      <c r="BN68" t="s">
        <v>74</v>
      </c>
      <c r="BO68" t="s">
        <v>99</v>
      </c>
      <c r="BP68" t="s">
        <v>74</v>
      </c>
      <c r="BQ68" t="s">
        <v>74</v>
      </c>
      <c r="BR68" t="s">
        <v>100</v>
      </c>
      <c r="BS68" t="s">
        <v>1322</v>
      </c>
      <c r="BT68" t="str">
        <f>HYPERLINK("https%3A%2F%2Fwww.webofscience.com%2Fwos%2Fwoscc%2Ffull-record%2FWOS:000392742300043","View Full Record in Web of Science")</f>
        <v>View Full Record in Web of Science</v>
      </c>
    </row>
    <row r="69" spans="1:72" x14ac:dyDescent="0.15">
      <c r="A69" t="s">
        <v>267</v>
      </c>
      <c r="B69" t="s">
        <v>1323</v>
      </c>
      <c r="C69" t="s">
        <v>74</v>
      </c>
      <c r="D69" t="s">
        <v>74</v>
      </c>
      <c r="E69" t="s">
        <v>269</v>
      </c>
      <c r="F69" t="s">
        <v>1324</v>
      </c>
      <c r="G69" t="s">
        <v>74</v>
      </c>
      <c r="H69" t="s">
        <v>74</v>
      </c>
      <c r="I69" t="s">
        <v>1325</v>
      </c>
      <c r="J69" t="s">
        <v>1326</v>
      </c>
      <c r="K69" t="s">
        <v>1327</v>
      </c>
      <c r="L69" t="s">
        <v>74</v>
      </c>
      <c r="M69" t="s">
        <v>200</v>
      </c>
      <c r="N69" t="s">
        <v>273</v>
      </c>
      <c r="O69" t="s">
        <v>1328</v>
      </c>
      <c r="P69" t="s">
        <v>1329</v>
      </c>
      <c r="Q69" t="s">
        <v>1330</v>
      </c>
      <c r="R69" t="s">
        <v>74</v>
      </c>
      <c r="S69" t="s">
        <v>74</v>
      </c>
      <c r="T69" t="s">
        <v>1331</v>
      </c>
      <c r="U69" t="s">
        <v>74</v>
      </c>
      <c r="V69" t="s">
        <v>1332</v>
      </c>
      <c r="W69" t="s">
        <v>1333</v>
      </c>
      <c r="X69" t="s">
        <v>1334</v>
      </c>
      <c r="Y69" t="s">
        <v>1335</v>
      </c>
      <c r="Z69" t="s">
        <v>1336</v>
      </c>
      <c r="AA69" t="s">
        <v>1337</v>
      </c>
      <c r="AB69" t="s">
        <v>1338</v>
      </c>
      <c r="AC69" t="s">
        <v>1339</v>
      </c>
      <c r="AD69" t="s">
        <v>1340</v>
      </c>
      <c r="AE69" t="s">
        <v>1341</v>
      </c>
      <c r="AF69" t="s">
        <v>74</v>
      </c>
      <c r="AG69">
        <v>6</v>
      </c>
      <c r="AH69">
        <v>0</v>
      </c>
      <c r="AI69">
        <v>0</v>
      </c>
      <c r="AJ69">
        <v>0</v>
      </c>
      <c r="AK69">
        <v>1</v>
      </c>
      <c r="AL69" t="s">
        <v>269</v>
      </c>
      <c r="AM69" t="s">
        <v>289</v>
      </c>
      <c r="AN69" t="s">
        <v>290</v>
      </c>
      <c r="AO69" t="s">
        <v>1342</v>
      </c>
      <c r="AP69" t="s">
        <v>74</v>
      </c>
      <c r="AQ69" t="s">
        <v>1343</v>
      </c>
      <c r="AR69" t="s">
        <v>1344</v>
      </c>
      <c r="AS69" t="s">
        <v>74</v>
      </c>
      <c r="AT69" t="s">
        <v>74</v>
      </c>
      <c r="AU69">
        <v>2016</v>
      </c>
      <c r="AV69" t="s">
        <v>74</v>
      </c>
      <c r="AW69" t="s">
        <v>74</v>
      </c>
      <c r="AX69" t="s">
        <v>74</v>
      </c>
      <c r="AY69" t="s">
        <v>74</v>
      </c>
      <c r="AZ69" t="s">
        <v>74</v>
      </c>
      <c r="BA69" t="s">
        <v>74</v>
      </c>
      <c r="BB69" t="s">
        <v>74</v>
      </c>
      <c r="BC69" t="s">
        <v>74</v>
      </c>
      <c r="BD69" t="s">
        <v>74</v>
      </c>
      <c r="BE69" t="s">
        <v>74</v>
      </c>
      <c r="BF69" t="s">
        <v>74</v>
      </c>
      <c r="BG69" t="s">
        <v>74</v>
      </c>
      <c r="BH69" t="s">
        <v>74</v>
      </c>
      <c r="BI69">
        <v>2</v>
      </c>
      <c r="BJ69" t="s">
        <v>1345</v>
      </c>
      <c r="BK69" t="s">
        <v>293</v>
      </c>
      <c r="BL69" t="s">
        <v>1346</v>
      </c>
      <c r="BM69" t="s">
        <v>1347</v>
      </c>
      <c r="BN69" t="s">
        <v>74</v>
      </c>
      <c r="BO69" t="s">
        <v>74</v>
      </c>
      <c r="BP69" t="s">
        <v>74</v>
      </c>
      <c r="BQ69" t="s">
        <v>74</v>
      </c>
      <c r="BR69" t="s">
        <v>100</v>
      </c>
      <c r="BS69" t="s">
        <v>1348</v>
      </c>
      <c r="BT69" t="str">
        <f>HYPERLINK("https%3A%2F%2Fwww.webofscience.com%2Fwos%2Fwoscc%2Ffull-record%2FWOS:000391406200057","View Full Record in Web of Science")</f>
        <v>View Full Record in Web of Science</v>
      </c>
    </row>
    <row r="70" spans="1:72" x14ac:dyDescent="0.15">
      <c r="A70" t="s">
        <v>267</v>
      </c>
      <c r="B70" t="s">
        <v>1349</v>
      </c>
      <c r="C70" t="s">
        <v>74</v>
      </c>
      <c r="D70" t="s">
        <v>1350</v>
      </c>
      <c r="E70" t="s">
        <v>74</v>
      </c>
      <c r="F70" t="s">
        <v>1351</v>
      </c>
      <c r="G70" t="s">
        <v>74</v>
      </c>
      <c r="H70" t="s">
        <v>74</v>
      </c>
      <c r="I70" t="s">
        <v>1352</v>
      </c>
      <c r="J70" t="s">
        <v>1353</v>
      </c>
      <c r="K70" t="s">
        <v>74</v>
      </c>
      <c r="L70" t="s">
        <v>74</v>
      </c>
      <c r="M70" t="s">
        <v>200</v>
      </c>
      <c r="N70" t="s">
        <v>273</v>
      </c>
      <c r="O70" t="s">
        <v>1354</v>
      </c>
      <c r="P70" t="s">
        <v>1355</v>
      </c>
      <c r="Q70" t="s">
        <v>1356</v>
      </c>
      <c r="R70" t="s">
        <v>74</v>
      </c>
      <c r="S70" t="s">
        <v>74</v>
      </c>
      <c r="T70" t="s">
        <v>1357</v>
      </c>
      <c r="U70" t="s">
        <v>74</v>
      </c>
      <c r="V70" t="s">
        <v>1358</v>
      </c>
      <c r="W70" t="s">
        <v>1359</v>
      </c>
      <c r="X70" t="s">
        <v>1360</v>
      </c>
      <c r="Y70" t="s">
        <v>1361</v>
      </c>
      <c r="Z70" t="s">
        <v>1362</v>
      </c>
      <c r="AA70" t="s">
        <v>1363</v>
      </c>
      <c r="AB70" t="s">
        <v>1364</v>
      </c>
      <c r="AC70" t="s">
        <v>74</v>
      </c>
      <c r="AD70" t="s">
        <v>74</v>
      </c>
      <c r="AE70" t="s">
        <v>74</v>
      </c>
      <c r="AF70" t="s">
        <v>74</v>
      </c>
      <c r="AG70">
        <v>9</v>
      </c>
      <c r="AH70">
        <v>0</v>
      </c>
      <c r="AI70">
        <v>0</v>
      </c>
      <c r="AJ70">
        <v>1</v>
      </c>
      <c r="AK70">
        <v>1</v>
      </c>
      <c r="AL70" t="s">
        <v>269</v>
      </c>
      <c r="AM70" t="s">
        <v>289</v>
      </c>
      <c r="AN70" t="s">
        <v>290</v>
      </c>
      <c r="AO70" t="s">
        <v>74</v>
      </c>
      <c r="AP70" t="s">
        <v>74</v>
      </c>
      <c r="AQ70" t="s">
        <v>1365</v>
      </c>
      <c r="AR70" t="s">
        <v>74</v>
      </c>
      <c r="AS70" t="s">
        <v>74</v>
      </c>
      <c r="AT70" t="s">
        <v>74</v>
      </c>
      <c r="AU70">
        <v>2016</v>
      </c>
      <c r="AV70" t="s">
        <v>74</v>
      </c>
      <c r="AW70" t="s">
        <v>74</v>
      </c>
      <c r="AX70" t="s">
        <v>74</v>
      </c>
      <c r="AY70" t="s">
        <v>74</v>
      </c>
      <c r="AZ70" t="s">
        <v>74</v>
      </c>
      <c r="BA70" t="s">
        <v>74</v>
      </c>
      <c r="BB70">
        <v>85</v>
      </c>
      <c r="BC70">
        <v>88</v>
      </c>
      <c r="BD70" t="s">
        <v>74</v>
      </c>
      <c r="BE70" t="s">
        <v>74</v>
      </c>
      <c r="BF70" t="s">
        <v>74</v>
      </c>
      <c r="BG70" t="s">
        <v>74</v>
      </c>
      <c r="BH70" t="s">
        <v>74</v>
      </c>
      <c r="BI70">
        <v>4</v>
      </c>
      <c r="BJ70" t="s">
        <v>1366</v>
      </c>
      <c r="BK70" t="s">
        <v>293</v>
      </c>
      <c r="BL70" t="s">
        <v>572</v>
      </c>
      <c r="BM70" t="s">
        <v>1367</v>
      </c>
      <c r="BN70" t="s">
        <v>74</v>
      </c>
      <c r="BO70" t="s">
        <v>74</v>
      </c>
      <c r="BP70" t="s">
        <v>74</v>
      </c>
      <c r="BQ70" t="s">
        <v>74</v>
      </c>
      <c r="BR70" t="s">
        <v>100</v>
      </c>
      <c r="BS70" t="s">
        <v>1368</v>
      </c>
      <c r="BT70" t="str">
        <f>HYPERLINK("https%3A%2F%2Fwww.webofscience.com%2Fwos%2Fwoscc%2Ffull-record%2FWOS:000392341300016","View Full Record in Web of Science")</f>
        <v>View Full Record in Web of Science</v>
      </c>
    </row>
    <row r="71" spans="1:72" x14ac:dyDescent="0.15">
      <c r="A71" t="s">
        <v>72</v>
      </c>
      <c r="B71" t="s">
        <v>1369</v>
      </c>
      <c r="C71" t="s">
        <v>74</v>
      </c>
      <c r="D71" t="s">
        <v>74</v>
      </c>
      <c r="E71" t="s">
        <v>74</v>
      </c>
      <c r="F71" t="s">
        <v>1370</v>
      </c>
      <c r="G71" t="s">
        <v>74</v>
      </c>
      <c r="H71" t="s">
        <v>74</v>
      </c>
      <c r="I71" t="s">
        <v>1371</v>
      </c>
      <c r="J71" t="s">
        <v>1372</v>
      </c>
      <c r="K71" t="s">
        <v>74</v>
      </c>
      <c r="L71" t="s">
        <v>74</v>
      </c>
      <c r="M71" t="s">
        <v>200</v>
      </c>
      <c r="N71" t="s">
        <v>79</v>
      </c>
      <c r="O71" t="s">
        <v>74</v>
      </c>
      <c r="P71" t="s">
        <v>74</v>
      </c>
      <c r="Q71" t="s">
        <v>74</v>
      </c>
      <c r="R71" t="s">
        <v>74</v>
      </c>
      <c r="S71" t="s">
        <v>74</v>
      </c>
      <c r="T71" t="s">
        <v>1373</v>
      </c>
      <c r="U71" t="s">
        <v>1374</v>
      </c>
      <c r="V71" t="s">
        <v>1375</v>
      </c>
      <c r="W71" t="s">
        <v>1376</v>
      </c>
      <c r="X71" t="s">
        <v>1377</v>
      </c>
      <c r="Y71" t="s">
        <v>1378</v>
      </c>
      <c r="Z71" t="s">
        <v>1379</v>
      </c>
      <c r="AA71" t="s">
        <v>1380</v>
      </c>
      <c r="AB71" t="s">
        <v>1381</v>
      </c>
      <c r="AC71" t="s">
        <v>1382</v>
      </c>
      <c r="AD71" t="s">
        <v>1383</v>
      </c>
      <c r="AE71" t="s">
        <v>1384</v>
      </c>
      <c r="AF71" t="s">
        <v>74</v>
      </c>
      <c r="AG71">
        <v>53</v>
      </c>
      <c r="AH71">
        <v>48</v>
      </c>
      <c r="AI71">
        <v>50</v>
      </c>
      <c r="AJ71">
        <v>2</v>
      </c>
      <c r="AK71">
        <v>41</v>
      </c>
      <c r="AL71" t="s">
        <v>1385</v>
      </c>
      <c r="AM71" t="s">
        <v>1386</v>
      </c>
      <c r="AN71" t="s">
        <v>1387</v>
      </c>
      <c r="AO71" t="s">
        <v>1388</v>
      </c>
      <c r="AP71" t="s">
        <v>74</v>
      </c>
      <c r="AQ71" t="s">
        <v>74</v>
      </c>
      <c r="AR71" t="s">
        <v>1372</v>
      </c>
      <c r="AS71" t="s">
        <v>1389</v>
      </c>
      <c r="AT71" t="s">
        <v>74</v>
      </c>
      <c r="AU71">
        <v>2016</v>
      </c>
      <c r="AV71">
        <v>8</v>
      </c>
      <c r="AW71" t="s">
        <v>74</v>
      </c>
      <c r="AX71" t="s">
        <v>74</v>
      </c>
      <c r="AY71" t="s">
        <v>74</v>
      </c>
      <c r="AZ71" t="s">
        <v>74</v>
      </c>
      <c r="BA71" t="s">
        <v>74</v>
      </c>
      <c r="BB71" t="s">
        <v>74</v>
      </c>
      <c r="BC71" t="s">
        <v>74</v>
      </c>
      <c r="BD71" t="s">
        <v>1390</v>
      </c>
      <c r="BE71" t="s">
        <v>1391</v>
      </c>
      <c r="BF71" t="str">
        <f>HYPERLINK("http://dx.doi.org/10.1093/aobpla/plw062","http://dx.doi.org/10.1093/aobpla/plw062")</f>
        <v>http://dx.doi.org/10.1093/aobpla/plw062</v>
      </c>
      <c r="BG71" t="s">
        <v>74</v>
      </c>
      <c r="BH71" t="s">
        <v>74</v>
      </c>
      <c r="BI71">
        <v>11</v>
      </c>
      <c r="BJ71" t="s">
        <v>1392</v>
      </c>
      <c r="BK71" t="s">
        <v>264</v>
      </c>
      <c r="BL71" t="s">
        <v>1393</v>
      </c>
      <c r="BM71" t="s">
        <v>1394</v>
      </c>
      <c r="BN71">
        <v>27613875</v>
      </c>
      <c r="BO71" t="s">
        <v>511</v>
      </c>
      <c r="BP71" t="s">
        <v>74</v>
      </c>
      <c r="BQ71" t="s">
        <v>74</v>
      </c>
      <c r="BR71" t="s">
        <v>100</v>
      </c>
      <c r="BS71" t="s">
        <v>1395</v>
      </c>
      <c r="BT71" t="str">
        <f>HYPERLINK("https%3A%2F%2Fwww.webofscience.com%2Fwos%2Fwoscc%2Ffull-record%2FWOS:000392970200001","View Full Record in Web of Science")</f>
        <v>View Full Record in Web of Science</v>
      </c>
    </row>
    <row r="72" spans="1:72" x14ac:dyDescent="0.15">
      <c r="A72" t="s">
        <v>72</v>
      </c>
      <c r="B72" t="s">
        <v>1396</v>
      </c>
      <c r="C72" t="s">
        <v>74</v>
      </c>
      <c r="D72" t="s">
        <v>74</v>
      </c>
      <c r="E72" t="s">
        <v>74</v>
      </c>
      <c r="F72" t="s">
        <v>1397</v>
      </c>
      <c r="G72" t="s">
        <v>74</v>
      </c>
      <c r="H72" t="s">
        <v>74</v>
      </c>
      <c r="I72" t="s">
        <v>1398</v>
      </c>
      <c r="J72" t="s">
        <v>1399</v>
      </c>
      <c r="K72" t="s">
        <v>74</v>
      </c>
      <c r="L72" t="s">
        <v>74</v>
      </c>
      <c r="M72" t="s">
        <v>200</v>
      </c>
      <c r="N72" t="s">
        <v>79</v>
      </c>
      <c r="O72" t="s">
        <v>74</v>
      </c>
      <c r="P72" t="s">
        <v>74</v>
      </c>
      <c r="Q72" t="s">
        <v>74</v>
      </c>
      <c r="R72" t="s">
        <v>74</v>
      </c>
      <c r="S72" t="s">
        <v>74</v>
      </c>
      <c r="T72" t="s">
        <v>1400</v>
      </c>
      <c r="U72" t="s">
        <v>1401</v>
      </c>
      <c r="V72" t="s">
        <v>1402</v>
      </c>
      <c r="W72" t="s">
        <v>1403</v>
      </c>
      <c r="X72" t="s">
        <v>1404</v>
      </c>
      <c r="Y72" t="s">
        <v>1405</v>
      </c>
      <c r="Z72" t="s">
        <v>1406</v>
      </c>
      <c r="AA72" t="s">
        <v>74</v>
      </c>
      <c r="AB72" t="s">
        <v>1407</v>
      </c>
      <c r="AC72" t="s">
        <v>1408</v>
      </c>
      <c r="AD72" t="s">
        <v>1409</v>
      </c>
      <c r="AE72" t="s">
        <v>1410</v>
      </c>
      <c r="AF72" t="s">
        <v>74</v>
      </c>
      <c r="AG72">
        <v>23</v>
      </c>
      <c r="AH72">
        <v>3</v>
      </c>
      <c r="AI72">
        <v>3</v>
      </c>
      <c r="AJ72">
        <v>0</v>
      </c>
      <c r="AK72">
        <v>5</v>
      </c>
      <c r="AL72" t="s">
        <v>1411</v>
      </c>
      <c r="AM72" t="s">
        <v>1412</v>
      </c>
      <c r="AN72" t="s">
        <v>1413</v>
      </c>
      <c r="AO72" t="s">
        <v>1414</v>
      </c>
      <c r="AP72" t="s">
        <v>1415</v>
      </c>
      <c r="AQ72" t="s">
        <v>74</v>
      </c>
      <c r="AR72" t="s">
        <v>1416</v>
      </c>
      <c r="AS72" t="s">
        <v>1417</v>
      </c>
      <c r="AT72" t="s">
        <v>74</v>
      </c>
      <c r="AU72">
        <v>2016</v>
      </c>
      <c r="AV72">
        <v>30</v>
      </c>
      <c r="AW72">
        <v>4</v>
      </c>
      <c r="AX72" t="s">
        <v>74</v>
      </c>
      <c r="AY72" t="s">
        <v>74</v>
      </c>
      <c r="AZ72" t="s">
        <v>74</v>
      </c>
      <c r="BA72" t="s">
        <v>74</v>
      </c>
      <c r="BB72">
        <v>393</v>
      </c>
      <c r="BC72">
        <v>400</v>
      </c>
      <c r="BD72" t="s">
        <v>74</v>
      </c>
      <c r="BE72" t="s">
        <v>1418</v>
      </c>
      <c r="BF72" t="str">
        <f>HYPERLINK("http://dx.doi.org/10.15255/CABEQ.2015.2276","http://dx.doi.org/10.15255/CABEQ.2015.2276")</f>
        <v>http://dx.doi.org/10.15255/CABEQ.2015.2276</v>
      </c>
      <c r="BG72" t="s">
        <v>74</v>
      </c>
      <c r="BH72" t="s">
        <v>74</v>
      </c>
      <c r="BI72">
        <v>8</v>
      </c>
      <c r="BJ72" t="s">
        <v>1419</v>
      </c>
      <c r="BK72" t="s">
        <v>264</v>
      </c>
      <c r="BL72" t="s">
        <v>1420</v>
      </c>
      <c r="BM72" t="s">
        <v>1421</v>
      </c>
      <c r="BN72" t="s">
        <v>74</v>
      </c>
      <c r="BO72" t="s">
        <v>1422</v>
      </c>
      <c r="BP72" t="s">
        <v>74</v>
      </c>
      <c r="BQ72" t="s">
        <v>74</v>
      </c>
      <c r="BR72" t="s">
        <v>100</v>
      </c>
      <c r="BS72" t="s">
        <v>1423</v>
      </c>
      <c r="BT72" t="str">
        <f>HYPERLINK("https%3A%2F%2Fwww.webofscience.com%2Fwos%2Fwoscc%2Ffull-record%2FWOS:000392646300002","View Full Record in Web of Science")</f>
        <v>View Full Record in Web of Science</v>
      </c>
    </row>
    <row r="73" spans="1:72" x14ac:dyDescent="0.15">
      <c r="A73" t="s">
        <v>267</v>
      </c>
      <c r="B73" t="s">
        <v>1424</v>
      </c>
      <c r="C73" t="s">
        <v>74</v>
      </c>
      <c r="D73" t="s">
        <v>1425</v>
      </c>
      <c r="E73" t="s">
        <v>74</v>
      </c>
      <c r="F73" t="s">
        <v>1426</v>
      </c>
      <c r="G73" t="s">
        <v>74</v>
      </c>
      <c r="H73" t="s">
        <v>74</v>
      </c>
      <c r="I73" t="s">
        <v>1427</v>
      </c>
      <c r="J73" t="s">
        <v>1428</v>
      </c>
      <c r="K73" t="s">
        <v>1053</v>
      </c>
      <c r="L73" t="s">
        <v>74</v>
      </c>
      <c r="M73" t="s">
        <v>200</v>
      </c>
      <c r="N73" t="s">
        <v>273</v>
      </c>
      <c r="O73" t="s">
        <v>1429</v>
      </c>
      <c r="P73" t="s">
        <v>1430</v>
      </c>
      <c r="Q73" t="s">
        <v>1129</v>
      </c>
      <c r="R73" t="s">
        <v>74</v>
      </c>
      <c r="S73" t="s">
        <v>74</v>
      </c>
      <c r="T73" t="s">
        <v>1431</v>
      </c>
      <c r="U73" t="s">
        <v>1432</v>
      </c>
      <c r="V73" t="s">
        <v>1433</v>
      </c>
      <c r="W73" t="s">
        <v>1434</v>
      </c>
      <c r="X73" t="s">
        <v>1435</v>
      </c>
      <c r="Y73" t="s">
        <v>1436</v>
      </c>
      <c r="Z73" t="s">
        <v>74</v>
      </c>
      <c r="AA73" t="s">
        <v>74</v>
      </c>
      <c r="AB73" t="s">
        <v>1437</v>
      </c>
      <c r="AC73" t="s">
        <v>74</v>
      </c>
      <c r="AD73" t="s">
        <v>74</v>
      </c>
      <c r="AE73" t="s">
        <v>74</v>
      </c>
      <c r="AF73" t="s">
        <v>74</v>
      </c>
      <c r="AG73">
        <v>23</v>
      </c>
      <c r="AH73">
        <v>0</v>
      </c>
      <c r="AI73">
        <v>0</v>
      </c>
      <c r="AJ73">
        <v>0</v>
      </c>
      <c r="AK73">
        <v>0</v>
      </c>
      <c r="AL73" t="s">
        <v>1067</v>
      </c>
      <c r="AM73" t="s">
        <v>1068</v>
      </c>
      <c r="AN73" t="s">
        <v>1069</v>
      </c>
      <c r="AO73" t="s">
        <v>1070</v>
      </c>
      <c r="AP73" t="s">
        <v>1107</v>
      </c>
      <c r="AQ73" t="s">
        <v>1438</v>
      </c>
      <c r="AR73" t="s">
        <v>1072</v>
      </c>
      <c r="AS73" t="s">
        <v>74</v>
      </c>
      <c r="AT73" t="s">
        <v>74</v>
      </c>
      <c r="AU73">
        <v>2016</v>
      </c>
      <c r="AV73">
        <v>9908</v>
      </c>
      <c r="AW73" t="s">
        <v>74</v>
      </c>
      <c r="AX73" t="s">
        <v>74</v>
      </c>
      <c r="AY73" t="s">
        <v>74</v>
      </c>
      <c r="AZ73" t="s">
        <v>74</v>
      </c>
      <c r="BA73" t="s">
        <v>74</v>
      </c>
      <c r="BB73" t="s">
        <v>74</v>
      </c>
      <c r="BC73" t="s">
        <v>74</v>
      </c>
      <c r="BD73" t="s">
        <v>1439</v>
      </c>
      <c r="BE73" t="s">
        <v>1440</v>
      </c>
      <c r="BF73" t="str">
        <f>HYPERLINK("http://dx.doi.org/10.1117/12.2231652","http://dx.doi.org/10.1117/12.2231652")</f>
        <v>http://dx.doi.org/10.1117/12.2231652</v>
      </c>
      <c r="BG73" t="s">
        <v>74</v>
      </c>
      <c r="BH73" t="s">
        <v>74</v>
      </c>
      <c r="BI73">
        <v>10</v>
      </c>
      <c r="BJ73" t="s">
        <v>1441</v>
      </c>
      <c r="BK73" t="s">
        <v>293</v>
      </c>
      <c r="BL73" t="s">
        <v>1441</v>
      </c>
      <c r="BM73" t="s">
        <v>1442</v>
      </c>
      <c r="BN73" t="s">
        <v>74</v>
      </c>
      <c r="BO73" t="s">
        <v>74</v>
      </c>
      <c r="BP73" t="s">
        <v>74</v>
      </c>
      <c r="BQ73" t="s">
        <v>74</v>
      </c>
      <c r="BR73" t="s">
        <v>100</v>
      </c>
      <c r="BS73" t="s">
        <v>1443</v>
      </c>
      <c r="BT73" t="str">
        <f>HYPERLINK("https%3A%2F%2Fwww.webofscience.com%2Fwos%2Fwoscc%2Ffull-record%2FWOS:000391509100259","View Full Record in Web of Science")</f>
        <v>View Full Record in Web of Science</v>
      </c>
    </row>
    <row r="74" spans="1:72" x14ac:dyDescent="0.15">
      <c r="A74" t="s">
        <v>267</v>
      </c>
      <c r="B74" t="s">
        <v>1444</v>
      </c>
      <c r="C74" t="s">
        <v>74</v>
      </c>
      <c r="D74" t="s">
        <v>1425</v>
      </c>
      <c r="E74" t="s">
        <v>74</v>
      </c>
      <c r="F74" t="s">
        <v>1445</v>
      </c>
      <c r="G74" t="s">
        <v>74</v>
      </c>
      <c r="H74" t="s">
        <v>74</v>
      </c>
      <c r="I74" t="s">
        <v>1446</v>
      </c>
      <c r="J74" t="s">
        <v>1428</v>
      </c>
      <c r="K74" t="s">
        <v>1053</v>
      </c>
      <c r="L74" t="s">
        <v>74</v>
      </c>
      <c r="M74" t="s">
        <v>200</v>
      </c>
      <c r="N74" t="s">
        <v>273</v>
      </c>
      <c r="O74" t="s">
        <v>1429</v>
      </c>
      <c r="P74" t="s">
        <v>1430</v>
      </c>
      <c r="Q74" t="s">
        <v>1129</v>
      </c>
      <c r="R74" t="s">
        <v>74</v>
      </c>
      <c r="S74" t="s">
        <v>74</v>
      </c>
      <c r="T74" t="s">
        <v>1447</v>
      </c>
      <c r="U74" t="s">
        <v>1448</v>
      </c>
      <c r="V74" t="s">
        <v>1449</v>
      </c>
      <c r="W74" t="s">
        <v>1450</v>
      </c>
      <c r="X74" t="s">
        <v>1451</v>
      </c>
      <c r="Y74" t="s">
        <v>1452</v>
      </c>
      <c r="Z74" t="s">
        <v>1453</v>
      </c>
      <c r="AA74" t="s">
        <v>74</v>
      </c>
      <c r="AB74" t="s">
        <v>74</v>
      </c>
      <c r="AC74" t="s">
        <v>74</v>
      </c>
      <c r="AD74" t="s">
        <v>74</v>
      </c>
      <c r="AE74" t="s">
        <v>74</v>
      </c>
      <c r="AF74" t="s">
        <v>74</v>
      </c>
      <c r="AG74">
        <v>14</v>
      </c>
      <c r="AH74">
        <v>1</v>
      </c>
      <c r="AI74">
        <v>1</v>
      </c>
      <c r="AJ74">
        <v>0</v>
      </c>
      <c r="AK74">
        <v>0</v>
      </c>
      <c r="AL74" t="s">
        <v>1067</v>
      </c>
      <c r="AM74" t="s">
        <v>1068</v>
      </c>
      <c r="AN74" t="s">
        <v>1069</v>
      </c>
      <c r="AO74" t="s">
        <v>1070</v>
      </c>
      <c r="AP74" t="s">
        <v>1107</v>
      </c>
      <c r="AQ74" t="s">
        <v>1438</v>
      </c>
      <c r="AR74" t="s">
        <v>1072</v>
      </c>
      <c r="AS74" t="s">
        <v>74</v>
      </c>
      <c r="AT74" t="s">
        <v>74</v>
      </c>
      <c r="AU74">
        <v>2016</v>
      </c>
      <c r="AV74">
        <v>9908</v>
      </c>
      <c r="AW74" t="s">
        <v>74</v>
      </c>
      <c r="AX74" t="s">
        <v>74</v>
      </c>
      <c r="AY74" t="s">
        <v>74</v>
      </c>
      <c r="AZ74" t="s">
        <v>74</v>
      </c>
      <c r="BA74" t="s">
        <v>74</v>
      </c>
      <c r="BB74" t="s">
        <v>74</v>
      </c>
      <c r="BC74" t="s">
        <v>74</v>
      </c>
      <c r="BD74" t="s">
        <v>1454</v>
      </c>
      <c r="BE74" t="s">
        <v>1455</v>
      </c>
      <c r="BF74" t="str">
        <f>HYPERLINK("http://dx.doi.org/10.1117/12.2230486","http://dx.doi.org/10.1117/12.2230486")</f>
        <v>http://dx.doi.org/10.1117/12.2230486</v>
      </c>
      <c r="BG74" t="s">
        <v>74</v>
      </c>
      <c r="BH74" t="s">
        <v>74</v>
      </c>
      <c r="BI74">
        <v>7</v>
      </c>
      <c r="BJ74" t="s">
        <v>1441</v>
      </c>
      <c r="BK74" t="s">
        <v>293</v>
      </c>
      <c r="BL74" t="s">
        <v>1441</v>
      </c>
      <c r="BM74" t="s">
        <v>1442</v>
      </c>
      <c r="BN74" t="s">
        <v>74</v>
      </c>
      <c r="BO74" t="s">
        <v>74</v>
      </c>
      <c r="BP74" t="s">
        <v>74</v>
      </c>
      <c r="BQ74" t="s">
        <v>74</v>
      </c>
      <c r="BR74" t="s">
        <v>100</v>
      </c>
      <c r="BS74" t="s">
        <v>1456</v>
      </c>
      <c r="BT74" t="str">
        <f>HYPERLINK("https%3A%2F%2Fwww.webofscience.com%2Fwos%2Fwoscc%2Ffull-record%2FWOS:000391509100101","View Full Record in Web of Science")</f>
        <v>View Full Record in Web of Science</v>
      </c>
    </row>
    <row r="75" spans="1:72" x14ac:dyDescent="0.15">
      <c r="A75" t="s">
        <v>72</v>
      </c>
      <c r="B75" t="s">
        <v>1457</v>
      </c>
      <c r="C75" t="s">
        <v>74</v>
      </c>
      <c r="D75" t="s">
        <v>74</v>
      </c>
      <c r="E75" t="s">
        <v>74</v>
      </c>
      <c r="F75" t="s">
        <v>1458</v>
      </c>
      <c r="G75" t="s">
        <v>74</v>
      </c>
      <c r="H75" t="s">
        <v>74</v>
      </c>
      <c r="I75" t="s">
        <v>1459</v>
      </c>
      <c r="J75" t="s">
        <v>1460</v>
      </c>
      <c r="K75" t="s">
        <v>74</v>
      </c>
      <c r="L75" t="s">
        <v>74</v>
      </c>
      <c r="M75" t="s">
        <v>200</v>
      </c>
      <c r="N75" t="s">
        <v>79</v>
      </c>
      <c r="O75" t="s">
        <v>74</v>
      </c>
      <c r="P75" t="s">
        <v>74</v>
      </c>
      <c r="Q75" t="s">
        <v>74</v>
      </c>
      <c r="R75" t="s">
        <v>74</v>
      </c>
      <c r="S75" t="s">
        <v>74</v>
      </c>
      <c r="T75" t="s">
        <v>1461</v>
      </c>
      <c r="U75" t="s">
        <v>1462</v>
      </c>
      <c r="V75" t="s">
        <v>1463</v>
      </c>
      <c r="W75" t="s">
        <v>1464</v>
      </c>
      <c r="X75" t="s">
        <v>1465</v>
      </c>
      <c r="Y75" t="s">
        <v>1466</v>
      </c>
      <c r="Z75" t="s">
        <v>1467</v>
      </c>
      <c r="AA75" t="s">
        <v>1468</v>
      </c>
      <c r="AB75" t="s">
        <v>1469</v>
      </c>
      <c r="AC75" t="s">
        <v>1470</v>
      </c>
      <c r="AD75" t="s">
        <v>1471</v>
      </c>
      <c r="AE75" t="s">
        <v>1472</v>
      </c>
      <c r="AF75" t="s">
        <v>74</v>
      </c>
      <c r="AG75">
        <v>37</v>
      </c>
      <c r="AH75">
        <v>4</v>
      </c>
      <c r="AI75">
        <v>4</v>
      </c>
      <c r="AJ75">
        <v>0</v>
      </c>
      <c r="AK75">
        <v>4</v>
      </c>
      <c r="AL75" t="s">
        <v>1473</v>
      </c>
      <c r="AM75" t="s">
        <v>1474</v>
      </c>
      <c r="AN75" t="s">
        <v>1475</v>
      </c>
      <c r="AO75" t="s">
        <v>1476</v>
      </c>
      <c r="AP75" t="s">
        <v>74</v>
      </c>
      <c r="AQ75" t="s">
        <v>74</v>
      </c>
      <c r="AR75" t="s">
        <v>1460</v>
      </c>
      <c r="AS75" t="s">
        <v>1477</v>
      </c>
      <c r="AT75" t="s">
        <v>74</v>
      </c>
      <c r="AU75">
        <v>2016</v>
      </c>
      <c r="AV75">
        <v>26</v>
      </c>
      <c r="AW75">
        <v>2</v>
      </c>
      <c r="AX75" t="s">
        <v>74</v>
      </c>
      <c r="AY75" t="s">
        <v>74</v>
      </c>
      <c r="AZ75" t="s">
        <v>74</v>
      </c>
      <c r="BA75" t="s">
        <v>74</v>
      </c>
      <c r="BB75">
        <v>233</v>
      </c>
      <c r="BC75">
        <v>239</v>
      </c>
      <c r="BD75" t="s">
        <v>74</v>
      </c>
      <c r="BE75" t="s">
        <v>1478</v>
      </c>
      <c r="BF75" t="str">
        <f>HYPERLINK("http://dx.doi.org/10.24275/uam/izt/dcbs/hidro/2016v26n2/Bernardi","http://dx.doi.org/10.24275/uam/izt/dcbs/hidro/2016v26n2/Bernardi")</f>
        <v>http://dx.doi.org/10.24275/uam/izt/dcbs/hidro/2016v26n2/Bernardi</v>
      </c>
      <c r="BG75" t="s">
        <v>74</v>
      </c>
      <c r="BH75" t="s">
        <v>74</v>
      </c>
      <c r="BI75">
        <v>7</v>
      </c>
      <c r="BJ75" t="s">
        <v>1479</v>
      </c>
      <c r="BK75" t="s">
        <v>264</v>
      </c>
      <c r="BL75" t="s">
        <v>1479</v>
      </c>
      <c r="BM75" t="s">
        <v>1480</v>
      </c>
      <c r="BN75" t="s">
        <v>74</v>
      </c>
      <c r="BO75" t="s">
        <v>486</v>
      </c>
      <c r="BP75" t="s">
        <v>74</v>
      </c>
      <c r="BQ75" t="s">
        <v>74</v>
      </c>
      <c r="BR75" t="s">
        <v>100</v>
      </c>
      <c r="BS75" t="s">
        <v>1481</v>
      </c>
      <c r="BT75" t="str">
        <f>HYPERLINK("https%3A%2F%2Fwww.webofscience.com%2Fwos%2Fwoscc%2Ffull-record%2FWOS:000392826100007","View Full Record in Web of Science")</f>
        <v>View Full Record in Web of Science</v>
      </c>
    </row>
    <row r="76" spans="1:72" x14ac:dyDescent="0.15">
      <c r="A76" t="s">
        <v>267</v>
      </c>
      <c r="B76" t="s">
        <v>1482</v>
      </c>
      <c r="C76" t="s">
        <v>74</v>
      </c>
      <c r="D76" t="s">
        <v>74</v>
      </c>
      <c r="E76" t="s">
        <v>768</v>
      </c>
      <c r="F76" t="s">
        <v>1483</v>
      </c>
      <c r="G76" t="s">
        <v>74</v>
      </c>
      <c r="H76" t="s">
        <v>74</v>
      </c>
      <c r="I76" t="s">
        <v>1484</v>
      </c>
      <c r="J76" t="s">
        <v>1485</v>
      </c>
      <c r="K76" t="s">
        <v>772</v>
      </c>
      <c r="L76" t="s">
        <v>74</v>
      </c>
      <c r="M76" t="s">
        <v>200</v>
      </c>
      <c r="N76" t="s">
        <v>273</v>
      </c>
      <c r="O76" t="s">
        <v>773</v>
      </c>
      <c r="P76" t="s">
        <v>774</v>
      </c>
      <c r="Q76" t="s">
        <v>775</v>
      </c>
      <c r="R76" t="s">
        <v>74</v>
      </c>
      <c r="S76" t="s">
        <v>74</v>
      </c>
      <c r="T76" t="s">
        <v>1486</v>
      </c>
      <c r="U76" t="s">
        <v>74</v>
      </c>
      <c r="V76" t="s">
        <v>1487</v>
      </c>
      <c r="W76" t="s">
        <v>1488</v>
      </c>
      <c r="X76" t="s">
        <v>1489</v>
      </c>
      <c r="Y76" t="s">
        <v>1490</v>
      </c>
      <c r="Z76" t="s">
        <v>74</v>
      </c>
      <c r="AA76" t="s">
        <v>1491</v>
      </c>
      <c r="AB76" t="s">
        <v>1492</v>
      </c>
      <c r="AC76" t="s">
        <v>74</v>
      </c>
      <c r="AD76" t="s">
        <v>74</v>
      </c>
      <c r="AE76" t="s">
        <v>74</v>
      </c>
      <c r="AF76" t="s">
        <v>74</v>
      </c>
      <c r="AG76">
        <v>15</v>
      </c>
      <c r="AH76">
        <v>1</v>
      </c>
      <c r="AI76">
        <v>1</v>
      </c>
      <c r="AJ76">
        <v>0</v>
      </c>
      <c r="AK76">
        <v>2</v>
      </c>
      <c r="AL76" t="s">
        <v>785</v>
      </c>
      <c r="AM76" t="s">
        <v>786</v>
      </c>
      <c r="AN76" t="s">
        <v>787</v>
      </c>
      <c r="AO76" t="s">
        <v>788</v>
      </c>
      <c r="AP76" t="s">
        <v>74</v>
      </c>
      <c r="AQ76" t="s">
        <v>1493</v>
      </c>
      <c r="AR76" t="s">
        <v>790</v>
      </c>
      <c r="AS76" t="s">
        <v>74</v>
      </c>
      <c r="AT76" t="s">
        <v>74</v>
      </c>
      <c r="AU76">
        <v>2016</v>
      </c>
      <c r="AV76" t="s">
        <v>74</v>
      </c>
      <c r="AW76" t="s">
        <v>74</v>
      </c>
      <c r="AX76" t="s">
        <v>74</v>
      </c>
      <c r="AY76" t="s">
        <v>74</v>
      </c>
      <c r="AZ76" t="s">
        <v>74</v>
      </c>
      <c r="BA76" t="s">
        <v>74</v>
      </c>
      <c r="BB76">
        <v>117</v>
      </c>
      <c r="BC76">
        <v>124</v>
      </c>
      <c r="BD76" t="s">
        <v>74</v>
      </c>
      <c r="BE76" t="s">
        <v>74</v>
      </c>
      <c r="BF76" t="s">
        <v>74</v>
      </c>
      <c r="BG76" t="s">
        <v>74</v>
      </c>
      <c r="BH76" t="s">
        <v>74</v>
      </c>
      <c r="BI76">
        <v>8</v>
      </c>
      <c r="BJ76" t="s">
        <v>1494</v>
      </c>
      <c r="BK76" t="s">
        <v>293</v>
      </c>
      <c r="BL76" t="s">
        <v>1495</v>
      </c>
      <c r="BM76" t="s">
        <v>1496</v>
      </c>
      <c r="BN76" t="s">
        <v>74</v>
      </c>
      <c r="BO76" t="s">
        <v>74</v>
      </c>
      <c r="BP76" t="s">
        <v>74</v>
      </c>
      <c r="BQ76" t="s">
        <v>74</v>
      </c>
      <c r="BR76" t="s">
        <v>100</v>
      </c>
      <c r="BS76" t="s">
        <v>1497</v>
      </c>
      <c r="BT76" t="str">
        <f>HYPERLINK("https%3A%2F%2Fwww.webofscience.com%2Fwos%2Fwoscc%2Ffull-record%2FWOS:000391519600016","View Full Record in Web of Science")</f>
        <v>View Full Record in Web of Science</v>
      </c>
    </row>
    <row r="77" spans="1:72" x14ac:dyDescent="0.15">
      <c r="A77" t="s">
        <v>267</v>
      </c>
      <c r="B77" t="s">
        <v>1498</v>
      </c>
      <c r="C77" t="s">
        <v>74</v>
      </c>
      <c r="D77" t="s">
        <v>74</v>
      </c>
      <c r="E77" t="s">
        <v>269</v>
      </c>
      <c r="F77" t="s">
        <v>1499</v>
      </c>
      <c r="G77" t="s">
        <v>74</v>
      </c>
      <c r="H77" t="s">
        <v>74</v>
      </c>
      <c r="I77" t="s">
        <v>1500</v>
      </c>
      <c r="J77" t="s">
        <v>1501</v>
      </c>
      <c r="K77" t="s">
        <v>1502</v>
      </c>
      <c r="L77" t="s">
        <v>74</v>
      </c>
      <c r="M77" t="s">
        <v>200</v>
      </c>
      <c r="N77" t="s">
        <v>273</v>
      </c>
      <c r="O77" t="s">
        <v>1503</v>
      </c>
      <c r="P77" t="s">
        <v>1504</v>
      </c>
      <c r="Q77" t="s">
        <v>1505</v>
      </c>
      <c r="R77" t="s">
        <v>74</v>
      </c>
      <c r="S77" t="s">
        <v>74</v>
      </c>
      <c r="T77" t="s">
        <v>74</v>
      </c>
      <c r="U77" t="s">
        <v>74</v>
      </c>
      <c r="V77" t="s">
        <v>1506</v>
      </c>
      <c r="W77" t="s">
        <v>1507</v>
      </c>
      <c r="X77" t="s">
        <v>1508</v>
      </c>
      <c r="Y77" t="s">
        <v>1509</v>
      </c>
      <c r="Z77" t="s">
        <v>1510</v>
      </c>
      <c r="AA77" t="s">
        <v>74</v>
      </c>
      <c r="AB77" t="s">
        <v>74</v>
      </c>
      <c r="AC77" t="s">
        <v>74</v>
      </c>
      <c r="AD77" t="s">
        <v>74</v>
      </c>
      <c r="AE77" t="s">
        <v>74</v>
      </c>
      <c r="AF77" t="s">
        <v>74</v>
      </c>
      <c r="AG77">
        <v>18</v>
      </c>
      <c r="AH77">
        <v>1</v>
      </c>
      <c r="AI77">
        <v>1</v>
      </c>
      <c r="AJ77">
        <v>0</v>
      </c>
      <c r="AK77">
        <v>0</v>
      </c>
      <c r="AL77" t="s">
        <v>269</v>
      </c>
      <c r="AM77" t="s">
        <v>289</v>
      </c>
      <c r="AN77" t="s">
        <v>290</v>
      </c>
      <c r="AO77" t="s">
        <v>1511</v>
      </c>
      <c r="AP77" t="s">
        <v>74</v>
      </c>
      <c r="AQ77" t="s">
        <v>1512</v>
      </c>
      <c r="AR77" t="s">
        <v>1513</v>
      </c>
      <c r="AS77" t="s">
        <v>74</v>
      </c>
      <c r="AT77" t="s">
        <v>74</v>
      </c>
      <c r="AU77">
        <v>2016</v>
      </c>
      <c r="AV77" t="s">
        <v>74</v>
      </c>
      <c r="AW77" t="s">
        <v>74</v>
      </c>
      <c r="AX77" t="s">
        <v>74</v>
      </c>
      <c r="AY77" t="s">
        <v>74</v>
      </c>
      <c r="AZ77" t="s">
        <v>74</v>
      </c>
      <c r="BA77" t="s">
        <v>74</v>
      </c>
      <c r="BB77">
        <v>729</v>
      </c>
      <c r="BC77">
        <v>734</v>
      </c>
      <c r="BD77" t="s">
        <v>74</v>
      </c>
      <c r="BE77" t="s">
        <v>74</v>
      </c>
      <c r="BF77" t="s">
        <v>74</v>
      </c>
      <c r="BG77" t="s">
        <v>74</v>
      </c>
      <c r="BH77" t="s">
        <v>74</v>
      </c>
      <c r="BI77">
        <v>6</v>
      </c>
      <c r="BJ77" t="s">
        <v>1514</v>
      </c>
      <c r="BK77" t="s">
        <v>293</v>
      </c>
      <c r="BL77" t="s">
        <v>1514</v>
      </c>
      <c r="BM77" t="s">
        <v>1515</v>
      </c>
      <c r="BN77" t="s">
        <v>74</v>
      </c>
      <c r="BO77" t="s">
        <v>74</v>
      </c>
      <c r="BP77" t="s">
        <v>74</v>
      </c>
      <c r="BQ77" t="s">
        <v>74</v>
      </c>
      <c r="BR77" t="s">
        <v>100</v>
      </c>
      <c r="BS77" t="s">
        <v>1516</v>
      </c>
      <c r="BT77" t="str">
        <f>HYPERLINK("https%3A%2F%2Fwww.webofscience.com%2Fwos%2Fwoscc%2Ffull-record%2FWOS:000391433600124","View Full Record in Web of Science")</f>
        <v>View Full Record in Web of Science</v>
      </c>
    </row>
    <row r="78" spans="1:72" x14ac:dyDescent="0.15">
      <c r="A78" t="s">
        <v>267</v>
      </c>
      <c r="B78" t="s">
        <v>1517</v>
      </c>
      <c r="C78" t="s">
        <v>74</v>
      </c>
      <c r="D78" t="s">
        <v>1518</v>
      </c>
      <c r="E78" t="s">
        <v>74</v>
      </c>
      <c r="F78" t="s">
        <v>1519</v>
      </c>
      <c r="G78" t="s">
        <v>74</v>
      </c>
      <c r="H78" t="s">
        <v>74</v>
      </c>
      <c r="I78" t="s">
        <v>1520</v>
      </c>
      <c r="J78" t="s">
        <v>1521</v>
      </c>
      <c r="K78" t="s">
        <v>74</v>
      </c>
      <c r="L78" t="s">
        <v>74</v>
      </c>
      <c r="M78" t="s">
        <v>200</v>
      </c>
      <c r="N78" t="s">
        <v>273</v>
      </c>
      <c r="O78" t="s">
        <v>1522</v>
      </c>
      <c r="P78" t="s">
        <v>1523</v>
      </c>
      <c r="Q78" t="s">
        <v>1524</v>
      </c>
      <c r="R78" t="s">
        <v>74</v>
      </c>
      <c r="S78" t="s">
        <v>1525</v>
      </c>
      <c r="T78" t="s">
        <v>1526</v>
      </c>
      <c r="U78" t="s">
        <v>74</v>
      </c>
      <c r="V78" t="s">
        <v>1527</v>
      </c>
      <c r="W78" t="s">
        <v>1528</v>
      </c>
      <c r="X78" t="s">
        <v>1529</v>
      </c>
      <c r="Y78" t="s">
        <v>1530</v>
      </c>
      <c r="Z78" t="s">
        <v>1531</v>
      </c>
      <c r="AA78" t="s">
        <v>1532</v>
      </c>
      <c r="AB78" t="s">
        <v>1533</v>
      </c>
      <c r="AC78" t="s">
        <v>74</v>
      </c>
      <c r="AD78" t="s">
        <v>74</v>
      </c>
      <c r="AE78" t="s">
        <v>74</v>
      </c>
      <c r="AF78" t="s">
        <v>74</v>
      </c>
      <c r="AG78">
        <v>13</v>
      </c>
      <c r="AH78">
        <v>3</v>
      </c>
      <c r="AI78">
        <v>3</v>
      </c>
      <c r="AJ78">
        <v>0</v>
      </c>
      <c r="AK78">
        <v>4</v>
      </c>
      <c r="AL78" t="s">
        <v>269</v>
      </c>
      <c r="AM78" t="s">
        <v>289</v>
      </c>
      <c r="AN78" t="s">
        <v>290</v>
      </c>
      <c r="AO78" t="s">
        <v>74</v>
      </c>
      <c r="AP78" t="s">
        <v>74</v>
      </c>
      <c r="AQ78" t="s">
        <v>1534</v>
      </c>
      <c r="AR78" t="s">
        <v>74</v>
      </c>
      <c r="AS78" t="s">
        <v>74</v>
      </c>
      <c r="AT78" t="s">
        <v>74</v>
      </c>
      <c r="AU78">
        <v>2016</v>
      </c>
      <c r="AV78" t="s">
        <v>74</v>
      </c>
      <c r="AW78" t="s">
        <v>74</v>
      </c>
      <c r="AX78" t="s">
        <v>74</v>
      </c>
      <c r="AY78" t="s">
        <v>74</v>
      </c>
      <c r="AZ78" t="s">
        <v>74</v>
      </c>
      <c r="BA78" t="s">
        <v>74</v>
      </c>
      <c r="BB78">
        <v>210</v>
      </c>
      <c r="BC78">
        <v>214</v>
      </c>
      <c r="BD78" t="s">
        <v>74</v>
      </c>
      <c r="BE78" t="s">
        <v>1535</v>
      </c>
      <c r="BF78" t="str">
        <f>HYPERLINK("http://dx.doi.org/10.1109/CISIS.2016.73","http://dx.doi.org/10.1109/CISIS.2016.73")</f>
        <v>http://dx.doi.org/10.1109/CISIS.2016.73</v>
      </c>
      <c r="BG78" t="s">
        <v>74</v>
      </c>
      <c r="BH78" t="s">
        <v>74</v>
      </c>
      <c r="BI78">
        <v>5</v>
      </c>
      <c r="BJ78" t="s">
        <v>1536</v>
      </c>
      <c r="BK78" t="s">
        <v>293</v>
      </c>
      <c r="BL78" t="s">
        <v>1537</v>
      </c>
      <c r="BM78" t="s">
        <v>1538</v>
      </c>
      <c r="BN78" t="s">
        <v>74</v>
      </c>
      <c r="BO78" t="s">
        <v>74</v>
      </c>
      <c r="BP78" t="s">
        <v>74</v>
      </c>
      <c r="BQ78" t="s">
        <v>74</v>
      </c>
      <c r="BR78" t="s">
        <v>100</v>
      </c>
      <c r="BS78" t="s">
        <v>1539</v>
      </c>
      <c r="BT78" t="str">
        <f>HYPERLINK("https%3A%2F%2Fwww.webofscience.com%2Fwos%2Fwoscc%2Ffull-record%2FWOS:000391528700031","View Full Record in Web of Science")</f>
        <v>View Full Record in Web of Science</v>
      </c>
    </row>
    <row r="79" spans="1:72" x14ac:dyDescent="0.15">
      <c r="A79" t="s">
        <v>267</v>
      </c>
      <c r="B79" t="s">
        <v>1540</v>
      </c>
      <c r="C79" t="s">
        <v>74</v>
      </c>
      <c r="D79" t="s">
        <v>74</v>
      </c>
      <c r="E79" t="s">
        <v>1541</v>
      </c>
      <c r="F79" t="s">
        <v>1542</v>
      </c>
      <c r="G79" t="s">
        <v>74</v>
      </c>
      <c r="H79" t="s">
        <v>74</v>
      </c>
      <c r="I79" t="s">
        <v>1543</v>
      </c>
      <c r="J79" t="s">
        <v>1544</v>
      </c>
      <c r="K79" t="s">
        <v>1545</v>
      </c>
      <c r="L79" t="s">
        <v>74</v>
      </c>
      <c r="M79" t="s">
        <v>200</v>
      </c>
      <c r="N79" t="s">
        <v>273</v>
      </c>
      <c r="O79" t="s">
        <v>1546</v>
      </c>
      <c r="P79" t="s">
        <v>1547</v>
      </c>
      <c r="Q79" t="s">
        <v>1548</v>
      </c>
      <c r="R79" t="s">
        <v>74</v>
      </c>
      <c r="S79" t="s">
        <v>74</v>
      </c>
      <c r="T79" t="s">
        <v>1549</v>
      </c>
      <c r="U79" t="s">
        <v>1550</v>
      </c>
      <c r="V79" t="s">
        <v>1551</v>
      </c>
      <c r="W79" t="s">
        <v>1552</v>
      </c>
      <c r="X79" t="s">
        <v>1553</v>
      </c>
      <c r="Y79" t="s">
        <v>1554</v>
      </c>
      <c r="Z79" t="s">
        <v>1555</v>
      </c>
      <c r="AA79" t="s">
        <v>1556</v>
      </c>
      <c r="AB79" t="s">
        <v>1557</v>
      </c>
      <c r="AC79" t="s">
        <v>74</v>
      </c>
      <c r="AD79" t="s">
        <v>74</v>
      </c>
      <c r="AE79" t="s">
        <v>74</v>
      </c>
      <c r="AF79" t="s">
        <v>74</v>
      </c>
      <c r="AG79">
        <v>86</v>
      </c>
      <c r="AH79">
        <v>2</v>
      </c>
      <c r="AI79">
        <v>3</v>
      </c>
      <c r="AJ79">
        <v>0</v>
      </c>
      <c r="AK79">
        <v>5</v>
      </c>
      <c r="AL79" t="s">
        <v>1558</v>
      </c>
      <c r="AM79" t="s">
        <v>1559</v>
      </c>
      <c r="AN79" t="s">
        <v>1560</v>
      </c>
      <c r="AO79" t="s">
        <v>1561</v>
      </c>
      <c r="AP79" t="s">
        <v>1562</v>
      </c>
      <c r="AQ79" t="s">
        <v>74</v>
      </c>
      <c r="AR79" t="s">
        <v>1563</v>
      </c>
      <c r="AS79" t="s">
        <v>74</v>
      </c>
      <c r="AT79" t="s">
        <v>74</v>
      </c>
      <c r="AU79">
        <v>2016</v>
      </c>
      <c r="AV79" t="s">
        <v>74</v>
      </c>
      <c r="AW79" t="s">
        <v>74</v>
      </c>
      <c r="AX79" t="s">
        <v>74</v>
      </c>
      <c r="AY79" t="s">
        <v>74</v>
      </c>
      <c r="AZ79" t="s">
        <v>74</v>
      </c>
      <c r="BA79" t="s">
        <v>74</v>
      </c>
      <c r="BB79">
        <v>1617</v>
      </c>
      <c r="BC79">
        <v>1641</v>
      </c>
      <c r="BD79" t="s">
        <v>74</v>
      </c>
      <c r="BE79" t="s">
        <v>74</v>
      </c>
      <c r="BF79" t="s">
        <v>74</v>
      </c>
      <c r="BG79" t="s">
        <v>74</v>
      </c>
      <c r="BH79" t="s">
        <v>74</v>
      </c>
      <c r="BI79">
        <v>25</v>
      </c>
      <c r="BJ79" t="s">
        <v>1514</v>
      </c>
      <c r="BK79" t="s">
        <v>293</v>
      </c>
      <c r="BL79" t="s">
        <v>1514</v>
      </c>
      <c r="BM79" t="s">
        <v>1564</v>
      </c>
      <c r="BN79" t="s">
        <v>74</v>
      </c>
      <c r="BO79" t="s">
        <v>74</v>
      </c>
      <c r="BP79" t="s">
        <v>74</v>
      </c>
      <c r="BQ79" t="s">
        <v>74</v>
      </c>
      <c r="BR79" t="s">
        <v>100</v>
      </c>
      <c r="BS79" t="s">
        <v>1565</v>
      </c>
      <c r="BT79" t="str">
        <f>HYPERLINK("https%3A%2F%2Fwww.webofscience.com%2Fwos%2Fwoscc%2Ffull-record%2FWOS:000391479501060","View Full Record in Web of Science")</f>
        <v>View Full Record in Web of Science</v>
      </c>
    </row>
    <row r="80" spans="1:72" x14ac:dyDescent="0.15">
      <c r="A80" t="s">
        <v>267</v>
      </c>
      <c r="B80" t="s">
        <v>1566</v>
      </c>
      <c r="C80" t="s">
        <v>74</v>
      </c>
      <c r="D80" t="s">
        <v>74</v>
      </c>
      <c r="E80" t="s">
        <v>269</v>
      </c>
      <c r="F80" t="s">
        <v>1567</v>
      </c>
      <c r="G80" t="s">
        <v>74</v>
      </c>
      <c r="H80" t="s">
        <v>74</v>
      </c>
      <c r="I80" t="s">
        <v>1568</v>
      </c>
      <c r="J80" t="s">
        <v>1569</v>
      </c>
      <c r="K80" t="s">
        <v>74</v>
      </c>
      <c r="L80" t="s">
        <v>74</v>
      </c>
      <c r="M80" t="s">
        <v>200</v>
      </c>
      <c r="N80" t="s">
        <v>273</v>
      </c>
      <c r="O80" t="s">
        <v>1570</v>
      </c>
      <c r="P80" t="s">
        <v>1571</v>
      </c>
      <c r="Q80" t="s">
        <v>1572</v>
      </c>
      <c r="R80" t="s">
        <v>74</v>
      </c>
      <c r="S80" t="s">
        <v>74</v>
      </c>
      <c r="T80" t="s">
        <v>74</v>
      </c>
      <c r="U80" t="s">
        <v>1573</v>
      </c>
      <c r="V80" t="s">
        <v>1574</v>
      </c>
      <c r="W80" t="s">
        <v>1575</v>
      </c>
      <c r="X80" t="s">
        <v>1576</v>
      </c>
      <c r="Y80" t="s">
        <v>1577</v>
      </c>
      <c r="Z80" t="s">
        <v>1578</v>
      </c>
      <c r="AA80" t="s">
        <v>74</v>
      </c>
      <c r="AB80" t="s">
        <v>74</v>
      </c>
      <c r="AC80" t="s">
        <v>74</v>
      </c>
      <c r="AD80" t="s">
        <v>74</v>
      </c>
      <c r="AE80" t="s">
        <v>74</v>
      </c>
      <c r="AF80" t="s">
        <v>74</v>
      </c>
      <c r="AG80">
        <v>25</v>
      </c>
      <c r="AH80">
        <v>11</v>
      </c>
      <c r="AI80">
        <v>11</v>
      </c>
      <c r="AJ80">
        <v>0</v>
      </c>
      <c r="AK80">
        <v>0</v>
      </c>
      <c r="AL80" t="s">
        <v>269</v>
      </c>
      <c r="AM80" t="s">
        <v>289</v>
      </c>
      <c r="AN80" t="s">
        <v>290</v>
      </c>
      <c r="AO80" t="s">
        <v>74</v>
      </c>
      <c r="AP80" t="s">
        <v>74</v>
      </c>
      <c r="AQ80" t="s">
        <v>1579</v>
      </c>
      <c r="AR80" t="s">
        <v>74</v>
      </c>
      <c r="AS80" t="s">
        <v>74</v>
      </c>
      <c r="AT80" t="s">
        <v>74</v>
      </c>
      <c r="AU80">
        <v>2016</v>
      </c>
      <c r="AV80" t="s">
        <v>74</v>
      </c>
      <c r="AW80" t="s">
        <v>74</v>
      </c>
      <c r="AX80" t="s">
        <v>74</v>
      </c>
      <c r="AY80" t="s">
        <v>74</v>
      </c>
      <c r="AZ80" t="s">
        <v>74</v>
      </c>
      <c r="BA80" t="s">
        <v>74</v>
      </c>
      <c r="BB80">
        <v>1789</v>
      </c>
      <c r="BC80">
        <v>1796</v>
      </c>
      <c r="BD80" t="s">
        <v>74</v>
      </c>
      <c r="BE80" t="s">
        <v>74</v>
      </c>
      <c r="BF80" t="s">
        <v>74</v>
      </c>
      <c r="BG80" t="s">
        <v>74</v>
      </c>
      <c r="BH80" t="s">
        <v>74</v>
      </c>
      <c r="BI80">
        <v>8</v>
      </c>
      <c r="BJ80" t="s">
        <v>1580</v>
      </c>
      <c r="BK80" t="s">
        <v>293</v>
      </c>
      <c r="BL80" t="s">
        <v>1537</v>
      </c>
      <c r="BM80" t="s">
        <v>1581</v>
      </c>
      <c r="BN80" t="s">
        <v>74</v>
      </c>
      <c r="BO80" t="s">
        <v>74</v>
      </c>
      <c r="BP80" t="s">
        <v>74</v>
      </c>
      <c r="BQ80" t="s">
        <v>74</v>
      </c>
      <c r="BR80" t="s">
        <v>100</v>
      </c>
      <c r="BS80" t="s">
        <v>1582</v>
      </c>
      <c r="BT80" t="str">
        <f>HYPERLINK("https%3A%2F%2Fwww.webofscience.com%2Fwos%2Fwoscc%2Ffull-record%2FWOS:000391273400238","View Full Record in Web of Science")</f>
        <v>View Full Record in Web of Science</v>
      </c>
    </row>
    <row r="81" spans="1:72" x14ac:dyDescent="0.15">
      <c r="A81" t="s">
        <v>267</v>
      </c>
      <c r="B81" t="s">
        <v>1583</v>
      </c>
      <c r="C81" t="s">
        <v>74</v>
      </c>
      <c r="D81" t="s">
        <v>74</v>
      </c>
      <c r="E81" t="s">
        <v>269</v>
      </c>
      <c r="F81" t="s">
        <v>1584</v>
      </c>
      <c r="G81" t="s">
        <v>74</v>
      </c>
      <c r="H81" t="s">
        <v>74</v>
      </c>
      <c r="I81" t="s">
        <v>1585</v>
      </c>
      <c r="J81" t="s">
        <v>1586</v>
      </c>
      <c r="K81" t="s">
        <v>74</v>
      </c>
      <c r="L81" t="s">
        <v>74</v>
      </c>
      <c r="M81" t="s">
        <v>200</v>
      </c>
      <c r="N81" t="s">
        <v>273</v>
      </c>
      <c r="O81" t="s">
        <v>1587</v>
      </c>
      <c r="P81" t="s">
        <v>1588</v>
      </c>
      <c r="Q81" t="s">
        <v>1589</v>
      </c>
      <c r="R81" t="s">
        <v>74</v>
      </c>
      <c r="S81" t="s">
        <v>74</v>
      </c>
      <c r="T81" t="s">
        <v>74</v>
      </c>
      <c r="U81" t="s">
        <v>74</v>
      </c>
      <c r="V81" t="s">
        <v>1590</v>
      </c>
      <c r="W81" t="s">
        <v>1591</v>
      </c>
      <c r="X81" t="s">
        <v>1592</v>
      </c>
      <c r="Y81" t="s">
        <v>1593</v>
      </c>
      <c r="Z81" t="s">
        <v>1594</v>
      </c>
      <c r="AA81" t="s">
        <v>1595</v>
      </c>
      <c r="AB81" t="s">
        <v>1596</v>
      </c>
      <c r="AC81" t="s">
        <v>74</v>
      </c>
      <c r="AD81" t="s">
        <v>74</v>
      </c>
      <c r="AE81" t="s">
        <v>74</v>
      </c>
      <c r="AF81" t="s">
        <v>74</v>
      </c>
      <c r="AG81">
        <v>10</v>
      </c>
      <c r="AH81">
        <v>6</v>
      </c>
      <c r="AI81">
        <v>6</v>
      </c>
      <c r="AJ81">
        <v>0</v>
      </c>
      <c r="AK81">
        <v>1</v>
      </c>
      <c r="AL81" t="s">
        <v>269</v>
      </c>
      <c r="AM81" t="s">
        <v>289</v>
      </c>
      <c r="AN81" t="s">
        <v>290</v>
      </c>
      <c r="AO81" t="s">
        <v>74</v>
      </c>
      <c r="AP81" t="s">
        <v>74</v>
      </c>
      <c r="AQ81" t="s">
        <v>1597</v>
      </c>
      <c r="AR81" t="s">
        <v>74</v>
      </c>
      <c r="AS81" t="s">
        <v>74</v>
      </c>
      <c r="AT81" t="s">
        <v>74</v>
      </c>
      <c r="AU81">
        <v>2016</v>
      </c>
      <c r="AV81" t="s">
        <v>74</v>
      </c>
      <c r="AW81" t="s">
        <v>74</v>
      </c>
      <c r="AX81" t="s">
        <v>74</v>
      </c>
      <c r="AY81" t="s">
        <v>74</v>
      </c>
      <c r="AZ81" t="s">
        <v>74</v>
      </c>
      <c r="BA81" t="s">
        <v>74</v>
      </c>
      <c r="BB81" t="s">
        <v>74</v>
      </c>
      <c r="BC81" t="s">
        <v>74</v>
      </c>
      <c r="BD81" t="s">
        <v>74</v>
      </c>
      <c r="BE81" t="s">
        <v>74</v>
      </c>
      <c r="BF81" t="s">
        <v>74</v>
      </c>
      <c r="BG81" t="s">
        <v>74</v>
      </c>
      <c r="BH81" t="s">
        <v>74</v>
      </c>
      <c r="BI81">
        <v>7</v>
      </c>
      <c r="BJ81" t="s">
        <v>1598</v>
      </c>
      <c r="BK81" t="s">
        <v>293</v>
      </c>
      <c r="BL81" t="s">
        <v>1599</v>
      </c>
      <c r="BM81" t="s">
        <v>1600</v>
      </c>
      <c r="BN81" t="s">
        <v>74</v>
      </c>
      <c r="BO81" t="s">
        <v>74</v>
      </c>
      <c r="BP81" t="s">
        <v>74</v>
      </c>
      <c r="BQ81" t="s">
        <v>74</v>
      </c>
      <c r="BR81" t="s">
        <v>100</v>
      </c>
      <c r="BS81" t="s">
        <v>1601</v>
      </c>
      <c r="BT81" t="str">
        <f>HYPERLINK("https%3A%2F%2Fwww.webofscience.com%2Fwos%2Fwoscc%2Ffull-record%2FWOS:000391255800009","View Full Record in Web of Science")</f>
        <v>View Full Record in Web of Science</v>
      </c>
    </row>
    <row r="82" spans="1:72" x14ac:dyDescent="0.15">
      <c r="A82" t="s">
        <v>267</v>
      </c>
      <c r="B82" t="s">
        <v>1602</v>
      </c>
      <c r="C82" t="s">
        <v>74</v>
      </c>
      <c r="D82" t="s">
        <v>74</v>
      </c>
      <c r="E82" t="s">
        <v>768</v>
      </c>
      <c r="F82" t="s">
        <v>1603</v>
      </c>
      <c r="G82" t="s">
        <v>74</v>
      </c>
      <c r="H82" t="s">
        <v>74</v>
      </c>
      <c r="I82" t="s">
        <v>1604</v>
      </c>
      <c r="J82" t="s">
        <v>1605</v>
      </c>
      <c r="K82" t="s">
        <v>772</v>
      </c>
      <c r="L82" t="s">
        <v>74</v>
      </c>
      <c r="M82" t="s">
        <v>200</v>
      </c>
      <c r="N82" t="s">
        <v>273</v>
      </c>
      <c r="O82" t="s">
        <v>773</v>
      </c>
      <c r="P82" t="s">
        <v>774</v>
      </c>
      <c r="Q82" t="s">
        <v>775</v>
      </c>
      <c r="R82" t="s">
        <v>74</v>
      </c>
      <c r="S82" t="s">
        <v>74</v>
      </c>
      <c r="T82" t="s">
        <v>1606</v>
      </c>
      <c r="U82" t="s">
        <v>74</v>
      </c>
      <c r="V82" t="s">
        <v>1607</v>
      </c>
      <c r="W82" t="s">
        <v>1608</v>
      </c>
      <c r="X82" t="s">
        <v>1489</v>
      </c>
      <c r="Y82" t="s">
        <v>1609</v>
      </c>
      <c r="Z82" t="s">
        <v>74</v>
      </c>
      <c r="AA82" t="s">
        <v>1610</v>
      </c>
      <c r="AB82" t="s">
        <v>1492</v>
      </c>
      <c r="AC82" t="s">
        <v>74</v>
      </c>
      <c r="AD82" t="s">
        <v>74</v>
      </c>
      <c r="AE82" t="s">
        <v>74</v>
      </c>
      <c r="AF82" t="s">
        <v>74</v>
      </c>
      <c r="AG82">
        <v>11</v>
      </c>
      <c r="AH82">
        <v>5</v>
      </c>
      <c r="AI82">
        <v>5</v>
      </c>
      <c r="AJ82">
        <v>0</v>
      </c>
      <c r="AK82">
        <v>4</v>
      </c>
      <c r="AL82" t="s">
        <v>785</v>
      </c>
      <c r="AM82" t="s">
        <v>786</v>
      </c>
      <c r="AN82" t="s">
        <v>787</v>
      </c>
      <c r="AO82" t="s">
        <v>788</v>
      </c>
      <c r="AP82" t="s">
        <v>74</v>
      </c>
      <c r="AQ82" t="s">
        <v>1611</v>
      </c>
      <c r="AR82" t="s">
        <v>790</v>
      </c>
      <c r="AS82" t="s">
        <v>74</v>
      </c>
      <c r="AT82" t="s">
        <v>74</v>
      </c>
      <c r="AU82">
        <v>2016</v>
      </c>
      <c r="AV82" t="s">
        <v>74</v>
      </c>
      <c r="AW82" t="s">
        <v>74</v>
      </c>
      <c r="AX82" t="s">
        <v>74</v>
      </c>
      <c r="AY82" t="s">
        <v>74</v>
      </c>
      <c r="AZ82" t="s">
        <v>74</v>
      </c>
      <c r="BA82" t="s">
        <v>74</v>
      </c>
      <c r="BB82">
        <v>579</v>
      </c>
      <c r="BC82">
        <v>586</v>
      </c>
      <c r="BD82" t="s">
        <v>74</v>
      </c>
      <c r="BE82" t="s">
        <v>74</v>
      </c>
      <c r="BF82" t="s">
        <v>74</v>
      </c>
      <c r="BG82" t="s">
        <v>74</v>
      </c>
      <c r="BH82" t="s">
        <v>74</v>
      </c>
      <c r="BI82">
        <v>8</v>
      </c>
      <c r="BJ82" t="s">
        <v>1612</v>
      </c>
      <c r="BK82" t="s">
        <v>293</v>
      </c>
      <c r="BL82" t="s">
        <v>1613</v>
      </c>
      <c r="BM82" t="s">
        <v>1614</v>
      </c>
      <c r="BN82" t="s">
        <v>74</v>
      </c>
      <c r="BO82" t="s">
        <v>74</v>
      </c>
      <c r="BP82" t="s">
        <v>74</v>
      </c>
      <c r="BQ82" t="s">
        <v>74</v>
      </c>
      <c r="BR82" t="s">
        <v>100</v>
      </c>
      <c r="BS82" t="s">
        <v>1615</v>
      </c>
      <c r="BT82" t="str">
        <f>HYPERLINK("https%3A%2F%2Fwww.webofscience.com%2Fwos%2Fwoscc%2Ffull-record%2FWOS:000391348700074","View Full Record in Web of Science")</f>
        <v>View Full Record in Web of Science</v>
      </c>
    </row>
    <row r="83" spans="1:72" x14ac:dyDescent="0.15">
      <c r="A83" t="s">
        <v>267</v>
      </c>
      <c r="B83" t="s">
        <v>1616</v>
      </c>
      <c r="C83" t="s">
        <v>74</v>
      </c>
      <c r="D83" t="s">
        <v>1617</v>
      </c>
      <c r="E83" t="s">
        <v>74</v>
      </c>
      <c r="F83" t="s">
        <v>1618</v>
      </c>
      <c r="G83" t="s">
        <v>74</v>
      </c>
      <c r="H83" t="s">
        <v>74</v>
      </c>
      <c r="I83" t="s">
        <v>1619</v>
      </c>
      <c r="J83" t="s">
        <v>1620</v>
      </c>
      <c r="K83" t="s">
        <v>1053</v>
      </c>
      <c r="L83" t="s">
        <v>74</v>
      </c>
      <c r="M83" t="s">
        <v>200</v>
      </c>
      <c r="N83" t="s">
        <v>273</v>
      </c>
      <c r="O83" t="s">
        <v>1621</v>
      </c>
      <c r="P83" t="s">
        <v>1622</v>
      </c>
      <c r="Q83" t="s">
        <v>1129</v>
      </c>
      <c r="R83" t="s">
        <v>74</v>
      </c>
      <c r="S83" t="s">
        <v>74</v>
      </c>
      <c r="T83" t="s">
        <v>1623</v>
      </c>
      <c r="U83" t="s">
        <v>74</v>
      </c>
      <c r="V83" t="s">
        <v>1624</v>
      </c>
      <c r="W83" t="s">
        <v>1625</v>
      </c>
      <c r="X83" t="s">
        <v>1626</v>
      </c>
      <c r="Y83" t="s">
        <v>1627</v>
      </c>
      <c r="Z83" t="s">
        <v>1628</v>
      </c>
      <c r="AA83" t="s">
        <v>971</v>
      </c>
      <c r="AB83" t="s">
        <v>972</v>
      </c>
      <c r="AC83" t="s">
        <v>74</v>
      </c>
      <c r="AD83" t="s">
        <v>74</v>
      </c>
      <c r="AE83" t="s">
        <v>74</v>
      </c>
      <c r="AF83" t="s">
        <v>74</v>
      </c>
      <c r="AG83">
        <v>8</v>
      </c>
      <c r="AH83">
        <v>1</v>
      </c>
      <c r="AI83">
        <v>1</v>
      </c>
      <c r="AJ83">
        <v>1</v>
      </c>
      <c r="AK83">
        <v>17</v>
      </c>
      <c r="AL83" t="s">
        <v>1067</v>
      </c>
      <c r="AM83" t="s">
        <v>1068</v>
      </c>
      <c r="AN83" t="s">
        <v>1069</v>
      </c>
      <c r="AO83" t="s">
        <v>1070</v>
      </c>
      <c r="AP83" t="s">
        <v>1107</v>
      </c>
      <c r="AQ83" t="s">
        <v>1629</v>
      </c>
      <c r="AR83" t="s">
        <v>1072</v>
      </c>
      <c r="AS83" t="s">
        <v>74</v>
      </c>
      <c r="AT83" t="s">
        <v>74</v>
      </c>
      <c r="AU83">
        <v>2016</v>
      </c>
      <c r="AV83">
        <v>9999</v>
      </c>
      <c r="AW83" t="s">
        <v>74</v>
      </c>
      <c r="AX83" t="s">
        <v>74</v>
      </c>
      <c r="AY83" t="s">
        <v>74</v>
      </c>
      <c r="AZ83" t="s">
        <v>74</v>
      </c>
      <c r="BA83" t="s">
        <v>74</v>
      </c>
      <c r="BB83" t="s">
        <v>74</v>
      </c>
      <c r="BC83" t="s">
        <v>74</v>
      </c>
      <c r="BD83" t="s">
        <v>1630</v>
      </c>
      <c r="BE83" t="s">
        <v>1631</v>
      </c>
      <c r="BF83" t="str">
        <f>HYPERLINK("http://dx.doi.org/10.1117/12.2240156","http://dx.doi.org/10.1117/12.2240156")</f>
        <v>http://dx.doi.org/10.1117/12.2240156</v>
      </c>
      <c r="BG83" t="s">
        <v>74</v>
      </c>
      <c r="BH83" t="s">
        <v>74</v>
      </c>
      <c r="BI83">
        <v>6</v>
      </c>
      <c r="BJ83" t="s">
        <v>1632</v>
      </c>
      <c r="BK83" t="s">
        <v>293</v>
      </c>
      <c r="BL83" t="s">
        <v>1632</v>
      </c>
      <c r="BM83" t="s">
        <v>1633</v>
      </c>
      <c r="BN83" t="s">
        <v>74</v>
      </c>
      <c r="BO83" t="s">
        <v>74</v>
      </c>
      <c r="BP83" t="s">
        <v>74</v>
      </c>
      <c r="BQ83" t="s">
        <v>74</v>
      </c>
      <c r="BR83" t="s">
        <v>100</v>
      </c>
      <c r="BS83" t="s">
        <v>1634</v>
      </c>
      <c r="BT83" t="str">
        <f>HYPERLINK("https%3A%2F%2Fwww.webofscience.com%2Fwos%2Fwoscc%2Ffull-record%2FWOS:000391353700020","View Full Record in Web of Science")</f>
        <v>View Full Record in Web of Science</v>
      </c>
    </row>
    <row r="84" spans="1:72" x14ac:dyDescent="0.15">
      <c r="A84" t="s">
        <v>72</v>
      </c>
      <c r="B84" t="s">
        <v>1635</v>
      </c>
      <c r="C84" t="s">
        <v>74</v>
      </c>
      <c r="D84" t="s">
        <v>74</v>
      </c>
      <c r="E84" t="s">
        <v>74</v>
      </c>
      <c r="F84" t="s">
        <v>1636</v>
      </c>
      <c r="G84" t="s">
        <v>74</v>
      </c>
      <c r="H84" t="s">
        <v>74</v>
      </c>
      <c r="I84" t="s">
        <v>1637</v>
      </c>
      <c r="J84" t="s">
        <v>1638</v>
      </c>
      <c r="K84" t="s">
        <v>74</v>
      </c>
      <c r="L84" t="s">
        <v>74</v>
      </c>
      <c r="M84" t="s">
        <v>200</v>
      </c>
      <c r="N84" t="s">
        <v>1639</v>
      </c>
      <c r="O84" t="s">
        <v>1640</v>
      </c>
      <c r="P84" t="s">
        <v>1641</v>
      </c>
      <c r="Q84" t="s">
        <v>1642</v>
      </c>
      <c r="R84" t="s">
        <v>74</v>
      </c>
      <c r="S84" t="s">
        <v>74</v>
      </c>
      <c r="T84" t="s">
        <v>1643</v>
      </c>
      <c r="U84" t="s">
        <v>1644</v>
      </c>
      <c r="V84" t="s">
        <v>1645</v>
      </c>
      <c r="W84" t="s">
        <v>1646</v>
      </c>
      <c r="X84" t="s">
        <v>1647</v>
      </c>
      <c r="Y84" t="s">
        <v>1648</v>
      </c>
      <c r="Z84" t="s">
        <v>1649</v>
      </c>
      <c r="AA84" t="s">
        <v>1650</v>
      </c>
      <c r="AB84" t="s">
        <v>1651</v>
      </c>
      <c r="AC84" t="s">
        <v>74</v>
      </c>
      <c r="AD84" t="s">
        <v>74</v>
      </c>
      <c r="AE84" t="s">
        <v>74</v>
      </c>
      <c r="AF84" t="s">
        <v>74</v>
      </c>
      <c r="AG84">
        <v>148</v>
      </c>
      <c r="AH84">
        <v>22</v>
      </c>
      <c r="AI84">
        <v>25</v>
      </c>
      <c r="AJ84">
        <v>1</v>
      </c>
      <c r="AK84">
        <v>3</v>
      </c>
      <c r="AL84" t="s">
        <v>1652</v>
      </c>
      <c r="AM84" t="s">
        <v>1653</v>
      </c>
      <c r="AN84" t="s">
        <v>1654</v>
      </c>
      <c r="AO84" t="s">
        <v>1655</v>
      </c>
      <c r="AP84" t="s">
        <v>1656</v>
      </c>
      <c r="AQ84" t="s">
        <v>74</v>
      </c>
      <c r="AR84" t="s">
        <v>1657</v>
      </c>
      <c r="AS84" t="s">
        <v>1658</v>
      </c>
      <c r="AT84" t="s">
        <v>315</v>
      </c>
      <c r="AU84">
        <v>2016</v>
      </c>
      <c r="AV84">
        <v>33</v>
      </c>
      <c r="AW84">
        <v>2</v>
      </c>
      <c r="AX84" t="s">
        <v>74</v>
      </c>
      <c r="AY84" t="s">
        <v>74</v>
      </c>
      <c r="AZ84" t="s">
        <v>74</v>
      </c>
      <c r="BA84" t="s">
        <v>74</v>
      </c>
      <c r="BB84">
        <v>284</v>
      </c>
      <c r="BC84">
        <v>301</v>
      </c>
      <c r="BD84" t="s">
        <v>74</v>
      </c>
      <c r="BE84" t="s">
        <v>1659</v>
      </c>
      <c r="BF84" t="str">
        <f>HYPERLINK("http://dx.doi.org/10.4003/006.033.0219","http://dx.doi.org/10.4003/006.033.0219")</f>
        <v>http://dx.doi.org/10.4003/006.033.0219</v>
      </c>
      <c r="BG84" t="s">
        <v>74</v>
      </c>
      <c r="BH84" t="s">
        <v>74</v>
      </c>
      <c r="BI84">
        <v>18</v>
      </c>
      <c r="BJ84" t="s">
        <v>1660</v>
      </c>
      <c r="BK84" t="s">
        <v>1661</v>
      </c>
      <c r="BL84" t="s">
        <v>1660</v>
      </c>
      <c r="BM84" t="s">
        <v>1662</v>
      </c>
      <c r="BN84" t="s">
        <v>74</v>
      </c>
      <c r="BO84" t="s">
        <v>241</v>
      </c>
      <c r="BP84" t="s">
        <v>74</v>
      </c>
      <c r="BQ84" t="s">
        <v>74</v>
      </c>
      <c r="BR84" t="s">
        <v>100</v>
      </c>
      <c r="BS84" t="s">
        <v>1663</v>
      </c>
      <c r="BT84" t="str">
        <f>HYPERLINK("https%3A%2F%2Fwww.webofscience.com%2Fwos%2Fwoscc%2Ffull-record%2FWOS:000368048400012","View Full Record in Web of Science")</f>
        <v>View Full Record in Web of Science</v>
      </c>
    </row>
    <row r="85" spans="1:72" x14ac:dyDescent="0.15">
      <c r="A85" t="s">
        <v>267</v>
      </c>
      <c r="B85" t="s">
        <v>1664</v>
      </c>
      <c r="C85" t="s">
        <v>74</v>
      </c>
      <c r="D85" t="s">
        <v>74</v>
      </c>
      <c r="E85" t="s">
        <v>269</v>
      </c>
      <c r="F85" t="s">
        <v>1665</v>
      </c>
      <c r="G85" t="s">
        <v>74</v>
      </c>
      <c r="H85" t="s">
        <v>74</v>
      </c>
      <c r="I85" t="s">
        <v>1666</v>
      </c>
      <c r="J85" t="s">
        <v>1667</v>
      </c>
      <c r="K85" t="s">
        <v>74</v>
      </c>
      <c r="L85" t="s">
        <v>74</v>
      </c>
      <c r="M85" t="s">
        <v>200</v>
      </c>
      <c r="N85" t="s">
        <v>273</v>
      </c>
      <c r="O85" t="s">
        <v>1668</v>
      </c>
      <c r="P85" t="s">
        <v>345</v>
      </c>
      <c r="Q85" t="s">
        <v>1129</v>
      </c>
      <c r="R85" t="s">
        <v>74</v>
      </c>
      <c r="S85" t="s">
        <v>74</v>
      </c>
      <c r="T85" t="s">
        <v>1669</v>
      </c>
      <c r="U85" t="s">
        <v>74</v>
      </c>
      <c r="V85" t="s">
        <v>1670</v>
      </c>
      <c r="W85" t="s">
        <v>1671</v>
      </c>
      <c r="X85" t="s">
        <v>1672</v>
      </c>
      <c r="Y85" t="s">
        <v>1673</v>
      </c>
      <c r="Z85" t="s">
        <v>74</v>
      </c>
      <c r="AA85" t="s">
        <v>1674</v>
      </c>
      <c r="AB85" t="s">
        <v>74</v>
      </c>
      <c r="AC85" t="s">
        <v>74</v>
      </c>
      <c r="AD85" t="s">
        <v>74</v>
      </c>
      <c r="AE85" t="s">
        <v>74</v>
      </c>
      <c r="AF85" t="s">
        <v>74</v>
      </c>
      <c r="AG85">
        <v>18</v>
      </c>
      <c r="AH85">
        <v>0</v>
      </c>
      <c r="AI85">
        <v>0</v>
      </c>
      <c r="AJ85">
        <v>0</v>
      </c>
      <c r="AK85">
        <v>1</v>
      </c>
      <c r="AL85" t="s">
        <v>269</v>
      </c>
      <c r="AM85" t="s">
        <v>289</v>
      </c>
      <c r="AN85" t="s">
        <v>290</v>
      </c>
      <c r="AO85" t="s">
        <v>74</v>
      </c>
      <c r="AP85" t="s">
        <v>74</v>
      </c>
      <c r="AQ85" t="s">
        <v>1675</v>
      </c>
      <c r="AR85" t="s">
        <v>74</v>
      </c>
      <c r="AS85" t="s">
        <v>74</v>
      </c>
      <c r="AT85" t="s">
        <v>74</v>
      </c>
      <c r="AU85">
        <v>2016</v>
      </c>
      <c r="AV85" t="s">
        <v>74</v>
      </c>
      <c r="AW85" t="s">
        <v>74</v>
      </c>
      <c r="AX85" t="s">
        <v>74</v>
      </c>
      <c r="AY85" t="s">
        <v>74</v>
      </c>
      <c r="AZ85" t="s">
        <v>74</v>
      </c>
      <c r="BA85" t="s">
        <v>74</v>
      </c>
      <c r="BB85">
        <v>258</v>
      </c>
      <c r="BC85">
        <v>264</v>
      </c>
      <c r="BD85" t="s">
        <v>74</v>
      </c>
      <c r="BE85" t="s">
        <v>74</v>
      </c>
      <c r="BF85" t="s">
        <v>74</v>
      </c>
      <c r="BG85" t="s">
        <v>74</v>
      </c>
      <c r="BH85" t="s">
        <v>74</v>
      </c>
      <c r="BI85">
        <v>7</v>
      </c>
      <c r="BJ85" t="s">
        <v>1676</v>
      </c>
      <c r="BK85" t="s">
        <v>293</v>
      </c>
      <c r="BL85" t="s">
        <v>1537</v>
      </c>
      <c r="BM85" t="s">
        <v>1677</v>
      </c>
      <c r="BN85" t="s">
        <v>74</v>
      </c>
      <c r="BO85" t="s">
        <v>74</v>
      </c>
      <c r="BP85" t="s">
        <v>74</v>
      </c>
      <c r="BQ85" t="s">
        <v>74</v>
      </c>
      <c r="BR85" t="s">
        <v>100</v>
      </c>
      <c r="BS85" t="s">
        <v>1678</v>
      </c>
      <c r="BT85" t="str">
        <f>HYPERLINK("https%3A%2F%2Fwww.webofscience.com%2Fwos%2Fwoscc%2Ffull-record%2FWOS:000391238500040","View Full Record in Web of Science")</f>
        <v>View Full Record in Web of Science</v>
      </c>
    </row>
    <row r="86" spans="1:72" x14ac:dyDescent="0.15">
      <c r="A86" t="s">
        <v>72</v>
      </c>
      <c r="B86" t="s">
        <v>1679</v>
      </c>
      <c r="C86" t="s">
        <v>74</v>
      </c>
      <c r="D86" t="s">
        <v>74</v>
      </c>
      <c r="E86" t="s">
        <v>74</v>
      </c>
      <c r="F86" t="s">
        <v>1680</v>
      </c>
      <c r="G86" t="s">
        <v>74</v>
      </c>
      <c r="H86" t="s">
        <v>74</v>
      </c>
      <c r="I86" t="s">
        <v>1681</v>
      </c>
      <c r="J86" t="s">
        <v>1682</v>
      </c>
      <c r="K86" t="s">
        <v>74</v>
      </c>
      <c r="L86" t="s">
        <v>74</v>
      </c>
      <c r="M86" t="s">
        <v>200</v>
      </c>
      <c r="N86" t="s">
        <v>79</v>
      </c>
      <c r="O86" t="s">
        <v>74</v>
      </c>
      <c r="P86" t="s">
        <v>74</v>
      </c>
      <c r="Q86" t="s">
        <v>74</v>
      </c>
      <c r="R86" t="s">
        <v>74</v>
      </c>
      <c r="S86" t="s">
        <v>74</v>
      </c>
      <c r="T86" t="s">
        <v>1683</v>
      </c>
      <c r="U86" t="s">
        <v>1684</v>
      </c>
      <c r="V86" t="s">
        <v>1685</v>
      </c>
      <c r="W86" t="s">
        <v>1686</v>
      </c>
      <c r="X86" t="s">
        <v>1687</v>
      </c>
      <c r="Y86" t="s">
        <v>1688</v>
      </c>
      <c r="Z86" t="s">
        <v>1689</v>
      </c>
      <c r="AA86" t="s">
        <v>74</v>
      </c>
      <c r="AB86" t="s">
        <v>74</v>
      </c>
      <c r="AC86" t="s">
        <v>74</v>
      </c>
      <c r="AD86" t="s">
        <v>74</v>
      </c>
      <c r="AE86" t="s">
        <v>74</v>
      </c>
      <c r="AF86" t="s">
        <v>74</v>
      </c>
      <c r="AG86">
        <v>16</v>
      </c>
      <c r="AH86">
        <v>4</v>
      </c>
      <c r="AI86">
        <v>5</v>
      </c>
      <c r="AJ86">
        <v>0</v>
      </c>
      <c r="AK86">
        <v>6</v>
      </c>
      <c r="AL86" t="s">
        <v>1690</v>
      </c>
      <c r="AM86" t="s">
        <v>1691</v>
      </c>
      <c r="AN86" t="s">
        <v>1692</v>
      </c>
      <c r="AO86" t="s">
        <v>1693</v>
      </c>
      <c r="AP86" t="s">
        <v>1694</v>
      </c>
      <c r="AQ86" t="s">
        <v>74</v>
      </c>
      <c r="AR86" t="s">
        <v>1695</v>
      </c>
      <c r="AS86" t="s">
        <v>1696</v>
      </c>
      <c r="AT86" t="s">
        <v>74</v>
      </c>
      <c r="AU86">
        <v>2016</v>
      </c>
      <c r="AV86">
        <v>67</v>
      </c>
      <c r="AW86">
        <v>4</v>
      </c>
      <c r="AX86" t="s">
        <v>74</v>
      </c>
      <c r="AY86" t="s">
        <v>74</v>
      </c>
      <c r="AZ86" t="s">
        <v>74</v>
      </c>
      <c r="BA86" t="s">
        <v>74</v>
      </c>
      <c r="BB86">
        <v>223</v>
      </c>
      <c r="BC86">
        <v>226</v>
      </c>
      <c r="BD86" t="s">
        <v>74</v>
      </c>
      <c r="BE86" t="s">
        <v>1697</v>
      </c>
      <c r="BF86" t="str">
        <f>HYPERLINK("http://dx.doi.org/10.5603/IMH.2016.0040","http://dx.doi.org/10.5603/IMH.2016.0040")</f>
        <v>http://dx.doi.org/10.5603/IMH.2016.0040</v>
      </c>
      <c r="BG86" t="s">
        <v>74</v>
      </c>
      <c r="BH86" t="s">
        <v>74</v>
      </c>
      <c r="BI86">
        <v>4</v>
      </c>
      <c r="BJ86" t="s">
        <v>709</v>
      </c>
      <c r="BK86" t="s">
        <v>96</v>
      </c>
      <c r="BL86" t="s">
        <v>709</v>
      </c>
      <c r="BM86" t="s">
        <v>1698</v>
      </c>
      <c r="BN86">
        <v>28009388</v>
      </c>
      <c r="BO86" t="s">
        <v>369</v>
      </c>
      <c r="BP86" t="s">
        <v>74</v>
      </c>
      <c r="BQ86" t="s">
        <v>74</v>
      </c>
      <c r="BR86" t="s">
        <v>100</v>
      </c>
      <c r="BS86" t="s">
        <v>1699</v>
      </c>
      <c r="BT86" t="str">
        <f>HYPERLINK("https%3A%2F%2Fwww.webofscience.com%2Fwos%2Fwoscc%2Ffull-record%2FWOS:000391003200007","View Full Record in Web of Science")</f>
        <v>View Full Record in Web of Science</v>
      </c>
    </row>
    <row r="87" spans="1:72" x14ac:dyDescent="0.15">
      <c r="A87" t="s">
        <v>72</v>
      </c>
      <c r="B87" t="s">
        <v>1700</v>
      </c>
      <c r="C87" t="s">
        <v>74</v>
      </c>
      <c r="D87" t="s">
        <v>74</v>
      </c>
      <c r="E87" t="s">
        <v>74</v>
      </c>
      <c r="F87" t="s">
        <v>1701</v>
      </c>
      <c r="G87" t="s">
        <v>74</v>
      </c>
      <c r="H87" t="s">
        <v>74</v>
      </c>
      <c r="I87" t="s">
        <v>1702</v>
      </c>
      <c r="J87" t="s">
        <v>1703</v>
      </c>
      <c r="K87" t="s">
        <v>74</v>
      </c>
      <c r="L87" t="s">
        <v>74</v>
      </c>
      <c r="M87" t="s">
        <v>200</v>
      </c>
      <c r="N87" t="s">
        <v>79</v>
      </c>
      <c r="O87" t="s">
        <v>74</v>
      </c>
      <c r="P87" t="s">
        <v>74</v>
      </c>
      <c r="Q87" t="s">
        <v>74</v>
      </c>
      <c r="R87" t="s">
        <v>74</v>
      </c>
      <c r="S87" t="s">
        <v>74</v>
      </c>
      <c r="T87" t="s">
        <v>1704</v>
      </c>
      <c r="U87" t="s">
        <v>1705</v>
      </c>
      <c r="V87" t="s">
        <v>1706</v>
      </c>
      <c r="W87" t="s">
        <v>1707</v>
      </c>
      <c r="X87" t="s">
        <v>1708</v>
      </c>
      <c r="Y87" t="s">
        <v>1709</v>
      </c>
      <c r="Z87" t="s">
        <v>1710</v>
      </c>
      <c r="AA87" t="s">
        <v>1711</v>
      </c>
      <c r="AB87" t="s">
        <v>1712</v>
      </c>
      <c r="AC87" t="s">
        <v>74</v>
      </c>
      <c r="AD87" t="s">
        <v>74</v>
      </c>
      <c r="AE87" t="s">
        <v>74</v>
      </c>
      <c r="AF87" t="s">
        <v>74</v>
      </c>
      <c r="AG87">
        <v>47</v>
      </c>
      <c r="AH87">
        <v>4</v>
      </c>
      <c r="AI87">
        <v>4</v>
      </c>
      <c r="AJ87">
        <v>1</v>
      </c>
      <c r="AK87">
        <v>9</v>
      </c>
      <c r="AL87" t="s">
        <v>1713</v>
      </c>
      <c r="AM87" t="s">
        <v>1714</v>
      </c>
      <c r="AN87" t="s">
        <v>1715</v>
      </c>
      <c r="AO87" t="s">
        <v>1716</v>
      </c>
      <c r="AP87" t="s">
        <v>1717</v>
      </c>
      <c r="AQ87" t="s">
        <v>74</v>
      </c>
      <c r="AR87" t="s">
        <v>1718</v>
      </c>
      <c r="AS87" t="s">
        <v>1719</v>
      </c>
      <c r="AT87" t="s">
        <v>74</v>
      </c>
      <c r="AU87">
        <v>2016</v>
      </c>
      <c r="AV87">
        <v>25</v>
      </c>
      <c r="AW87">
        <v>6</v>
      </c>
      <c r="AX87" t="s">
        <v>74</v>
      </c>
      <c r="AY87" t="s">
        <v>74</v>
      </c>
      <c r="AZ87" t="s">
        <v>74</v>
      </c>
      <c r="BA87" t="s">
        <v>74</v>
      </c>
      <c r="BB87">
        <v>767</v>
      </c>
      <c r="BC87">
        <v>774</v>
      </c>
      <c r="BD87" t="s">
        <v>74</v>
      </c>
      <c r="BE87" t="s">
        <v>1720</v>
      </c>
      <c r="BF87" t="str">
        <f>HYPERLINK("http://dx.doi.org/10.1127/metz/2016/0661","http://dx.doi.org/10.1127/metz/2016/0661")</f>
        <v>http://dx.doi.org/10.1127/metz/2016/0661</v>
      </c>
      <c r="BG87" t="s">
        <v>74</v>
      </c>
      <c r="BH87" t="s">
        <v>74</v>
      </c>
      <c r="BI87">
        <v>8</v>
      </c>
      <c r="BJ87" t="s">
        <v>1721</v>
      </c>
      <c r="BK87" t="s">
        <v>264</v>
      </c>
      <c r="BL87" t="s">
        <v>1721</v>
      </c>
      <c r="BM87" t="s">
        <v>1722</v>
      </c>
      <c r="BN87" t="s">
        <v>74</v>
      </c>
      <c r="BO87" t="s">
        <v>511</v>
      </c>
      <c r="BP87" t="s">
        <v>74</v>
      </c>
      <c r="BQ87" t="s">
        <v>74</v>
      </c>
      <c r="BR87" t="s">
        <v>100</v>
      </c>
      <c r="BS87" t="s">
        <v>1723</v>
      </c>
      <c r="BT87" t="str">
        <f>HYPERLINK("https%3A%2F%2Fwww.webofscience.com%2Fwos%2Fwoscc%2Ffull-record%2FWOS:000390791900012","View Full Record in Web of Science")</f>
        <v>View Full Record in Web of Science</v>
      </c>
    </row>
    <row r="88" spans="1:72" x14ac:dyDescent="0.15">
      <c r="A88" t="s">
        <v>267</v>
      </c>
      <c r="B88" t="s">
        <v>1724</v>
      </c>
      <c r="C88" t="s">
        <v>74</v>
      </c>
      <c r="D88" t="s">
        <v>1725</v>
      </c>
      <c r="E88" t="s">
        <v>74</v>
      </c>
      <c r="F88" t="s">
        <v>1726</v>
      </c>
      <c r="G88" t="s">
        <v>74</v>
      </c>
      <c r="H88" t="s">
        <v>74</v>
      </c>
      <c r="I88" t="s">
        <v>1727</v>
      </c>
      <c r="J88" t="s">
        <v>1728</v>
      </c>
      <c r="K88" t="s">
        <v>1729</v>
      </c>
      <c r="L88" t="s">
        <v>74</v>
      </c>
      <c r="M88" t="s">
        <v>200</v>
      </c>
      <c r="N88" t="s">
        <v>273</v>
      </c>
      <c r="O88" t="s">
        <v>1730</v>
      </c>
      <c r="P88" t="s">
        <v>963</v>
      </c>
      <c r="Q88" t="s">
        <v>964</v>
      </c>
      <c r="R88" t="s">
        <v>74</v>
      </c>
      <c r="S88" t="s">
        <v>74</v>
      </c>
      <c r="T88" t="s">
        <v>1731</v>
      </c>
      <c r="U88" t="s">
        <v>74</v>
      </c>
      <c r="V88" t="s">
        <v>1732</v>
      </c>
      <c r="W88" t="s">
        <v>1733</v>
      </c>
      <c r="X88" t="s">
        <v>858</v>
      </c>
      <c r="Y88" t="s">
        <v>1734</v>
      </c>
      <c r="Z88" t="s">
        <v>1735</v>
      </c>
      <c r="AA88" t="s">
        <v>1019</v>
      </c>
      <c r="AB88" t="s">
        <v>1020</v>
      </c>
      <c r="AC88" t="s">
        <v>74</v>
      </c>
      <c r="AD88" t="s">
        <v>74</v>
      </c>
      <c r="AE88" t="s">
        <v>74</v>
      </c>
      <c r="AF88" t="s">
        <v>74</v>
      </c>
      <c r="AG88">
        <v>17</v>
      </c>
      <c r="AH88">
        <v>1</v>
      </c>
      <c r="AI88">
        <v>1</v>
      </c>
      <c r="AJ88">
        <v>0</v>
      </c>
      <c r="AK88">
        <v>4</v>
      </c>
      <c r="AL88" t="s">
        <v>358</v>
      </c>
      <c r="AM88" t="s">
        <v>359</v>
      </c>
      <c r="AN88" t="s">
        <v>360</v>
      </c>
      <c r="AO88" t="s">
        <v>1736</v>
      </c>
      <c r="AP88" t="s">
        <v>1737</v>
      </c>
      <c r="AQ88" t="s">
        <v>74</v>
      </c>
      <c r="AR88" t="s">
        <v>1738</v>
      </c>
      <c r="AS88" t="s">
        <v>74</v>
      </c>
      <c r="AT88" t="s">
        <v>74</v>
      </c>
      <c r="AU88">
        <v>2016</v>
      </c>
      <c r="AV88">
        <v>3</v>
      </c>
      <c r="AW88">
        <v>3</v>
      </c>
      <c r="AX88" t="s">
        <v>74</v>
      </c>
      <c r="AY88" t="s">
        <v>74</v>
      </c>
      <c r="AZ88" t="s">
        <v>74</v>
      </c>
      <c r="BA88" t="s">
        <v>74</v>
      </c>
      <c r="BB88">
        <v>147</v>
      </c>
      <c r="BC88">
        <v>151</v>
      </c>
      <c r="BD88" t="s">
        <v>74</v>
      </c>
      <c r="BE88" t="s">
        <v>1739</v>
      </c>
      <c r="BF88" t="str">
        <f>HYPERLINK("http://dx.doi.org/10.5194/isprsannals-III-3-147-2016","http://dx.doi.org/10.5194/isprsannals-III-3-147-2016")</f>
        <v>http://dx.doi.org/10.5194/isprsannals-III-3-147-2016</v>
      </c>
      <c r="BG88" t="s">
        <v>74</v>
      </c>
      <c r="BH88" t="s">
        <v>74</v>
      </c>
      <c r="BI88">
        <v>5</v>
      </c>
      <c r="BJ88" t="s">
        <v>1740</v>
      </c>
      <c r="BK88" t="s">
        <v>293</v>
      </c>
      <c r="BL88" t="s">
        <v>1741</v>
      </c>
      <c r="BM88" t="s">
        <v>1742</v>
      </c>
      <c r="BN88" t="s">
        <v>74</v>
      </c>
      <c r="BO88" t="s">
        <v>99</v>
      </c>
      <c r="BP88" t="s">
        <v>74</v>
      </c>
      <c r="BQ88" t="s">
        <v>74</v>
      </c>
      <c r="BR88" t="s">
        <v>100</v>
      </c>
      <c r="BS88" t="s">
        <v>1743</v>
      </c>
      <c r="BT88" t="str">
        <f>HYPERLINK("https%3A%2F%2Fwww.webofscience.com%2Fwos%2Fwoscc%2Ffull-record%2FWOS:000391012700019","View Full Record in Web of Science")</f>
        <v>View Full Record in Web of Science</v>
      </c>
    </row>
    <row r="89" spans="1:72" x14ac:dyDescent="0.15">
      <c r="A89" t="s">
        <v>267</v>
      </c>
      <c r="B89" t="s">
        <v>1744</v>
      </c>
      <c r="C89" t="s">
        <v>74</v>
      </c>
      <c r="D89" t="s">
        <v>1745</v>
      </c>
      <c r="E89" t="s">
        <v>74</v>
      </c>
      <c r="F89" t="s">
        <v>1746</v>
      </c>
      <c r="G89" t="s">
        <v>74</v>
      </c>
      <c r="H89" t="s">
        <v>74</v>
      </c>
      <c r="I89" t="s">
        <v>1747</v>
      </c>
      <c r="J89" t="s">
        <v>1748</v>
      </c>
      <c r="K89" t="s">
        <v>1729</v>
      </c>
      <c r="L89" t="s">
        <v>74</v>
      </c>
      <c r="M89" t="s">
        <v>200</v>
      </c>
      <c r="N89" t="s">
        <v>273</v>
      </c>
      <c r="O89" t="s">
        <v>1730</v>
      </c>
      <c r="P89" t="s">
        <v>963</v>
      </c>
      <c r="Q89" t="s">
        <v>964</v>
      </c>
      <c r="R89" t="s">
        <v>74</v>
      </c>
      <c r="S89" t="s">
        <v>74</v>
      </c>
      <c r="T89" t="s">
        <v>1749</v>
      </c>
      <c r="U89" t="s">
        <v>74</v>
      </c>
      <c r="V89" t="s">
        <v>1750</v>
      </c>
      <c r="W89" t="s">
        <v>1751</v>
      </c>
      <c r="X89" t="s">
        <v>1752</v>
      </c>
      <c r="Y89" t="s">
        <v>1753</v>
      </c>
      <c r="Z89" t="s">
        <v>1754</v>
      </c>
      <c r="AA89" t="s">
        <v>74</v>
      </c>
      <c r="AB89" t="s">
        <v>74</v>
      </c>
      <c r="AC89" t="s">
        <v>74</v>
      </c>
      <c r="AD89" t="s">
        <v>74</v>
      </c>
      <c r="AE89" t="s">
        <v>74</v>
      </c>
      <c r="AF89" t="s">
        <v>74</v>
      </c>
      <c r="AG89">
        <v>12</v>
      </c>
      <c r="AH89">
        <v>1</v>
      </c>
      <c r="AI89">
        <v>1</v>
      </c>
      <c r="AJ89">
        <v>0</v>
      </c>
      <c r="AK89">
        <v>3</v>
      </c>
      <c r="AL89" t="s">
        <v>358</v>
      </c>
      <c r="AM89" t="s">
        <v>359</v>
      </c>
      <c r="AN89" t="s">
        <v>360</v>
      </c>
      <c r="AO89" t="s">
        <v>1736</v>
      </c>
      <c r="AP89" t="s">
        <v>1737</v>
      </c>
      <c r="AQ89" t="s">
        <v>74</v>
      </c>
      <c r="AR89" t="s">
        <v>1738</v>
      </c>
      <c r="AS89" t="s">
        <v>74</v>
      </c>
      <c r="AT89" t="s">
        <v>74</v>
      </c>
      <c r="AU89">
        <v>2016</v>
      </c>
      <c r="AV89">
        <v>3</v>
      </c>
      <c r="AW89">
        <v>4</v>
      </c>
      <c r="AX89" t="s">
        <v>74</v>
      </c>
      <c r="AY89" t="s">
        <v>74</v>
      </c>
      <c r="AZ89" t="s">
        <v>74</v>
      </c>
      <c r="BA89" t="s">
        <v>74</v>
      </c>
      <c r="BB89">
        <v>11</v>
      </c>
      <c r="BC89">
        <v>15</v>
      </c>
      <c r="BD89" t="s">
        <v>74</v>
      </c>
      <c r="BE89" t="s">
        <v>1755</v>
      </c>
      <c r="BF89" t="str">
        <f>HYPERLINK("http://dx.doi.org/10.5194/isprsannals-III-4-11-2016","http://dx.doi.org/10.5194/isprsannals-III-4-11-2016")</f>
        <v>http://dx.doi.org/10.5194/isprsannals-III-4-11-2016</v>
      </c>
      <c r="BG89" t="s">
        <v>74</v>
      </c>
      <c r="BH89" t="s">
        <v>74</v>
      </c>
      <c r="BI89">
        <v>5</v>
      </c>
      <c r="BJ89" t="s">
        <v>1756</v>
      </c>
      <c r="BK89" t="s">
        <v>293</v>
      </c>
      <c r="BL89" t="s">
        <v>1757</v>
      </c>
      <c r="BM89" t="s">
        <v>1758</v>
      </c>
      <c r="BN89" t="s">
        <v>74</v>
      </c>
      <c r="BO89" t="s">
        <v>99</v>
      </c>
      <c r="BP89" t="s">
        <v>74</v>
      </c>
      <c r="BQ89" t="s">
        <v>74</v>
      </c>
      <c r="BR89" t="s">
        <v>100</v>
      </c>
      <c r="BS89" t="s">
        <v>1759</v>
      </c>
      <c r="BT89" t="str">
        <f>HYPERLINK("https%3A%2F%2Fwww.webofscience.com%2Fwos%2Fwoscc%2Ffull-record%2FWOS:000391012900002","View Full Record in Web of Science")</f>
        <v>View Full Record in Web of Science</v>
      </c>
    </row>
    <row r="90" spans="1:72" x14ac:dyDescent="0.15">
      <c r="A90" t="s">
        <v>267</v>
      </c>
      <c r="B90" t="s">
        <v>1760</v>
      </c>
      <c r="C90" t="s">
        <v>74</v>
      </c>
      <c r="D90" t="s">
        <v>74</v>
      </c>
      <c r="E90" t="s">
        <v>269</v>
      </c>
      <c r="F90" t="s">
        <v>1761</v>
      </c>
      <c r="G90" t="s">
        <v>74</v>
      </c>
      <c r="H90" t="s">
        <v>74</v>
      </c>
      <c r="I90" t="s">
        <v>1762</v>
      </c>
      <c r="J90" t="s">
        <v>1763</v>
      </c>
      <c r="K90" t="s">
        <v>74</v>
      </c>
      <c r="L90" t="s">
        <v>74</v>
      </c>
      <c r="M90" t="s">
        <v>200</v>
      </c>
      <c r="N90" t="s">
        <v>273</v>
      </c>
      <c r="O90" t="s">
        <v>1764</v>
      </c>
      <c r="P90" t="s">
        <v>1765</v>
      </c>
      <c r="Q90" t="s">
        <v>1766</v>
      </c>
      <c r="R90" t="s">
        <v>74</v>
      </c>
      <c r="S90" t="s">
        <v>74</v>
      </c>
      <c r="T90" t="s">
        <v>1767</v>
      </c>
      <c r="U90" t="s">
        <v>74</v>
      </c>
      <c r="V90" t="s">
        <v>1768</v>
      </c>
      <c r="W90" t="s">
        <v>1769</v>
      </c>
      <c r="X90" t="s">
        <v>1770</v>
      </c>
      <c r="Y90" t="s">
        <v>1771</v>
      </c>
      <c r="Z90" t="s">
        <v>1772</v>
      </c>
      <c r="AA90" t="s">
        <v>74</v>
      </c>
      <c r="AB90" t="s">
        <v>74</v>
      </c>
      <c r="AC90" t="s">
        <v>74</v>
      </c>
      <c r="AD90" t="s">
        <v>74</v>
      </c>
      <c r="AE90" t="s">
        <v>74</v>
      </c>
      <c r="AF90" t="s">
        <v>74</v>
      </c>
      <c r="AG90">
        <v>2</v>
      </c>
      <c r="AH90">
        <v>0</v>
      </c>
      <c r="AI90">
        <v>0</v>
      </c>
      <c r="AJ90">
        <v>0</v>
      </c>
      <c r="AK90">
        <v>0</v>
      </c>
      <c r="AL90" t="s">
        <v>269</v>
      </c>
      <c r="AM90" t="s">
        <v>289</v>
      </c>
      <c r="AN90" t="s">
        <v>290</v>
      </c>
      <c r="AO90" t="s">
        <v>74</v>
      </c>
      <c r="AP90" t="s">
        <v>74</v>
      </c>
      <c r="AQ90" t="s">
        <v>1773</v>
      </c>
      <c r="AR90" t="s">
        <v>74</v>
      </c>
      <c r="AS90" t="s">
        <v>74</v>
      </c>
      <c r="AT90" t="s">
        <v>74</v>
      </c>
      <c r="AU90">
        <v>2016</v>
      </c>
      <c r="AV90" t="s">
        <v>74</v>
      </c>
      <c r="AW90" t="s">
        <v>74</v>
      </c>
      <c r="AX90" t="s">
        <v>74</v>
      </c>
      <c r="AY90" t="s">
        <v>74</v>
      </c>
      <c r="AZ90" t="s">
        <v>74</v>
      </c>
      <c r="BA90" t="s">
        <v>74</v>
      </c>
      <c r="BB90" t="s">
        <v>74</v>
      </c>
      <c r="BC90" t="s">
        <v>74</v>
      </c>
      <c r="BD90" t="s">
        <v>74</v>
      </c>
      <c r="BE90" t="s">
        <v>74</v>
      </c>
      <c r="BF90" t="s">
        <v>74</v>
      </c>
      <c r="BG90" t="s">
        <v>74</v>
      </c>
      <c r="BH90" t="s">
        <v>74</v>
      </c>
      <c r="BI90">
        <v>4</v>
      </c>
      <c r="BJ90" t="s">
        <v>1366</v>
      </c>
      <c r="BK90" t="s">
        <v>293</v>
      </c>
      <c r="BL90" t="s">
        <v>572</v>
      </c>
      <c r="BM90" t="s">
        <v>1774</v>
      </c>
      <c r="BN90" t="s">
        <v>74</v>
      </c>
      <c r="BO90" t="s">
        <v>74</v>
      </c>
      <c r="BP90" t="s">
        <v>74</v>
      </c>
      <c r="BQ90" t="s">
        <v>74</v>
      </c>
      <c r="BR90" t="s">
        <v>100</v>
      </c>
      <c r="BS90" t="s">
        <v>1775</v>
      </c>
      <c r="BT90" t="str">
        <f>HYPERLINK("https%3A%2F%2Fwww.webofscience.com%2Fwos%2Fwoscc%2Ffull-record%2FWOS:000390766000032","View Full Record in Web of Science")</f>
        <v>View Full Record in Web of Science</v>
      </c>
    </row>
    <row r="91" spans="1:72" x14ac:dyDescent="0.15">
      <c r="A91" t="s">
        <v>267</v>
      </c>
      <c r="B91" t="s">
        <v>1776</v>
      </c>
      <c r="C91" t="s">
        <v>74</v>
      </c>
      <c r="D91" t="s">
        <v>1777</v>
      </c>
      <c r="E91" t="s">
        <v>74</v>
      </c>
      <c r="F91" t="s">
        <v>1778</v>
      </c>
      <c r="G91" t="s">
        <v>74</v>
      </c>
      <c r="H91" t="s">
        <v>74</v>
      </c>
      <c r="I91" t="s">
        <v>1779</v>
      </c>
      <c r="J91" t="s">
        <v>1780</v>
      </c>
      <c r="K91" t="s">
        <v>1053</v>
      </c>
      <c r="L91" t="s">
        <v>74</v>
      </c>
      <c r="M91" t="s">
        <v>200</v>
      </c>
      <c r="N91" t="s">
        <v>273</v>
      </c>
      <c r="O91" t="s">
        <v>1781</v>
      </c>
      <c r="P91" t="s">
        <v>1782</v>
      </c>
      <c r="Q91" t="s">
        <v>1129</v>
      </c>
      <c r="R91" t="s">
        <v>74</v>
      </c>
      <c r="S91" t="s">
        <v>74</v>
      </c>
      <c r="T91" t="s">
        <v>1783</v>
      </c>
      <c r="U91" t="s">
        <v>74</v>
      </c>
      <c r="V91" t="s">
        <v>1784</v>
      </c>
      <c r="W91" t="s">
        <v>1785</v>
      </c>
      <c r="X91" t="s">
        <v>1786</v>
      </c>
      <c r="Y91" t="s">
        <v>1787</v>
      </c>
      <c r="Z91" t="s">
        <v>1788</v>
      </c>
      <c r="AA91" t="s">
        <v>1789</v>
      </c>
      <c r="AB91" t="s">
        <v>1790</v>
      </c>
      <c r="AC91" t="s">
        <v>74</v>
      </c>
      <c r="AD91" t="s">
        <v>74</v>
      </c>
      <c r="AE91" t="s">
        <v>74</v>
      </c>
      <c r="AF91" t="s">
        <v>74</v>
      </c>
      <c r="AG91">
        <v>22</v>
      </c>
      <c r="AH91">
        <v>10</v>
      </c>
      <c r="AI91">
        <v>12</v>
      </c>
      <c r="AJ91">
        <v>0</v>
      </c>
      <c r="AK91">
        <v>1</v>
      </c>
      <c r="AL91" t="s">
        <v>1067</v>
      </c>
      <c r="AM91" t="s">
        <v>1068</v>
      </c>
      <c r="AN91" t="s">
        <v>1069</v>
      </c>
      <c r="AO91" t="s">
        <v>1070</v>
      </c>
      <c r="AP91" t="s">
        <v>1107</v>
      </c>
      <c r="AQ91" t="s">
        <v>1791</v>
      </c>
      <c r="AR91" t="s">
        <v>1072</v>
      </c>
      <c r="AS91" t="s">
        <v>74</v>
      </c>
      <c r="AT91" t="s">
        <v>74</v>
      </c>
      <c r="AU91">
        <v>2016</v>
      </c>
      <c r="AV91">
        <v>9905</v>
      </c>
      <c r="AW91" t="s">
        <v>74</v>
      </c>
      <c r="AX91">
        <v>1</v>
      </c>
      <c r="AY91" t="s">
        <v>74</v>
      </c>
      <c r="AZ91" t="s">
        <v>74</v>
      </c>
      <c r="BA91" t="s">
        <v>74</v>
      </c>
      <c r="BB91" t="s">
        <v>74</v>
      </c>
      <c r="BC91" t="s">
        <v>74</v>
      </c>
      <c r="BD91" t="s">
        <v>1792</v>
      </c>
      <c r="BE91" t="s">
        <v>1793</v>
      </c>
      <c r="BF91" t="str">
        <f>HYPERLINK("http://dx.doi.org/10.1117/12.2233859","http://dx.doi.org/10.1117/12.2233859")</f>
        <v>http://dx.doi.org/10.1117/12.2233859</v>
      </c>
      <c r="BG91" t="s">
        <v>74</v>
      </c>
      <c r="BH91" t="s">
        <v>74</v>
      </c>
      <c r="BI91">
        <v>17</v>
      </c>
      <c r="BJ91" t="s">
        <v>1794</v>
      </c>
      <c r="BK91" t="s">
        <v>293</v>
      </c>
      <c r="BL91" t="s">
        <v>1794</v>
      </c>
      <c r="BM91" t="s">
        <v>1795</v>
      </c>
      <c r="BN91" t="s">
        <v>74</v>
      </c>
      <c r="BO91" t="s">
        <v>1796</v>
      </c>
      <c r="BP91" t="s">
        <v>74</v>
      </c>
      <c r="BQ91" t="s">
        <v>74</v>
      </c>
      <c r="BR91" t="s">
        <v>100</v>
      </c>
      <c r="BS91" t="s">
        <v>1797</v>
      </c>
      <c r="BT91" t="str">
        <f>HYPERLINK("https%3A%2F%2Fwww.webofscience.com%2Fwos%2Fwoscc%2Ffull-record%2FWOS:000387731500078","View Full Record in Web of Science")</f>
        <v>View Full Record in Web of Science</v>
      </c>
    </row>
    <row r="92" spans="1:72" x14ac:dyDescent="0.15">
      <c r="A92" t="s">
        <v>267</v>
      </c>
      <c r="B92" t="s">
        <v>1798</v>
      </c>
      <c r="C92" t="s">
        <v>74</v>
      </c>
      <c r="D92" t="s">
        <v>957</v>
      </c>
      <c r="E92" t="s">
        <v>74</v>
      </c>
      <c r="F92" t="s">
        <v>1799</v>
      </c>
      <c r="G92" t="s">
        <v>74</v>
      </c>
      <c r="H92" t="s">
        <v>74</v>
      </c>
      <c r="I92" t="s">
        <v>1800</v>
      </c>
      <c r="J92" t="s">
        <v>960</v>
      </c>
      <c r="K92" t="s">
        <v>1729</v>
      </c>
      <c r="L92" t="s">
        <v>74</v>
      </c>
      <c r="M92" t="s">
        <v>200</v>
      </c>
      <c r="N92" t="s">
        <v>273</v>
      </c>
      <c r="O92" t="s">
        <v>1730</v>
      </c>
      <c r="P92" t="s">
        <v>963</v>
      </c>
      <c r="Q92" t="s">
        <v>964</v>
      </c>
      <c r="R92" t="s">
        <v>74</v>
      </c>
      <c r="S92" t="s">
        <v>74</v>
      </c>
      <c r="T92" t="s">
        <v>1801</v>
      </c>
      <c r="U92" t="s">
        <v>1802</v>
      </c>
      <c r="V92" t="s">
        <v>1803</v>
      </c>
      <c r="W92" t="s">
        <v>1804</v>
      </c>
      <c r="X92" t="s">
        <v>1805</v>
      </c>
      <c r="Y92" t="s">
        <v>1806</v>
      </c>
      <c r="Z92" t="s">
        <v>1807</v>
      </c>
      <c r="AA92" t="s">
        <v>1808</v>
      </c>
      <c r="AB92" t="s">
        <v>1809</v>
      </c>
      <c r="AC92" t="s">
        <v>74</v>
      </c>
      <c r="AD92" t="s">
        <v>74</v>
      </c>
      <c r="AE92" t="s">
        <v>74</v>
      </c>
      <c r="AF92" t="s">
        <v>74</v>
      </c>
      <c r="AG92">
        <v>28</v>
      </c>
      <c r="AH92">
        <v>1</v>
      </c>
      <c r="AI92">
        <v>1</v>
      </c>
      <c r="AJ92">
        <v>0</v>
      </c>
      <c r="AK92">
        <v>5</v>
      </c>
      <c r="AL92" t="s">
        <v>358</v>
      </c>
      <c r="AM92" t="s">
        <v>359</v>
      </c>
      <c r="AN92" t="s">
        <v>360</v>
      </c>
      <c r="AO92" t="s">
        <v>1736</v>
      </c>
      <c r="AP92" t="s">
        <v>1737</v>
      </c>
      <c r="AQ92" t="s">
        <v>74</v>
      </c>
      <c r="AR92" t="s">
        <v>1738</v>
      </c>
      <c r="AS92" t="s">
        <v>74</v>
      </c>
      <c r="AT92" t="s">
        <v>74</v>
      </c>
      <c r="AU92">
        <v>2016</v>
      </c>
      <c r="AV92">
        <v>3</v>
      </c>
      <c r="AW92">
        <v>8</v>
      </c>
      <c r="AX92" t="s">
        <v>74</v>
      </c>
      <c r="AY92" t="s">
        <v>74</v>
      </c>
      <c r="AZ92" t="s">
        <v>74</v>
      </c>
      <c r="BA92" t="s">
        <v>74</v>
      </c>
      <c r="BB92">
        <v>71</v>
      </c>
      <c r="BC92">
        <v>78</v>
      </c>
      <c r="BD92" t="s">
        <v>74</v>
      </c>
      <c r="BE92" t="s">
        <v>1810</v>
      </c>
      <c r="BF92" t="str">
        <f>HYPERLINK("http://dx.doi.org/10.5194/isprsannals-III-8-71-2016","http://dx.doi.org/10.5194/isprsannals-III-8-71-2016")</f>
        <v>http://dx.doi.org/10.5194/isprsannals-III-8-71-2016</v>
      </c>
      <c r="BG92" t="s">
        <v>74</v>
      </c>
      <c r="BH92" t="s">
        <v>74</v>
      </c>
      <c r="BI92">
        <v>8</v>
      </c>
      <c r="BJ92" t="s">
        <v>1319</v>
      </c>
      <c r="BK92" t="s">
        <v>293</v>
      </c>
      <c r="BL92" t="s">
        <v>1320</v>
      </c>
      <c r="BM92" t="s">
        <v>1811</v>
      </c>
      <c r="BN92" t="s">
        <v>74</v>
      </c>
      <c r="BO92" t="s">
        <v>369</v>
      </c>
      <c r="BP92" t="s">
        <v>74</v>
      </c>
      <c r="BQ92" t="s">
        <v>74</v>
      </c>
      <c r="BR92" t="s">
        <v>100</v>
      </c>
      <c r="BS92" t="s">
        <v>1812</v>
      </c>
      <c r="BT92" t="str">
        <f>HYPERLINK("https%3A%2F%2Fwww.webofscience.com%2Fwos%2Fwoscc%2Ffull-record%2FWOS:000390406500010","View Full Record in Web of Science")</f>
        <v>View Full Record in Web of Science</v>
      </c>
    </row>
    <row r="93" spans="1:72" x14ac:dyDescent="0.15">
      <c r="A93" t="s">
        <v>72</v>
      </c>
      <c r="B93" t="s">
        <v>1813</v>
      </c>
      <c r="C93" t="s">
        <v>74</v>
      </c>
      <c r="D93" t="s">
        <v>74</v>
      </c>
      <c r="E93" t="s">
        <v>74</v>
      </c>
      <c r="F93" t="s">
        <v>1814</v>
      </c>
      <c r="G93" t="s">
        <v>74</v>
      </c>
      <c r="H93" t="s">
        <v>74</v>
      </c>
      <c r="I93" t="s">
        <v>1815</v>
      </c>
      <c r="J93" t="s">
        <v>1816</v>
      </c>
      <c r="K93" t="s">
        <v>74</v>
      </c>
      <c r="L93" t="s">
        <v>74</v>
      </c>
      <c r="M93" t="s">
        <v>200</v>
      </c>
      <c r="N93" t="s">
        <v>79</v>
      </c>
      <c r="O93" t="s">
        <v>74</v>
      </c>
      <c r="P93" t="s">
        <v>74</v>
      </c>
      <c r="Q93" t="s">
        <v>74</v>
      </c>
      <c r="R93" t="s">
        <v>74</v>
      </c>
      <c r="S93" t="s">
        <v>74</v>
      </c>
      <c r="T93" t="s">
        <v>1817</v>
      </c>
      <c r="U93" t="s">
        <v>1818</v>
      </c>
      <c r="V93" t="s">
        <v>1819</v>
      </c>
      <c r="W93" t="s">
        <v>1820</v>
      </c>
      <c r="X93" t="s">
        <v>1821</v>
      </c>
      <c r="Y93" t="s">
        <v>1822</v>
      </c>
      <c r="Z93" t="s">
        <v>1823</v>
      </c>
      <c r="AA93" t="s">
        <v>1824</v>
      </c>
      <c r="AB93" t="s">
        <v>1825</v>
      </c>
      <c r="AC93" t="s">
        <v>1826</v>
      </c>
      <c r="AD93" t="s">
        <v>1827</v>
      </c>
      <c r="AE93" t="s">
        <v>1828</v>
      </c>
      <c r="AF93" t="s">
        <v>74</v>
      </c>
      <c r="AG93">
        <v>27</v>
      </c>
      <c r="AH93">
        <v>8</v>
      </c>
      <c r="AI93">
        <v>8</v>
      </c>
      <c r="AJ93">
        <v>0</v>
      </c>
      <c r="AK93">
        <v>5</v>
      </c>
      <c r="AL93" t="s">
        <v>502</v>
      </c>
      <c r="AM93" t="s">
        <v>503</v>
      </c>
      <c r="AN93" t="s">
        <v>504</v>
      </c>
      <c r="AO93" t="s">
        <v>1829</v>
      </c>
      <c r="AP93" t="s">
        <v>1830</v>
      </c>
      <c r="AQ93" t="s">
        <v>74</v>
      </c>
      <c r="AR93" t="s">
        <v>1831</v>
      </c>
      <c r="AS93" t="s">
        <v>1832</v>
      </c>
      <c r="AT93" t="s">
        <v>74</v>
      </c>
      <c r="AU93">
        <v>2016</v>
      </c>
      <c r="AV93">
        <v>83</v>
      </c>
      <c r="AW93">
        <v>4</v>
      </c>
      <c r="AX93" t="s">
        <v>74</v>
      </c>
      <c r="AY93" t="s">
        <v>74</v>
      </c>
      <c r="AZ93" t="s">
        <v>74</v>
      </c>
      <c r="BA93" t="s">
        <v>74</v>
      </c>
      <c r="BB93">
        <v>531</v>
      </c>
      <c r="BC93">
        <v>542</v>
      </c>
      <c r="BD93" t="s">
        <v>74</v>
      </c>
      <c r="BE93" t="s">
        <v>1833</v>
      </c>
      <c r="BF93" t="str">
        <f>HYPERLINK("http://dx.doi.org/10.1080/11250003.2016.1259359","http://dx.doi.org/10.1080/11250003.2016.1259359")</f>
        <v>http://dx.doi.org/10.1080/11250003.2016.1259359</v>
      </c>
      <c r="BG93" t="s">
        <v>74</v>
      </c>
      <c r="BH93" t="s">
        <v>74</v>
      </c>
      <c r="BI93">
        <v>12</v>
      </c>
      <c r="BJ93" t="s">
        <v>672</v>
      </c>
      <c r="BK93" t="s">
        <v>264</v>
      </c>
      <c r="BL93" t="s">
        <v>672</v>
      </c>
      <c r="BM93" t="s">
        <v>1834</v>
      </c>
      <c r="BN93" t="s">
        <v>74</v>
      </c>
      <c r="BO93" t="s">
        <v>486</v>
      </c>
      <c r="BP93" t="s">
        <v>74</v>
      </c>
      <c r="BQ93" t="s">
        <v>74</v>
      </c>
      <c r="BR93" t="s">
        <v>100</v>
      </c>
      <c r="BS93" t="s">
        <v>1835</v>
      </c>
      <c r="BT93" t="str">
        <f>HYPERLINK("https%3A%2F%2Fwww.webofscience.com%2Fwos%2Fwoscc%2Ffull-record%2FWOS:000390320600010","View Full Record in Web of Science")</f>
        <v>View Full Record in Web of Science</v>
      </c>
    </row>
    <row r="94" spans="1:72" x14ac:dyDescent="0.15">
      <c r="A94" t="s">
        <v>72</v>
      </c>
      <c r="B94" t="s">
        <v>1836</v>
      </c>
      <c r="C94" t="s">
        <v>74</v>
      </c>
      <c r="D94" t="s">
        <v>74</v>
      </c>
      <c r="E94" t="s">
        <v>74</v>
      </c>
      <c r="F94" t="s">
        <v>1837</v>
      </c>
      <c r="G94" t="s">
        <v>74</v>
      </c>
      <c r="H94" t="s">
        <v>74</v>
      </c>
      <c r="I94" t="s">
        <v>1838</v>
      </c>
      <c r="J94" t="s">
        <v>1839</v>
      </c>
      <c r="K94" t="s">
        <v>74</v>
      </c>
      <c r="L94" t="s">
        <v>74</v>
      </c>
      <c r="M94" t="s">
        <v>200</v>
      </c>
      <c r="N94" t="s">
        <v>79</v>
      </c>
      <c r="O94" t="s">
        <v>74</v>
      </c>
      <c r="P94" t="s">
        <v>74</v>
      </c>
      <c r="Q94" t="s">
        <v>74</v>
      </c>
      <c r="R94" t="s">
        <v>74</v>
      </c>
      <c r="S94" t="s">
        <v>74</v>
      </c>
      <c r="T94" t="s">
        <v>1840</v>
      </c>
      <c r="U94" t="s">
        <v>1841</v>
      </c>
      <c r="V94" t="s">
        <v>1842</v>
      </c>
      <c r="W94" t="s">
        <v>1843</v>
      </c>
      <c r="X94" t="s">
        <v>1844</v>
      </c>
      <c r="Y94" t="s">
        <v>1845</v>
      </c>
      <c r="Z94" t="s">
        <v>1846</v>
      </c>
      <c r="AA94" t="s">
        <v>74</v>
      </c>
      <c r="AB94" t="s">
        <v>74</v>
      </c>
      <c r="AC94" t="s">
        <v>1847</v>
      </c>
      <c r="AD94" t="s">
        <v>1848</v>
      </c>
      <c r="AE94" t="s">
        <v>1849</v>
      </c>
      <c r="AF94" t="s">
        <v>74</v>
      </c>
      <c r="AG94">
        <v>80</v>
      </c>
      <c r="AH94">
        <v>20</v>
      </c>
      <c r="AI94">
        <v>20</v>
      </c>
      <c r="AJ94">
        <v>0</v>
      </c>
      <c r="AK94">
        <v>31</v>
      </c>
      <c r="AL94" t="s">
        <v>502</v>
      </c>
      <c r="AM94" t="s">
        <v>503</v>
      </c>
      <c r="AN94" t="s">
        <v>504</v>
      </c>
      <c r="AO94" t="s">
        <v>1850</v>
      </c>
      <c r="AP94" t="s">
        <v>1851</v>
      </c>
      <c r="AQ94" t="s">
        <v>74</v>
      </c>
      <c r="AR94" t="s">
        <v>1839</v>
      </c>
      <c r="AS94" t="s">
        <v>1852</v>
      </c>
      <c r="AT94" t="s">
        <v>74</v>
      </c>
      <c r="AU94">
        <v>2016</v>
      </c>
      <c r="AV94">
        <v>55</v>
      </c>
      <c r="AW94">
        <v>6</v>
      </c>
      <c r="AX94" t="s">
        <v>74</v>
      </c>
      <c r="AY94" t="s">
        <v>74</v>
      </c>
      <c r="AZ94" t="s">
        <v>74</v>
      </c>
      <c r="BA94" t="s">
        <v>74</v>
      </c>
      <c r="BB94">
        <v>703</v>
      </c>
      <c r="BC94">
        <v>714</v>
      </c>
      <c r="BD94" t="s">
        <v>74</v>
      </c>
      <c r="BE94" t="s">
        <v>1853</v>
      </c>
      <c r="BF94" t="str">
        <f>HYPERLINK("http://dx.doi.org/10.2216/15-127.1","http://dx.doi.org/10.2216/15-127.1")</f>
        <v>http://dx.doi.org/10.2216/15-127.1</v>
      </c>
      <c r="BG94" t="s">
        <v>74</v>
      </c>
      <c r="BH94" t="s">
        <v>74</v>
      </c>
      <c r="BI94">
        <v>12</v>
      </c>
      <c r="BJ94" t="s">
        <v>1854</v>
      </c>
      <c r="BK94" t="s">
        <v>264</v>
      </c>
      <c r="BL94" t="s">
        <v>1854</v>
      </c>
      <c r="BM94" t="s">
        <v>1855</v>
      </c>
      <c r="BN94" t="s">
        <v>74</v>
      </c>
      <c r="BO94" t="s">
        <v>74</v>
      </c>
      <c r="BP94" t="s">
        <v>74</v>
      </c>
      <c r="BQ94" t="s">
        <v>74</v>
      </c>
      <c r="BR94" t="s">
        <v>100</v>
      </c>
      <c r="BS94" t="s">
        <v>1856</v>
      </c>
      <c r="BT94" t="str">
        <f>HYPERLINK("https%3A%2F%2Fwww.webofscience.com%2Fwos%2Fwoscc%2Ffull-record%2FWOS:000390263000010","View Full Record in Web of Science")</f>
        <v>View Full Record in Web of Science</v>
      </c>
    </row>
    <row r="95" spans="1:72" x14ac:dyDescent="0.15">
      <c r="A95" t="s">
        <v>267</v>
      </c>
      <c r="B95" t="s">
        <v>1857</v>
      </c>
      <c r="C95" t="s">
        <v>74</v>
      </c>
      <c r="D95" t="s">
        <v>74</v>
      </c>
      <c r="E95" t="s">
        <v>269</v>
      </c>
      <c r="F95" t="s">
        <v>1858</v>
      </c>
      <c r="G95" t="s">
        <v>74</v>
      </c>
      <c r="H95" t="s">
        <v>74</v>
      </c>
      <c r="I95" t="s">
        <v>1859</v>
      </c>
      <c r="J95" t="s">
        <v>1860</v>
      </c>
      <c r="K95" t="s">
        <v>1861</v>
      </c>
      <c r="L95" t="s">
        <v>74</v>
      </c>
      <c r="M95" t="s">
        <v>200</v>
      </c>
      <c r="N95" t="s">
        <v>273</v>
      </c>
      <c r="O95" t="s">
        <v>1862</v>
      </c>
      <c r="P95" t="s">
        <v>1863</v>
      </c>
      <c r="Q95" t="s">
        <v>1864</v>
      </c>
      <c r="R95" t="s">
        <v>74</v>
      </c>
      <c r="S95" t="s">
        <v>74</v>
      </c>
      <c r="T95" t="s">
        <v>1865</v>
      </c>
      <c r="U95" t="s">
        <v>74</v>
      </c>
      <c r="V95" t="s">
        <v>1866</v>
      </c>
      <c r="W95" t="s">
        <v>1867</v>
      </c>
      <c r="X95" t="s">
        <v>1868</v>
      </c>
      <c r="Y95" t="s">
        <v>1869</v>
      </c>
      <c r="Z95" t="s">
        <v>1870</v>
      </c>
      <c r="AA95" t="s">
        <v>74</v>
      </c>
      <c r="AB95" t="s">
        <v>74</v>
      </c>
      <c r="AC95" t="s">
        <v>74</v>
      </c>
      <c r="AD95" t="s">
        <v>74</v>
      </c>
      <c r="AE95" t="s">
        <v>74</v>
      </c>
      <c r="AF95" t="s">
        <v>74</v>
      </c>
      <c r="AG95">
        <v>6</v>
      </c>
      <c r="AH95">
        <v>0</v>
      </c>
      <c r="AI95">
        <v>0</v>
      </c>
      <c r="AJ95">
        <v>0</v>
      </c>
      <c r="AK95">
        <v>7</v>
      </c>
      <c r="AL95" t="s">
        <v>269</v>
      </c>
      <c r="AM95" t="s">
        <v>289</v>
      </c>
      <c r="AN95" t="s">
        <v>290</v>
      </c>
      <c r="AO95" t="s">
        <v>1871</v>
      </c>
      <c r="AP95" t="s">
        <v>74</v>
      </c>
      <c r="AQ95" t="s">
        <v>1872</v>
      </c>
      <c r="AR95" t="s">
        <v>1873</v>
      </c>
      <c r="AS95" t="s">
        <v>74</v>
      </c>
      <c r="AT95" t="s">
        <v>74</v>
      </c>
      <c r="AU95">
        <v>2016</v>
      </c>
      <c r="AV95" t="s">
        <v>74</v>
      </c>
      <c r="AW95" t="s">
        <v>74</v>
      </c>
      <c r="AX95" t="s">
        <v>74</v>
      </c>
      <c r="AY95" t="s">
        <v>74</v>
      </c>
      <c r="AZ95" t="s">
        <v>74</v>
      </c>
      <c r="BA95" t="s">
        <v>74</v>
      </c>
      <c r="BB95">
        <v>281</v>
      </c>
      <c r="BC95">
        <v>284</v>
      </c>
      <c r="BD95" t="s">
        <v>74</v>
      </c>
      <c r="BE95" t="s">
        <v>74</v>
      </c>
      <c r="BF95" t="s">
        <v>74</v>
      </c>
      <c r="BG95" t="s">
        <v>74</v>
      </c>
      <c r="BH95" t="s">
        <v>74</v>
      </c>
      <c r="BI95">
        <v>4</v>
      </c>
      <c r="BJ95" t="s">
        <v>1366</v>
      </c>
      <c r="BK95" t="s">
        <v>293</v>
      </c>
      <c r="BL95" t="s">
        <v>572</v>
      </c>
      <c r="BM95" t="s">
        <v>1874</v>
      </c>
      <c r="BN95" t="s">
        <v>74</v>
      </c>
      <c r="BO95" t="s">
        <v>74</v>
      </c>
      <c r="BP95" t="s">
        <v>74</v>
      </c>
      <c r="BQ95" t="s">
        <v>74</v>
      </c>
      <c r="BR95" t="s">
        <v>100</v>
      </c>
      <c r="BS95" t="s">
        <v>1875</v>
      </c>
      <c r="BT95" t="str">
        <f>HYPERLINK("https%3A%2F%2Fwww.webofscience.com%2Fwos%2Fwoscc%2Ffull-record%2FWOS:000389514300055","View Full Record in Web of Science")</f>
        <v>View Full Record in Web of Science</v>
      </c>
    </row>
    <row r="96" spans="1:72" x14ac:dyDescent="0.15">
      <c r="A96" t="s">
        <v>72</v>
      </c>
      <c r="B96" t="s">
        <v>1876</v>
      </c>
      <c r="C96" t="s">
        <v>74</v>
      </c>
      <c r="D96" t="s">
        <v>74</v>
      </c>
      <c r="E96" t="s">
        <v>74</v>
      </c>
      <c r="F96" t="s">
        <v>1877</v>
      </c>
      <c r="G96" t="s">
        <v>74</v>
      </c>
      <c r="H96" t="s">
        <v>74</v>
      </c>
      <c r="I96" t="s">
        <v>1878</v>
      </c>
      <c r="J96" t="s">
        <v>1879</v>
      </c>
      <c r="K96" t="s">
        <v>74</v>
      </c>
      <c r="L96" t="s">
        <v>74</v>
      </c>
      <c r="M96" t="s">
        <v>200</v>
      </c>
      <c r="N96" t="s">
        <v>79</v>
      </c>
      <c r="O96" t="s">
        <v>74</v>
      </c>
      <c r="P96" t="s">
        <v>74</v>
      </c>
      <c r="Q96" t="s">
        <v>74</v>
      </c>
      <c r="R96" t="s">
        <v>74</v>
      </c>
      <c r="S96" t="s">
        <v>74</v>
      </c>
      <c r="T96" t="s">
        <v>74</v>
      </c>
      <c r="U96" t="s">
        <v>1880</v>
      </c>
      <c r="V96" t="s">
        <v>1881</v>
      </c>
      <c r="W96" t="s">
        <v>1882</v>
      </c>
      <c r="X96" t="s">
        <v>1883</v>
      </c>
      <c r="Y96" t="s">
        <v>1884</v>
      </c>
      <c r="Z96" t="s">
        <v>1885</v>
      </c>
      <c r="AA96" t="s">
        <v>74</v>
      </c>
      <c r="AB96" t="s">
        <v>1886</v>
      </c>
      <c r="AC96" t="s">
        <v>1887</v>
      </c>
      <c r="AD96" t="s">
        <v>1888</v>
      </c>
      <c r="AE96" t="s">
        <v>1889</v>
      </c>
      <c r="AF96" t="s">
        <v>74</v>
      </c>
      <c r="AG96">
        <v>39</v>
      </c>
      <c r="AH96">
        <v>7</v>
      </c>
      <c r="AI96">
        <v>7</v>
      </c>
      <c r="AJ96">
        <v>0</v>
      </c>
      <c r="AK96">
        <v>6</v>
      </c>
      <c r="AL96" t="s">
        <v>1890</v>
      </c>
      <c r="AM96" t="s">
        <v>1891</v>
      </c>
      <c r="AN96" t="s">
        <v>1892</v>
      </c>
      <c r="AO96" t="s">
        <v>1893</v>
      </c>
      <c r="AP96" t="s">
        <v>74</v>
      </c>
      <c r="AQ96" t="s">
        <v>74</v>
      </c>
      <c r="AR96" t="s">
        <v>1894</v>
      </c>
      <c r="AS96" t="s">
        <v>1895</v>
      </c>
      <c r="AT96" t="s">
        <v>74</v>
      </c>
      <c r="AU96">
        <v>2016</v>
      </c>
      <c r="AV96">
        <v>23</v>
      </c>
      <c r="AW96" t="s">
        <v>74</v>
      </c>
      <c r="AX96" t="s">
        <v>74</v>
      </c>
      <c r="AY96" t="s">
        <v>74</v>
      </c>
      <c r="AZ96" t="s">
        <v>74</v>
      </c>
      <c r="BA96" t="s">
        <v>74</v>
      </c>
      <c r="BB96">
        <v>17</v>
      </c>
      <c r="BC96">
        <v>30</v>
      </c>
      <c r="BD96" t="s">
        <v>74</v>
      </c>
      <c r="BE96" t="s">
        <v>74</v>
      </c>
      <c r="BF96" t="s">
        <v>74</v>
      </c>
      <c r="BG96" t="s">
        <v>74</v>
      </c>
      <c r="BH96" t="s">
        <v>74</v>
      </c>
      <c r="BI96">
        <v>14</v>
      </c>
      <c r="BJ96" t="s">
        <v>263</v>
      </c>
      <c r="BK96" t="s">
        <v>264</v>
      </c>
      <c r="BL96" t="s">
        <v>263</v>
      </c>
      <c r="BM96" t="s">
        <v>1896</v>
      </c>
      <c r="BN96" t="s">
        <v>74</v>
      </c>
      <c r="BO96" t="s">
        <v>74</v>
      </c>
      <c r="BP96" t="s">
        <v>74</v>
      </c>
      <c r="BQ96" t="s">
        <v>74</v>
      </c>
      <c r="BR96" t="s">
        <v>100</v>
      </c>
      <c r="BS96" t="s">
        <v>1897</v>
      </c>
      <c r="BT96" t="str">
        <f>HYPERLINK("https%3A%2F%2Fwww.webofscience.com%2Fwos%2Fwoscc%2Ffull-record%2FWOS:000389894300002","View Full Record in Web of Science")</f>
        <v>View Full Record in Web of Science</v>
      </c>
    </row>
    <row r="97" spans="1:72" x14ac:dyDescent="0.15">
      <c r="A97" t="s">
        <v>267</v>
      </c>
      <c r="B97" t="s">
        <v>1898</v>
      </c>
      <c r="C97" t="s">
        <v>74</v>
      </c>
      <c r="D97" t="s">
        <v>1899</v>
      </c>
      <c r="E97" t="s">
        <v>74</v>
      </c>
      <c r="F97" t="s">
        <v>1900</v>
      </c>
      <c r="G97" t="s">
        <v>74</v>
      </c>
      <c r="H97" t="s">
        <v>74</v>
      </c>
      <c r="I97" t="s">
        <v>1901</v>
      </c>
      <c r="J97" t="s">
        <v>1902</v>
      </c>
      <c r="K97" t="s">
        <v>1053</v>
      </c>
      <c r="L97" t="s">
        <v>74</v>
      </c>
      <c r="M97" t="s">
        <v>200</v>
      </c>
      <c r="N97" t="s">
        <v>273</v>
      </c>
      <c r="O97" t="s">
        <v>1903</v>
      </c>
      <c r="P97" t="s">
        <v>1782</v>
      </c>
      <c r="Q97" t="s">
        <v>1129</v>
      </c>
      <c r="R97" t="s">
        <v>74</v>
      </c>
      <c r="S97" t="s">
        <v>74</v>
      </c>
      <c r="T97" t="s">
        <v>1904</v>
      </c>
      <c r="U97" t="s">
        <v>74</v>
      </c>
      <c r="V97" t="s">
        <v>1905</v>
      </c>
      <c r="W97" t="s">
        <v>1906</v>
      </c>
      <c r="X97" t="s">
        <v>1907</v>
      </c>
      <c r="Y97" t="s">
        <v>1908</v>
      </c>
      <c r="Z97" t="s">
        <v>74</v>
      </c>
      <c r="AA97" t="s">
        <v>74</v>
      </c>
      <c r="AB97" t="s">
        <v>74</v>
      </c>
      <c r="AC97" t="s">
        <v>74</v>
      </c>
      <c r="AD97" t="s">
        <v>74</v>
      </c>
      <c r="AE97" t="s">
        <v>74</v>
      </c>
      <c r="AF97" t="s">
        <v>74</v>
      </c>
      <c r="AG97">
        <v>8</v>
      </c>
      <c r="AH97">
        <v>1</v>
      </c>
      <c r="AI97">
        <v>1</v>
      </c>
      <c r="AJ97">
        <v>0</v>
      </c>
      <c r="AK97">
        <v>5</v>
      </c>
      <c r="AL97" t="s">
        <v>1067</v>
      </c>
      <c r="AM97" t="s">
        <v>1068</v>
      </c>
      <c r="AN97" t="s">
        <v>1069</v>
      </c>
      <c r="AO97" t="s">
        <v>1070</v>
      </c>
      <c r="AP97" t="s">
        <v>1107</v>
      </c>
      <c r="AQ97" t="s">
        <v>1909</v>
      </c>
      <c r="AR97" t="s">
        <v>1072</v>
      </c>
      <c r="AS97" t="s">
        <v>74</v>
      </c>
      <c r="AT97" t="s">
        <v>74</v>
      </c>
      <c r="AU97">
        <v>2016</v>
      </c>
      <c r="AV97">
        <v>9906</v>
      </c>
      <c r="AW97" t="s">
        <v>74</v>
      </c>
      <c r="AX97">
        <v>1</v>
      </c>
      <c r="AY97" t="s">
        <v>74</v>
      </c>
      <c r="AZ97" t="s">
        <v>74</v>
      </c>
      <c r="BA97" t="s">
        <v>74</v>
      </c>
      <c r="BB97" t="s">
        <v>74</v>
      </c>
      <c r="BC97" t="s">
        <v>74</v>
      </c>
      <c r="BD97" t="s">
        <v>1910</v>
      </c>
      <c r="BE97" t="s">
        <v>1911</v>
      </c>
      <c r="BF97" t="str">
        <f>HYPERLINK("http://dx.doi.org/10.1117/12.2230671","http://dx.doi.org/10.1117/12.2230671")</f>
        <v>http://dx.doi.org/10.1117/12.2230671</v>
      </c>
      <c r="BG97" t="s">
        <v>74</v>
      </c>
      <c r="BH97" t="s">
        <v>74</v>
      </c>
      <c r="BI97">
        <v>6</v>
      </c>
      <c r="BJ97" t="s">
        <v>1794</v>
      </c>
      <c r="BK97" t="s">
        <v>293</v>
      </c>
      <c r="BL97" t="s">
        <v>1794</v>
      </c>
      <c r="BM97" t="s">
        <v>1912</v>
      </c>
      <c r="BN97" t="s">
        <v>74</v>
      </c>
      <c r="BO97" t="s">
        <v>74</v>
      </c>
      <c r="BP97" t="s">
        <v>74</v>
      </c>
      <c r="BQ97" t="s">
        <v>74</v>
      </c>
      <c r="BR97" t="s">
        <v>100</v>
      </c>
      <c r="BS97" t="s">
        <v>1913</v>
      </c>
      <c r="BT97" t="str">
        <f>HYPERLINK("https%3A%2F%2Fwww.webofscience.com%2Fwos%2Fwoscc%2Ffull-record%2FWOS:000387731100174","View Full Record in Web of Science")</f>
        <v>View Full Record in Web of Science</v>
      </c>
    </row>
    <row r="98" spans="1:72" x14ac:dyDescent="0.15">
      <c r="A98" t="s">
        <v>267</v>
      </c>
      <c r="B98" t="s">
        <v>1914</v>
      </c>
      <c r="C98" t="s">
        <v>74</v>
      </c>
      <c r="D98" t="s">
        <v>1899</v>
      </c>
      <c r="E98" t="s">
        <v>74</v>
      </c>
      <c r="F98" t="s">
        <v>1915</v>
      </c>
      <c r="G98" t="s">
        <v>74</v>
      </c>
      <c r="H98" t="s">
        <v>74</v>
      </c>
      <c r="I98" t="s">
        <v>1916</v>
      </c>
      <c r="J98" t="s">
        <v>1902</v>
      </c>
      <c r="K98" t="s">
        <v>1053</v>
      </c>
      <c r="L98" t="s">
        <v>74</v>
      </c>
      <c r="M98" t="s">
        <v>200</v>
      </c>
      <c r="N98" t="s">
        <v>273</v>
      </c>
      <c r="O98" t="s">
        <v>1903</v>
      </c>
      <c r="P98" t="s">
        <v>1782</v>
      </c>
      <c r="Q98" t="s">
        <v>1129</v>
      </c>
      <c r="R98" t="s">
        <v>74</v>
      </c>
      <c r="S98" t="s">
        <v>74</v>
      </c>
      <c r="T98" t="s">
        <v>1917</v>
      </c>
      <c r="U98" t="s">
        <v>1918</v>
      </c>
      <c r="V98" t="s">
        <v>1919</v>
      </c>
      <c r="W98" t="s">
        <v>1920</v>
      </c>
      <c r="X98" t="s">
        <v>1921</v>
      </c>
      <c r="Y98" t="s">
        <v>1922</v>
      </c>
      <c r="Z98" t="s">
        <v>1923</v>
      </c>
      <c r="AA98" t="s">
        <v>74</v>
      </c>
      <c r="AB98" t="s">
        <v>1924</v>
      </c>
      <c r="AC98" t="s">
        <v>74</v>
      </c>
      <c r="AD98" t="s">
        <v>74</v>
      </c>
      <c r="AE98" t="s">
        <v>74</v>
      </c>
      <c r="AF98" t="s">
        <v>74</v>
      </c>
      <c r="AG98">
        <v>10</v>
      </c>
      <c r="AH98">
        <v>0</v>
      </c>
      <c r="AI98">
        <v>0</v>
      </c>
      <c r="AJ98">
        <v>0</v>
      </c>
      <c r="AK98">
        <v>1</v>
      </c>
      <c r="AL98" t="s">
        <v>1067</v>
      </c>
      <c r="AM98" t="s">
        <v>1068</v>
      </c>
      <c r="AN98" t="s">
        <v>1069</v>
      </c>
      <c r="AO98" t="s">
        <v>1070</v>
      </c>
      <c r="AP98" t="s">
        <v>1107</v>
      </c>
      <c r="AQ98" t="s">
        <v>1909</v>
      </c>
      <c r="AR98" t="s">
        <v>1072</v>
      </c>
      <c r="AS98" t="s">
        <v>74</v>
      </c>
      <c r="AT98" t="s">
        <v>74</v>
      </c>
      <c r="AU98">
        <v>2016</v>
      </c>
      <c r="AV98">
        <v>9906</v>
      </c>
      <c r="AW98" t="s">
        <v>74</v>
      </c>
      <c r="AX98">
        <v>1</v>
      </c>
      <c r="AY98" t="s">
        <v>74</v>
      </c>
      <c r="AZ98" t="s">
        <v>74</v>
      </c>
      <c r="BA98" t="s">
        <v>74</v>
      </c>
      <c r="BB98" t="s">
        <v>74</v>
      </c>
      <c r="BC98" t="s">
        <v>74</v>
      </c>
      <c r="BD98" t="s">
        <v>1925</v>
      </c>
      <c r="BE98" t="s">
        <v>1926</v>
      </c>
      <c r="BF98" t="str">
        <f>HYPERLINK("http://dx.doi.org/10.1117/12.2231928","http://dx.doi.org/10.1117/12.2231928")</f>
        <v>http://dx.doi.org/10.1117/12.2231928</v>
      </c>
      <c r="BG98" t="s">
        <v>74</v>
      </c>
      <c r="BH98" t="s">
        <v>74</v>
      </c>
      <c r="BI98">
        <v>7</v>
      </c>
      <c r="BJ98" t="s">
        <v>1794</v>
      </c>
      <c r="BK98" t="s">
        <v>293</v>
      </c>
      <c r="BL98" t="s">
        <v>1794</v>
      </c>
      <c r="BM98" t="s">
        <v>1912</v>
      </c>
      <c r="BN98" t="s">
        <v>74</v>
      </c>
      <c r="BO98" t="s">
        <v>74</v>
      </c>
      <c r="BP98" t="s">
        <v>74</v>
      </c>
      <c r="BQ98" t="s">
        <v>74</v>
      </c>
      <c r="BR98" t="s">
        <v>100</v>
      </c>
      <c r="BS98" t="s">
        <v>1927</v>
      </c>
      <c r="BT98" t="str">
        <f>HYPERLINK("https%3A%2F%2Fwww.webofscience.com%2Fwos%2Fwoscc%2Ffull-record%2FWOS:000387731100008","View Full Record in Web of Science")</f>
        <v>View Full Record in Web of Science</v>
      </c>
    </row>
    <row r="99" spans="1:72" x14ac:dyDescent="0.15">
      <c r="A99" t="s">
        <v>267</v>
      </c>
      <c r="B99" t="s">
        <v>1928</v>
      </c>
      <c r="C99" t="s">
        <v>74</v>
      </c>
      <c r="D99" t="s">
        <v>1899</v>
      </c>
      <c r="E99" t="s">
        <v>74</v>
      </c>
      <c r="F99" t="s">
        <v>1929</v>
      </c>
      <c r="G99" t="s">
        <v>74</v>
      </c>
      <c r="H99" t="s">
        <v>74</v>
      </c>
      <c r="I99" t="s">
        <v>1930</v>
      </c>
      <c r="J99" t="s">
        <v>1902</v>
      </c>
      <c r="K99" t="s">
        <v>1053</v>
      </c>
      <c r="L99" t="s">
        <v>74</v>
      </c>
      <c r="M99" t="s">
        <v>200</v>
      </c>
      <c r="N99" t="s">
        <v>273</v>
      </c>
      <c r="O99" t="s">
        <v>1903</v>
      </c>
      <c r="P99" t="s">
        <v>1782</v>
      </c>
      <c r="Q99" t="s">
        <v>1129</v>
      </c>
      <c r="R99" t="s">
        <v>74</v>
      </c>
      <c r="S99" t="s">
        <v>74</v>
      </c>
      <c r="T99" t="s">
        <v>1931</v>
      </c>
      <c r="U99" t="s">
        <v>74</v>
      </c>
      <c r="V99" t="s">
        <v>1932</v>
      </c>
      <c r="W99" t="s">
        <v>1933</v>
      </c>
      <c r="X99" t="s">
        <v>1934</v>
      </c>
      <c r="Y99" t="s">
        <v>1935</v>
      </c>
      <c r="Z99" t="s">
        <v>1936</v>
      </c>
      <c r="AA99" t="s">
        <v>1937</v>
      </c>
      <c r="AB99" t="s">
        <v>1938</v>
      </c>
      <c r="AC99" t="s">
        <v>74</v>
      </c>
      <c r="AD99" t="s">
        <v>74</v>
      </c>
      <c r="AE99" t="s">
        <v>74</v>
      </c>
      <c r="AF99" t="s">
        <v>74</v>
      </c>
      <c r="AG99">
        <v>6</v>
      </c>
      <c r="AH99">
        <v>8</v>
      </c>
      <c r="AI99">
        <v>10</v>
      </c>
      <c r="AJ99">
        <v>1</v>
      </c>
      <c r="AK99">
        <v>3</v>
      </c>
      <c r="AL99" t="s">
        <v>1067</v>
      </c>
      <c r="AM99" t="s">
        <v>1068</v>
      </c>
      <c r="AN99" t="s">
        <v>1069</v>
      </c>
      <c r="AO99" t="s">
        <v>1070</v>
      </c>
      <c r="AP99" t="s">
        <v>1107</v>
      </c>
      <c r="AQ99" t="s">
        <v>1909</v>
      </c>
      <c r="AR99" t="s">
        <v>1072</v>
      </c>
      <c r="AS99" t="s">
        <v>74</v>
      </c>
      <c r="AT99" t="s">
        <v>74</v>
      </c>
      <c r="AU99">
        <v>2016</v>
      </c>
      <c r="AV99">
        <v>9906</v>
      </c>
      <c r="AW99" t="s">
        <v>74</v>
      </c>
      <c r="AX99">
        <v>1</v>
      </c>
      <c r="AY99" t="s">
        <v>74</v>
      </c>
      <c r="AZ99" t="s">
        <v>74</v>
      </c>
      <c r="BA99" t="s">
        <v>74</v>
      </c>
      <c r="BB99" t="s">
        <v>74</v>
      </c>
      <c r="BC99" t="s">
        <v>74</v>
      </c>
      <c r="BD99" t="s">
        <v>1939</v>
      </c>
      <c r="BE99" t="s">
        <v>1940</v>
      </c>
      <c r="BF99" t="str">
        <f>HYPERLINK("http://dx.doi.org/10.1117/12.2233694","http://dx.doi.org/10.1117/12.2233694")</f>
        <v>http://dx.doi.org/10.1117/12.2233694</v>
      </c>
      <c r="BG99" t="s">
        <v>74</v>
      </c>
      <c r="BH99" t="s">
        <v>74</v>
      </c>
      <c r="BI99">
        <v>12</v>
      </c>
      <c r="BJ99" t="s">
        <v>1794</v>
      </c>
      <c r="BK99" t="s">
        <v>293</v>
      </c>
      <c r="BL99" t="s">
        <v>1794</v>
      </c>
      <c r="BM99" t="s">
        <v>1912</v>
      </c>
      <c r="BN99" t="s">
        <v>74</v>
      </c>
      <c r="BO99" t="s">
        <v>1941</v>
      </c>
      <c r="BP99" t="s">
        <v>74</v>
      </c>
      <c r="BQ99" t="s">
        <v>74</v>
      </c>
      <c r="BR99" t="s">
        <v>100</v>
      </c>
      <c r="BS99" t="s">
        <v>1942</v>
      </c>
      <c r="BT99" t="str">
        <f>HYPERLINK("https%3A%2F%2Fwww.webofscience.com%2Fwos%2Fwoscc%2Ffull-record%2FWOS:000387731100069","View Full Record in Web of Science")</f>
        <v>View Full Record in Web of Science</v>
      </c>
    </row>
    <row r="100" spans="1:72" x14ac:dyDescent="0.15">
      <c r="A100" t="s">
        <v>267</v>
      </c>
      <c r="B100" t="s">
        <v>1943</v>
      </c>
      <c r="C100" t="s">
        <v>74</v>
      </c>
      <c r="D100" t="s">
        <v>1899</v>
      </c>
      <c r="E100" t="s">
        <v>74</v>
      </c>
      <c r="F100" t="s">
        <v>1944</v>
      </c>
      <c r="G100" t="s">
        <v>74</v>
      </c>
      <c r="H100" t="s">
        <v>74</v>
      </c>
      <c r="I100" t="s">
        <v>1945</v>
      </c>
      <c r="J100" t="s">
        <v>1902</v>
      </c>
      <c r="K100" t="s">
        <v>1053</v>
      </c>
      <c r="L100" t="s">
        <v>74</v>
      </c>
      <c r="M100" t="s">
        <v>200</v>
      </c>
      <c r="N100" t="s">
        <v>273</v>
      </c>
      <c r="O100" t="s">
        <v>1903</v>
      </c>
      <c r="P100" t="s">
        <v>1782</v>
      </c>
      <c r="Q100" t="s">
        <v>1129</v>
      </c>
      <c r="R100" t="s">
        <v>74</v>
      </c>
      <c r="S100" t="s">
        <v>74</v>
      </c>
      <c r="T100" t="s">
        <v>1946</v>
      </c>
      <c r="U100" t="s">
        <v>1947</v>
      </c>
      <c r="V100" t="s">
        <v>1948</v>
      </c>
      <c r="W100" t="s">
        <v>1949</v>
      </c>
      <c r="X100" t="s">
        <v>1950</v>
      </c>
      <c r="Y100" t="s">
        <v>1951</v>
      </c>
      <c r="Z100" t="s">
        <v>74</v>
      </c>
      <c r="AA100" t="s">
        <v>1952</v>
      </c>
      <c r="AB100" t="s">
        <v>1953</v>
      </c>
      <c r="AC100" t="s">
        <v>74</v>
      </c>
      <c r="AD100" t="s">
        <v>74</v>
      </c>
      <c r="AE100" t="s">
        <v>74</v>
      </c>
      <c r="AF100" t="s">
        <v>74</v>
      </c>
      <c r="AG100">
        <v>14</v>
      </c>
      <c r="AH100">
        <v>3</v>
      </c>
      <c r="AI100">
        <v>3</v>
      </c>
      <c r="AJ100">
        <v>0</v>
      </c>
      <c r="AK100">
        <v>2</v>
      </c>
      <c r="AL100" t="s">
        <v>1067</v>
      </c>
      <c r="AM100" t="s">
        <v>1068</v>
      </c>
      <c r="AN100" t="s">
        <v>1069</v>
      </c>
      <c r="AO100" t="s">
        <v>1070</v>
      </c>
      <c r="AP100" t="s">
        <v>1107</v>
      </c>
      <c r="AQ100" t="s">
        <v>1909</v>
      </c>
      <c r="AR100" t="s">
        <v>1072</v>
      </c>
      <c r="AS100" t="s">
        <v>74</v>
      </c>
      <c r="AT100" t="s">
        <v>74</v>
      </c>
      <c r="AU100">
        <v>2016</v>
      </c>
      <c r="AV100">
        <v>9906</v>
      </c>
      <c r="AW100" t="s">
        <v>74</v>
      </c>
      <c r="AX100">
        <v>1</v>
      </c>
      <c r="AY100" t="s">
        <v>74</v>
      </c>
      <c r="AZ100" t="s">
        <v>74</v>
      </c>
      <c r="BA100" t="s">
        <v>74</v>
      </c>
      <c r="BB100" t="s">
        <v>74</v>
      </c>
      <c r="BC100" t="s">
        <v>74</v>
      </c>
      <c r="BD100" t="s">
        <v>1954</v>
      </c>
      <c r="BE100" t="s">
        <v>1955</v>
      </c>
      <c r="BF100" t="str">
        <f>HYPERLINK("http://dx.doi.org/10.1117/12.2232282","http://dx.doi.org/10.1117/12.2232282")</f>
        <v>http://dx.doi.org/10.1117/12.2232282</v>
      </c>
      <c r="BG100" t="s">
        <v>74</v>
      </c>
      <c r="BH100" t="s">
        <v>74</v>
      </c>
      <c r="BI100">
        <v>8</v>
      </c>
      <c r="BJ100" t="s">
        <v>1794</v>
      </c>
      <c r="BK100" t="s">
        <v>293</v>
      </c>
      <c r="BL100" t="s">
        <v>1794</v>
      </c>
      <c r="BM100" t="s">
        <v>1912</v>
      </c>
      <c r="BN100" t="s">
        <v>74</v>
      </c>
      <c r="BO100" t="s">
        <v>74</v>
      </c>
      <c r="BP100" t="s">
        <v>74</v>
      </c>
      <c r="BQ100" t="s">
        <v>74</v>
      </c>
      <c r="BR100" t="s">
        <v>100</v>
      </c>
      <c r="BS100" t="s">
        <v>1956</v>
      </c>
      <c r="BT100" t="str">
        <f>HYPERLINK("https%3A%2F%2Fwww.webofscience.com%2Fwos%2Fwoscc%2Ffull-record%2FWOS:000387731100050","View Full Record in Web of Science")</f>
        <v>View Full Record in Web of Science</v>
      </c>
    </row>
    <row r="101" spans="1:72" x14ac:dyDescent="0.15">
      <c r="A101" t="s">
        <v>72</v>
      </c>
      <c r="B101" t="s">
        <v>1957</v>
      </c>
      <c r="C101" t="s">
        <v>74</v>
      </c>
      <c r="D101" t="s">
        <v>74</v>
      </c>
      <c r="E101" t="s">
        <v>74</v>
      </c>
      <c r="F101" t="s">
        <v>1958</v>
      </c>
      <c r="G101" t="s">
        <v>74</v>
      </c>
      <c r="H101" t="s">
        <v>74</v>
      </c>
      <c r="I101" t="s">
        <v>1959</v>
      </c>
      <c r="J101" t="s">
        <v>701</v>
      </c>
      <c r="K101" t="s">
        <v>74</v>
      </c>
      <c r="L101" t="s">
        <v>74</v>
      </c>
      <c r="M101" t="s">
        <v>200</v>
      </c>
      <c r="N101" t="s">
        <v>79</v>
      </c>
      <c r="O101" t="s">
        <v>74</v>
      </c>
      <c r="P101" t="s">
        <v>74</v>
      </c>
      <c r="Q101" t="s">
        <v>74</v>
      </c>
      <c r="R101" t="s">
        <v>74</v>
      </c>
      <c r="S101" t="s">
        <v>74</v>
      </c>
      <c r="T101" t="s">
        <v>1960</v>
      </c>
      <c r="U101" t="s">
        <v>1961</v>
      </c>
      <c r="V101" t="s">
        <v>1962</v>
      </c>
      <c r="W101" t="s">
        <v>1963</v>
      </c>
      <c r="X101" t="s">
        <v>1964</v>
      </c>
      <c r="Y101" t="s">
        <v>1965</v>
      </c>
      <c r="Z101" t="s">
        <v>1966</v>
      </c>
      <c r="AA101" t="s">
        <v>74</v>
      </c>
      <c r="AB101" t="s">
        <v>74</v>
      </c>
      <c r="AC101" t="s">
        <v>74</v>
      </c>
      <c r="AD101" t="s">
        <v>74</v>
      </c>
      <c r="AE101" t="s">
        <v>74</v>
      </c>
      <c r="AF101" t="s">
        <v>74</v>
      </c>
      <c r="AG101">
        <v>17</v>
      </c>
      <c r="AH101">
        <v>7</v>
      </c>
      <c r="AI101">
        <v>8</v>
      </c>
      <c r="AJ101">
        <v>0</v>
      </c>
      <c r="AK101">
        <v>24</v>
      </c>
      <c r="AL101" t="s">
        <v>1967</v>
      </c>
      <c r="AM101" t="s">
        <v>1968</v>
      </c>
      <c r="AN101" t="s">
        <v>1969</v>
      </c>
      <c r="AO101" t="s">
        <v>705</v>
      </c>
      <c r="AP101" t="s">
        <v>706</v>
      </c>
      <c r="AQ101" t="s">
        <v>74</v>
      </c>
      <c r="AR101" t="s">
        <v>707</v>
      </c>
      <c r="AS101" t="s">
        <v>708</v>
      </c>
      <c r="AT101" t="s">
        <v>74</v>
      </c>
      <c r="AU101">
        <v>2016</v>
      </c>
      <c r="AV101">
        <v>75</v>
      </c>
      <c r="AW101" t="s">
        <v>74</v>
      </c>
      <c r="AX101" t="s">
        <v>74</v>
      </c>
      <c r="AY101" t="s">
        <v>74</v>
      </c>
      <c r="AZ101" t="s">
        <v>74</v>
      </c>
      <c r="BA101" t="s">
        <v>74</v>
      </c>
      <c r="BB101" t="s">
        <v>74</v>
      </c>
      <c r="BC101" t="s">
        <v>74</v>
      </c>
      <c r="BD101">
        <v>33564</v>
      </c>
      <c r="BE101" t="s">
        <v>1970</v>
      </c>
      <c r="BF101" t="str">
        <f>HYPERLINK("http://dx.doi.org/10.3402/ijch.v75.33564","http://dx.doi.org/10.3402/ijch.v75.33564")</f>
        <v>http://dx.doi.org/10.3402/ijch.v75.33564</v>
      </c>
      <c r="BG101" t="s">
        <v>74</v>
      </c>
      <c r="BH101" t="s">
        <v>74</v>
      </c>
      <c r="BI101">
        <v>5</v>
      </c>
      <c r="BJ101" t="s">
        <v>709</v>
      </c>
      <c r="BK101" t="s">
        <v>710</v>
      </c>
      <c r="BL101" t="s">
        <v>709</v>
      </c>
      <c r="BM101" t="s">
        <v>1971</v>
      </c>
      <c r="BN101" t="s">
        <v>74</v>
      </c>
      <c r="BO101" t="s">
        <v>523</v>
      </c>
      <c r="BP101" t="s">
        <v>74</v>
      </c>
      <c r="BQ101" t="s">
        <v>74</v>
      </c>
      <c r="BR101" t="s">
        <v>100</v>
      </c>
      <c r="BS101" t="s">
        <v>1972</v>
      </c>
      <c r="BT101" t="str">
        <f>HYPERLINK("https%3A%2F%2Fwww.webofscience.com%2Fwos%2Fwoscc%2Ffull-record%2FWOS:000389695300001","View Full Record in Web of Science")</f>
        <v>View Full Record in Web of Science</v>
      </c>
    </row>
    <row r="102" spans="1:72" x14ac:dyDescent="0.15">
      <c r="A102" t="s">
        <v>267</v>
      </c>
      <c r="B102" t="s">
        <v>1973</v>
      </c>
      <c r="C102" t="s">
        <v>74</v>
      </c>
      <c r="D102" t="s">
        <v>1974</v>
      </c>
      <c r="E102" t="s">
        <v>74</v>
      </c>
      <c r="F102" t="s">
        <v>1975</v>
      </c>
      <c r="G102" t="s">
        <v>74</v>
      </c>
      <c r="H102" t="s">
        <v>74</v>
      </c>
      <c r="I102" t="s">
        <v>1976</v>
      </c>
      <c r="J102" t="s">
        <v>1977</v>
      </c>
      <c r="K102" t="s">
        <v>1053</v>
      </c>
      <c r="L102" t="s">
        <v>74</v>
      </c>
      <c r="M102" t="s">
        <v>200</v>
      </c>
      <c r="N102" t="s">
        <v>273</v>
      </c>
      <c r="O102" t="s">
        <v>1978</v>
      </c>
      <c r="P102" t="s">
        <v>1979</v>
      </c>
      <c r="Q102" t="s">
        <v>1980</v>
      </c>
      <c r="R102" t="s">
        <v>74</v>
      </c>
      <c r="S102" t="s">
        <v>1981</v>
      </c>
      <c r="T102" t="s">
        <v>1982</v>
      </c>
      <c r="U102" t="s">
        <v>1983</v>
      </c>
      <c r="V102" t="s">
        <v>1984</v>
      </c>
      <c r="W102" t="s">
        <v>1985</v>
      </c>
      <c r="X102" t="s">
        <v>1986</v>
      </c>
      <c r="Y102" t="s">
        <v>1987</v>
      </c>
      <c r="Z102" t="s">
        <v>1988</v>
      </c>
      <c r="AA102" t="s">
        <v>1989</v>
      </c>
      <c r="AB102" t="s">
        <v>1990</v>
      </c>
      <c r="AC102" t="s">
        <v>74</v>
      </c>
      <c r="AD102" t="s">
        <v>74</v>
      </c>
      <c r="AE102" t="s">
        <v>74</v>
      </c>
      <c r="AF102" t="s">
        <v>74</v>
      </c>
      <c r="AG102">
        <v>38</v>
      </c>
      <c r="AH102">
        <v>1</v>
      </c>
      <c r="AI102">
        <v>1</v>
      </c>
      <c r="AJ102">
        <v>1</v>
      </c>
      <c r="AK102">
        <v>8</v>
      </c>
      <c r="AL102" t="s">
        <v>1067</v>
      </c>
      <c r="AM102" t="s">
        <v>1068</v>
      </c>
      <c r="AN102" t="s">
        <v>1069</v>
      </c>
      <c r="AO102" t="s">
        <v>1070</v>
      </c>
      <c r="AP102" t="s">
        <v>1107</v>
      </c>
      <c r="AQ102" t="s">
        <v>1991</v>
      </c>
      <c r="AR102" t="s">
        <v>1072</v>
      </c>
      <c r="AS102" t="s">
        <v>74</v>
      </c>
      <c r="AT102" t="s">
        <v>74</v>
      </c>
      <c r="AU102">
        <v>2016</v>
      </c>
      <c r="AV102">
        <v>9877</v>
      </c>
      <c r="AW102" t="s">
        <v>74</v>
      </c>
      <c r="AX102" t="s">
        <v>74</v>
      </c>
      <c r="AY102" t="s">
        <v>74</v>
      </c>
      <c r="AZ102" t="s">
        <v>74</v>
      </c>
      <c r="BA102" t="s">
        <v>74</v>
      </c>
      <c r="BB102" t="s">
        <v>74</v>
      </c>
      <c r="BC102" t="s">
        <v>74</v>
      </c>
      <c r="BD102" t="s">
        <v>1992</v>
      </c>
      <c r="BE102" t="s">
        <v>1993</v>
      </c>
      <c r="BF102" t="str">
        <f>HYPERLINK("http://dx.doi.org/10.1117/12.2222751","http://dx.doi.org/10.1117/12.2222751")</f>
        <v>http://dx.doi.org/10.1117/12.2222751</v>
      </c>
      <c r="BG102" t="s">
        <v>74</v>
      </c>
      <c r="BH102" t="s">
        <v>74</v>
      </c>
      <c r="BI102">
        <v>11</v>
      </c>
      <c r="BJ102" t="s">
        <v>1994</v>
      </c>
      <c r="BK102" t="s">
        <v>293</v>
      </c>
      <c r="BL102" t="s">
        <v>1994</v>
      </c>
      <c r="BM102" t="s">
        <v>1995</v>
      </c>
      <c r="BN102" t="s">
        <v>74</v>
      </c>
      <c r="BO102" t="s">
        <v>74</v>
      </c>
      <c r="BP102" t="s">
        <v>74</v>
      </c>
      <c r="BQ102" t="s">
        <v>74</v>
      </c>
      <c r="BR102" t="s">
        <v>100</v>
      </c>
      <c r="BS102" t="s">
        <v>1996</v>
      </c>
      <c r="BT102" t="str">
        <f>HYPERLINK("https%3A%2F%2Fwww.webofscience.com%2Fwos%2Fwoscc%2Ffull-record%2FWOS:000389680500040","View Full Record in Web of Science")</f>
        <v>View Full Record in Web of Science</v>
      </c>
    </row>
    <row r="103" spans="1:72" x14ac:dyDescent="0.15">
      <c r="A103" t="s">
        <v>267</v>
      </c>
      <c r="B103" t="s">
        <v>1997</v>
      </c>
      <c r="C103" t="s">
        <v>74</v>
      </c>
      <c r="D103" t="s">
        <v>1974</v>
      </c>
      <c r="E103" t="s">
        <v>74</v>
      </c>
      <c r="F103" t="s">
        <v>1998</v>
      </c>
      <c r="G103" t="s">
        <v>74</v>
      </c>
      <c r="H103" t="s">
        <v>74</v>
      </c>
      <c r="I103" t="s">
        <v>1999</v>
      </c>
      <c r="J103" t="s">
        <v>1977</v>
      </c>
      <c r="K103" t="s">
        <v>1053</v>
      </c>
      <c r="L103" t="s">
        <v>74</v>
      </c>
      <c r="M103" t="s">
        <v>200</v>
      </c>
      <c r="N103" t="s">
        <v>273</v>
      </c>
      <c r="O103" t="s">
        <v>1978</v>
      </c>
      <c r="P103" t="s">
        <v>1979</v>
      </c>
      <c r="Q103" t="s">
        <v>1980</v>
      </c>
      <c r="R103" t="s">
        <v>74</v>
      </c>
      <c r="S103" t="s">
        <v>1981</v>
      </c>
      <c r="T103" t="s">
        <v>2000</v>
      </c>
      <c r="U103" t="s">
        <v>2001</v>
      </c>
      <c r="V103" t="s">
        <v>2002</v>
      </c>
      <c r="W103" t="s">
        <v>2003</v>
      </c>
      <c r="X103" t="s">
        <v>2004</v>
      </c>
      <c r="Y103" t="s">
        <v>1987</v>
      </c>
      <c r="Z103" t="s">
        <v>1988</v>
      </c>
      <c r="AA103" t="s">
        <v>1989</v>
      </c>
      <c r="AB103" t="s">
        <v>2005</v>
      </c>
      <c r="AC103" t="s">
        <v>74</v>
      </c>
      <c r="AD103" t="s">
        <v>74</v>
      </c>
      <c r="AE103" t="s">
        <v>74</v>
      </c>
      <c r="AF103" t="s">
        <v>74</v>
      </c>
      <c r="AG103">
        <v>30</v>
      </c>
      <c r="AH103">
        <v>0</v>
      </c>
      <c r="AI103">
        <v>0</v>
      </c>
      <c r="AJ103">
        <v>2</v>
      </c>
      <c r="AK103">
        <v>8</v>
      </c>
      <c r="AL103" t="s">
        <v>1067</v>
      </c>
      <c r="AM103" t="s">
        <v>1068</v>
      </c>
      <c r="AN103" t="s">
        <v>1069</v>
      </c>
      <c r="AO103" t="s">
        <v>1070</v>
      </c>
      <c r="AP103" t="s">
        <v>1107</v>
      </c>
      <c r="AQ103" t="s">
        <v>1991</v>
      </c>
      <c r="AR103" t="s">
        <v>1072</v>
      </c>
      <c r="AS103" t="s">
        <v>74</v>
      </c>
      <c r="AT103" t="s">
        <v>74</v>
      </c>
      <c r="AU103">
        <v>2016</v>
      </c>
      <c r="AV103">
        <v>9877</v>
      </c>
      <c r="AW103" t="s">
        <v>74</v>
      </c>
      <c r="AX103" t="s">
        <v>74</v>
      </c>
      <c r="AY103" t="s">
        <v>74</v>
      </c>
      <c r="AZ103" t="s">
        <v>74</v>
      </c>
      <c r="BA103" t="s">
        <v>74</v>
      </c>
      <c r="BB103" t="s">
        <v>74</v>
      </c>
      <c r="BC103" t="s">
        <v>74</v>
      </c>
      <c r="BD103" t="s">
        <v>2006</v>
      </c>
      <c r="BE103" t="s">
        <v>2007</v>
      </c>
      <c r="BF103" t="str">
        <f>HYPERLINK("http://dx.doi.org/10.1117/12.2222770","http://dx.doi.org/10.1117/12.2222770")</f>
        <v>http://dx.doi.org/10.1117/12.2222770</v>
      </c>
      <c r="BG103" t="s">
        <v>74</v>
      </c>
      <c r="BH103" t="s">
        <v>74</v>
      </c>
      <c r="BI103">
        <v>9</v>
      </c>
      <c r="BJ103" t="s">
        <v>1994</v>
      </c>
      <c r="BK103" t="s">
        <v>293</v>
      </c>
      <c r="BL103" t="s">
        <v>1994</v>
      </c>
      <c r="BM103" t="s">
        <v>1995</v>
      </c>
      <c r="BN103" t="s">
        <v>74</v>
      </c>
      <c r="BO103" t="s">
        <v>74</v>
      </c>
      <c r="BP103" t="s">
        <v>74</v>
      </c>
      <c r="BQ103" t="s">
        <v>74</v>
      </c>
      <c r="BR103" t="s">
        <v>100</v>
      </c>
      <c r="BS103" t="s">
        <v>2008</v>
      </c>
      <c r="BT103" t="str">
        <f>HYPERLINK("https%3A%2F%2Fwww.webofscience.com%2Fwos%2Fwoscc%2Ffull-record%2FWOS:000389680500039","View Full Record in Web of Science")</f>
        <v>View Full Record in Web of Science</v>
      </c>
    </row>
    <row r="104" spans="1:72" x14ac:dyDescent="0.15">
      <c r="A104" t="s">
        <v>267</v>
      </c>
      <c r="B104" t="s">
        <v>2009</v>
      </c>
      <c r="C104" t="s">
        <v>74</v>
      </c>
      <c r="D104" t="s">
        <v>1974</v>
      </c>
      <c r="E104" t="s">
        <v>74</v>
      </c>
      <c r="F104" t="s">
        <v>2010</v>
      </c>
      <c r="G104" t="s">
        <v>74</v>
      </c>
      <c r="H104" t="s">
        <v>74</v>
      </c>
      <c r="I104" t="s">
        <v>2011</v>
      </c>
      <c r="J104" t="s">
        <v>1977</v>
      </c>
      <c r="K104" t="s">
        <v>1053</v>
      </c>
      <c r="L104" t="s">
        <v>74</v>
      </c>
      <c r="M104" t="s">
        <v>200</v>
      </c>
      <c r="N104" t="s">
        <v>273</v>
      </c>
      <c r="O104" t="s">
        <v>1978</v>
      </c>
      <c r="P104" t="s">
        <v>1979</v>
      </c>
      <c r="Q104" t="s">
        <v>1980</v>
      </c>
      <c r="R104" t="s">
        <v>74</v>
      </c>
      <c r="S104" t="s">
        <v>1981</v>
      </c>
      <c r="T104" t="s">
        <v>2012</v>
      </c>
      <c r="U104" t="s">
        <v>2013</v>
      </c>
      <c r="V104" t="s">
        <v>2014</v>
      </c>
      <c r="W104" t="s">
        <v>2015</v>
      </c>
      <c r="X104" t="s">
        <v>2016</v>
      </c>
      <c r="Y104" t="s">
        <v>1987</v>
      </c>
      <c r="Z104" t="s">
        <v>1988</v>
      </c>
      <c r="AA104" t="s">
        <v>1989</v>
      </c>
      <c r="AB104" t="s">
        <v>2005</v>
      </c>
      <c r="AC104" t="s">
        <v>74</v>
      </c>
      <c r="AD104" t="s">
        <v>74</v>
      </c>
      <c r="AE104" t="s">
        <v>74</v>
      </c>
      <c r="AF104" t="s">
        <v>74</v>
      </c>
      <c r="AG104">
        <v>29</v>
      </c>
      <c r="AH104">
        <v>2</v>
      </c>
      <c r="AI104">
        <v>2</v>
      </c>
      <c r="AJ104">
        <v>0</v>
      </c>
      <c r="AK104">
        <v>5</v>
      </c>
      <c r="AL104" t="s">
        <v>1067</v>
      </c>
      <c r="AM104" t="s">
        <v>1068</v>
      </c>
      <c r="AN104" t="s">
        <v>1069</v>
      </c>
      <c r="AO104" t="s">
        <v>1070</v>
      </c>
      <c r="AP104" t="s">
        <v>1107</v>
      </c>
      <c r="AQ104" t="s">
        <v>1991</v>
      </c>
      <c r="AR104" t="s">
        <v>1072</v>
      </c>
      <c r="AS104" t="s">
        <v>74</v>
      </c>
      <c r="AT104" t="s">
        <v>74</v>
      </c>
      <c r="AU104">
        <v>2016</v>
      </c>
      <c r="AV104">
        <v>9877</v>
      </c>
      <c r="AW104" t="s">
        <v>74</v>
      </c>
      <c r="AX104" t="s">
        <v>74</v>
      </c>
      <c r="AY104" t="s">
        <v>74</v>
      </c>
      <c r="AZ104" t="s">
        <v>74</v>
      </c>
      <c r="BA104" t="s">
        <v>74</v>
      </c>
      <c r="BB104" t="s">
        <v>74</v>
      </c>
      <c r="BC104" t="s">
        <v>74</v>
      </c>
      <c r="BD104" t="s">
        <v>2017</v>
      </c>
      <c r="BE104" t="s">
        <v>2018</v>
      </c>
      <c r="BF104" t="str">
        <f>HYPERLINK("http://dx.doi.org/10.1117/12.2223012","http://dx.doi.org/10.1117/12.2223012")</f>
        <v>http://dx.doi.org/10.1117/12.2223012</v>
      </c>
      <c r="BG104" t="s">
        <v>74</v>
      </c>
      <c r="BH104" t="s">
        <v>74</v>
      </c>
      <c r="BI104">
        <v>9</v>
      </c>
      <c r="BJ104" t="s">
        <v>1994</v>
      </c>
      <c r="BK104" t="s">
        <v>293</v>
      </c>
      <c r="BL104" t="s">
        <v>1994</v>
      </c>
      <c r="BM104" t="s">
        <v>1995</v>
      </c>
      <c r="BN104" t="s">
        <v>74</v>
      </c>
      <c r="BO104" t="s">
        <v>74</v>
      </c>
      <c r="BP104" t="s">
        <v>74</v>
      </c>
      <c r="BQ104" t="s">
        <v>74</v>
      </c>
      <c r="BR104" t="s">
        <v>100</v>
      </c>
      <c r="BS104" t="s">
        <v>2019</v>
      </c>
      <c r="BT104" t="str">
        <f>HYPERLINK("https%3A%2F%2Fwww.webofscience.com%2Fwos%2Fwoscc%2Ffull-record%2FWOS:000389680500038","View Full Record in Web of Science")</f>
        <v>View Full Record in Web of Science</v>
      </c>
    </row>
    <row r="105" spans="1:72" x14ac:dyDescent="0.15">
      <c r="A105" t="s">
        <v>267</v>
      </c>
      <c r="B105" t="s">
        <v>1997</v>
      </c>
      <c r="C105" t="s">
        <v>74</v>
      </c>
      <c r="D105" t="s">
        <v>1974</v>
      </c>
      <c r="E105" t="s">
        <v>74</v>
      </c>
      <c r="F105" t="s">
        <v>1998</v>
      </c>
      <c r="G105" t="s">
        <v>74</v>
      </c>
      <c r="H105" t="s">
        <v>74</v>
      </c>
      <c r="I105" t="s">
        <v>2020</v>
      </c>
      <c r="J105" t="s">
        <v>1977</v>
      </c>
      <c r="K105" t="s">
        <v>1053</v>
      </c>
      <c r="L105" t="s">
        <v>74</v>
      </c>
      <c r="M105" t="s">
        <v>200</v>
      </c>
      <c r="N105" t="s">
        <v>273</v>
      </c>
      <c r="O105" t="s">
        <v>1978</v>
      </c>
      <c r="P105" t="s">
        <v>1979</v>
      </c>
      <c r="Q105" t="s">
        <v>1980</v>
      </c>
      <c r="R105" t="s">
        <v>74</v>
      </c>
      <c r="S105" t="s">
        <v>1981</v>
      </c>
      <c r="T105" t="s">
        <v>2021</v>
      </c>
      <c r="U105" t="s">
        <v>2022</v>
      </c>
      <c r="V105" t="s">
        <v>2023</v>
      </c>
      <c r="W105" t="s">
        <v>2024</v>
      </c>
      <c r="X105" t="s">
        <v>2025</v>
      </c>
      <c r="Y105" t="s">
        <v>2026</v>
      </c>
      <c r="Z105" t="s">
        <v>1988</v>
      </c>
      <c r="AA105" t="s">
        <v>1989</v>
      </c>
      <c r="AB105" t="s">
        <v>2005</v>
      </c>
      <c r="AC105" t="s">
        <v>74</v>
      </c>
      <c r="AD105" t="s">
        <v>74</v>
      </c>
      <c r="AE105" t="s">
        <v>74</v>
      </c>
      <c r="AF105" t="s">
        <v>74</v>
      </c>
      <c r="AG105">
        <v>26</v>
      </c>
      <c r="AH105">
        <v>0</v>
      </c>
      <c r="AI105">
        <v>0</v>
      </c>
      <c r="AJ105">
        <v>0</v>
      </c>
      <c r="AK105">
        <v>3</v>
      </c>
      <c r="AL105" t="s">
        <v>1067</v>
      </c>
      <c r="AM105" t="s">
        <v>1068</v>
      </c>
      <c r="AN105" t="s">
        <v>1069</v>
      </c>
      <c r="AO105" t="s">
        <v>1070</v>
      </c>
      <c r="AP105" t="s">
        <v>1107</v>
      </c>
      <c r="AQ105" t="s">
        <v>1991</v>
      </c>
      <c r="AR105" t="s">
        <v>1072</v>
      </c>
      <c r="AS105" t="s">
        <v>74</v>
      </c>
      <c r="AT105" t="s">
        <v>74</v>
      </c>
      <c r="AU105">
        <v>2016</v>
      </c>
      <c r="AV105">
        <v>9877</v>
      </c>
      <c r="AW105" t="s">
        <v>74</v>
      </c>
      <c r="AX105" t="s">
        <v>74</v>
      </c>
      <c r="AY105" t="s">
        <v>74</v>
      </c>
      <c r="AZ105" t="s">
        <v>74</v>
      </c>
      <c r="BA105" t="s">
        <v>74</v>
      </c>
      <c r="BB105" t="s">
        <v>74</v>
      </c>
      <c r="BC105" t="s">
        <v>74</v>
      </c>
      <c r="BD105" t="s">
        <v>2027</v>
      </c>
      <c r="BE105" t="s">
        <v>2028</v>
      </c>
      <c r="BF105" t="str">
        <f>HYPERLINK("http://dx.doi.org/10.1117/12.2223609","http://dx.doi.org/10.1117/12.2223609")</f>
        <v>http://dx.doi.org/10.1117/12.2223609</v>
      </c>
      <c r="BG105" t="s">
        <v>74</v>
      </c>
      <c r="BH105" t="s">
        <v>74</v>
      </c>
      <c r="BI105">
        <v>10</v>
      </c>
      <c r="BJ105" t="s">
        <v>1994</v>
      </c>
      <c r="BK105" t="s">
        <v>293</v>
      </c>
      <c r="BL105" t="s">
        <v>1994</v>
      </c>
      <c r="BM105" t="s">
        <v>1995</v>
      </c>
      <c r="BN105" t="s">
        <v>74</v>
      </c>
      <c r="BO105" t="s">
        <v>74</v>
      </c>
      <c r="BP105" t="s">
        <v>74</v>
      </c>
      <c r="BQ105" t="s">
        <v>74</v>
      </c>
      <c r="BR105" t="s">
        <v>100</v>
      </c>
      <c r="BS105" t="s">
        <v>2029</v>
      </c>
      <c r="BT105" t="str">
        <f>HYPERLINK("https%3A%2F%2Fwww.webofscience.com%2Fwos%2Fwoscc%2Ffull-record%2FWOS:000389680500034","View Full Record in Web of Science")</f>
        <v>View Full Record in Web of Science</v>
      </c>
    </row>
    <row r="106" spans="1:72" x14ac:dyDescent="0.15">
      <c r="A106" t="s">
        <v>267</v>
      </c>
      <c r="B106" t="s">
        <v>2030</v>
      </c>
      <c r="C106" t="s">
        <v>74</v>
      </c>
      <c r="D106" t="s">
        <v>1974</v>
      </c>
      <c r="E106" t="s">
        <v>74</v>
      </c>
      <c r="F106" t="s">
        <v>2031</v>
      </c>
      <c r="G106" t="s">
        <v>74</v>
      </c>
      <c r="H106" t="s">
        <v>74</v>
      </c>
      <c r="I106" t="s">
        <v>2032</v>
      </c>
      <c r="J106" t="s">
        <v>1977</v>
      </c>
      <c r="K106" t="s">
        <v>1053</v>
      </c>
      <c r="L106" t="s">
        <v>74</v>
      </c>
      <c r="M106" t="s">
        <v>200</v>
      </c>
      <c r="N106" t="s">
        <v>273</v>
      </c>
      <c r="O106" t="s">
        <v>1978</v>
      </c>
      <c r="P106" t="s">
        <v>1979</v>
      </c>
      <c r="Q106" t="s">
        <v>1980</v>
      </c>
      <c r="R106" t="s">
        <v>74</v>
      </c>
      <c r="S106" t="s">
        <v>1981</v>
      </c>
      <c r="T106" t="s">
        <v>2033</v>
      </c>
      <c r="U106" t="s">
        <v>74</v>
      </c>
      <c r="V106" t="s">
        <v>2034</v>
      </c>
      <c r="W106" t="s">
        <v>2035</v>
      </c>
      <c r="X106" t="s">
        <v>2036</v>
      </c>
      <c r="Y106" t="s">
        <v>2037</v>
      </c>
      <c r="Z106" t="s">
        <v>2038</v>
      </c>
      <c r="AA106" t="s">
        <v>74</v>
      </c>
      <c r="AB106" t="s">
        <v>74</v>
      </c>
      <c r="AC106" t="s">
        <v>74</v>
      </c>
      <c r="AD106" t="s">
        <v>74</v>
      </c>
      <c r="AE106" t="s">
        <v>74</v>
      </c>
      <c r="AF106" t="s">
        <v>74</v>
      </c>
      <c r="AG106">
        <v>10</v>
      </c>
      <c r="AH106">
        <v>0</v>
      </c>
      <c r="AI106">
        <v>0</v>
      </c>
      <c r="AJ106">
        <v>0</v>
      </c>
      <c r="AK106">
        <v>3</v>
      </c>
      <c r="AL106" t="s">
        <v>1067</v>
      </c>
      <c r="AM106" t="s">
        <v>1068</v>
      </c>
      <c r="AN106" t="s">
        <v>1069</v>
      </c>
      <c r="AO106" t="s">
        <v>1070</v>
      </c>
      <c r="AP106" t="s">
        <v>1107</v>
      </c>
      <c r="AQ106" t="s">
        <v>1991</v>
      </c>
      <c r="AR106" t="s">
        <v>1072</v>
      </c>
      <c r="AS106" t="s">
        <v>74</v>
      </c>
      <c r="AT106" t="s">
        <v>74</v>
      </c>
      <c r="AU106">
        <v>2016</v>
      </c>
      <c r="AV106">
        <v>9877</v>
      </c>
      <c r="AW106" t="s">
        <v>74</v>
      </c>
      <c r="AX106" t="s">
        <v>74</v>
      </c>
      <c r="AY106" t="s">
        <v>74</v>
      </c>
      <c r="AZ106" t="s">
        <v>74</v>
      </c>
      <c r="BA106" t="s">
        <v>74</v>
      </c>
      <c r="BB106" t="s">
        <v>74</v>
      </c>
      <c r="BC106" t="s">
        <v>74</v>
      </c>
      <c r="BD106">
        <v>987717</v>
      </c>
      <c r="BE106" t="s">
        <v>2039</v>
      </c>
      <c r="BF106" t="str">
        <f>HYPERLINK("http://dx.doi.org/10.1117/12.2223787","http://dx.doi.org/10.1117/12.2223787")</f>
        <v>http://dx.doi.org/10.1117/12.2223787</v>
      </c>
      <c r="BG106" t="s">
        <v>74</v>
      </c>
      <c r="BH106" t="s">
        <v>74</v>
      </c>
      <c r="BI106">
        <v>10</v>
      </c>
      <c r="BJ106" t="s">
        <v>1994</v>
      </c>
      <c r="BK106" t="s">
        <v>293</v>
      </c>
      <c r="BL106" t="s">
        <v>1994</v>
      </c>
      <c r="BM106" t="s">
        <v>1995</v>
      </c>
      <c r="BN106" t="s">
        <v>74</v>
      </c>
      <c r="BO106" t="s">
        <v>74</v>
      </c>
      <c r="BP106" t="s">
        <v>74</v>
      </c>
      <c r="BQ106" t="s">
        <v>74</v>
      </c>
      <c r="BR106" t="s">
        <v>100</v>
      </c>
      <c r="BS106" t="s">
        <v>2040</v>
      </c>
      <c r="BT106" t="str">
        <f>HYPERLINK("https%3A%2F%2Fwww.webofscience.com%2Fwos%2Fwoscc%2Ffull-record%2FWOS:000389680500017","View Full Record in Web of Science")</f>
        <v>View Full Record in Web of Science</v>
      </c>
    </row>
    <row r="107" spans="1:72" x14ac:dyDescent="0.15">
      <c r="A107" t="s">
        <v>267</v>
      </c>
      <c r="B107" t="s">
        <v>1997</v>
      </c>
      <c r="C107" t="s">
        <v>74</v>
      </c>
      <c r="D107" t="s">
        <v>2041</v>
      </c>
      <c r="E107" t="s">
        <v>74</v>
      </c>
      <c r="F107" t="s">
        <v>1998</v>
      </c>
      <c r="G107" t="s">
        <v>74</v>
      </c>
      <c r="H107" t="s">
        <v>74</v>
      </c>
      <c r="I107" t="s">
        <v>2042</v>
      </c>
      <c r="J107" t="s">
        <v>2043</v>
      </c>
      <c r="K107" t="s">
        <v>1053</v>
      </c>
      <c r="L107" t="s">
        <v>74</v>
      </c>
      <c r="M107" t="s">
        <v>200</v>
      </c>
      <c r="N107" t="s">
        <v>273</v>
      </c>
      <c r="O107" t="s">
        <v>2044</v>
      </c>
      <c r="P107" t="s">
        <v>1979</v>
      </c>
      <c r="Q107" t="s">
        <v>1980</v>
      </c>
      <c r="R107" t="s">
        <v>74</v>
      </c>
      <c r="S107" t="s">
        <v>1981</v>
      </c>
      <c r="T107" t="s">
        <v>2045</v>
      </c>
      <c r="U107" t="s">
        <v>2046</v>
      </c>
      <c r="V107" t="s">
        <v>2047</v>
      </c>
      <c r="W107" t="s">
        <v>2048</v>
      </c>
      <c r="X107" t="s">
        <v>2025</v>
      </c>
      <c r="Y107" t="s">
        <v>2049</v>
      </c>
      <c r="Z107" t="s">
        <v>1988</v>
      </c>
      <c r="AA107" t="s">
        <v>1989</v>
      </c>
      <c r="AB107" t="s">
        <v>1990</v>
      </c>
      <c r="AC107" t="s">
        <v>74</v>
      </c>
      <c r="AD107" t="s">
        <v>74</v>
      </c>
      <c r="AE107" t="s">
        <v>74</v>
      </c>
      <c r="AF107" t="s">
        <v>74</v>
      </c>
      <c r="AG107">
        <v>22</v>
      </c>
      <c r="AH107">
        <v>1</v>
      </c>
      <c r="AI107">
        <v>1</v>
      </c>
      <c r="AJ107">
        <v>1</v>
      </c>
      <c r="AK107">
        <v>2</v>
      </c>
      <c r="AL107" t="s">
        <v>1067</v>
      </c>
      <c r="AM107" t="s">
        <v>1068</v>
      </c>
      <c r="AN107" t="s">
        <v>1069</v>
      </c>
      <c r="AO107" t="s">
        <v>1070</v>
      </c>
      <c r="AP107" t="s">
        <v>74</v>
      </c>
      <c r="AQ107" t="s">
        <v>2050</v>
      </c>
      <c r="AR107" t="s">
        <v>1072</v>
      </c>
      <c r="AS107" t="s">
        <v>74</v>
      </c>
      <c r="AT107" t="s">
        <v>74</v>
      </c>
      <c r="AU107">
        <v>2016</v>
      </c>
      <c r="AV107">
        <v>9880</v>
      </c>
      <c r="AW107" t="s">
        <v>74</v>
      </c>
      <c r="AX107" t="s">
        <v>74</v>
      </c>
      <c r="AY107" t="s">
        <v>74</v>
      </c>
      <c r="AZ107" t="s">
        <v>74</v>
      </c>
      <c r="BA107" t="s">
        <v>74</v>
      </c>
      <c r="BB107" t="s">
        <v>74</v>
      </c>
      <c r="BC107" t="s">
        <v>74</v>
      </c>
      <c r="BD107" t="s">
        <v>2051</v>
      </c>
      <c r="BE107" t="s">
        <v>2052</v>
      </c>
      <c r="BF107" t="str">
        <f>HYPERLINK("http://dx.doi.org/10.1117/12.2222767","http://dx.doi.org/10.1117/12.2222767")</f>
        <v>http://dx.doi.org/10.1117/12.2222767</v>
      </c>
      <c r="BG107" t="s">
        <v>74</v>
      </c>
      <c r="BH107" t="s">
        <v>74</v>
      </c>
      <c r="BI107">
        <v>9</v>
      </c>
      <c r="BJ107" t="s">
        <v>1994</v>
      </c>
      <c r="BK107" t="s">
        <v>293</v>
      </c>
      <c r="BL107" t="s">
        <v>1994</v>
      </c>
      <c r="BM107" t="s">
        <v>2053</v>
      </c>
      <c r="BN107" t="s">
        <v>74</v>
      </c>
      <c r="BO107" t="s">
        <v>74</v>
      </c>
      <c r="BP107" t="s">
        <v>74</v>
      </c>
      <c r="BQ107" t="s">
        <v>74</v>
      </c>
      <c r="BR107" t="s">
        <v>100</v>
      </c>
      <c r="BS107" t="s">
        <v>2054</v>
      </c>
      <c r="BT107" t="str">
        <f>HYPERLINK("https%3A%2F%2Fwww.webofscience.com%2Fwos%2Fwoscc%2Ffull-record%2FWOS:000389776100041","View Full Record in Web of Science")</f>
        <v>View Full Record in Web of Science</v>
      </c>
    </row>
    <row r="108" spans="1:72" x14ac:dyDescent="0.15">
      <c r="A108" t="s">
        <v>267</v>
      </c>
      <c r="B108" t="s">
        <v>2055</v>
      </c>
      <c r="C108" t="s">
        <v>74</v>
      </c>
      <c r="D108" t="s">
        <v>2041</v>
      </c>
      <c r="E108" t="s">
        <v>74</v>
      </c>
      <c r="F108" t="s">
        <v>2056</v>
      </c>
      <c r="G108" t="s">
        <v>74</v>
      </c>
      <c r="H108" t="s">
        <v>74</v>
      </c>
      <c r="I108" t="s">
        <v>2057</v>
      </c>
      <c r="J108" t="s">
        <v>2043</v>
      </c>
      <c r="K108" t="s">
        <v>1053</v>
      </c>
      <c r="L108" t="s">
        <v>74</v>
      </c>
      <c r="M108" t="s">
        <v>200</v>
      </c>
      <c r="N108" t="s">
        <v>273</v>
      </c>
      <c r="O108" t="s">
        <v>2044</v>
      </c>
      <c r="P108" t="s">
        <v>1979</v>
      </c>
      <c r="Q108" t="s">
        <v>1980</v>
      </c>
      <c r="R108" t="s">
        <v>74</v>
      </c>
      <c r="S108" t="s">
        <v>1981</v>
      </c>
      <c r="T108" t="s">
        <v>2058</v>
      </c>
      <c r="U108" t="s">
        <v>74</v>
      </c>
      <c r="V108" t="s">
        <v>2059</v>
      </c>
      <c r="W108" t="s">
        <v>2060</v>
      </c>
      <c r="X108" t="s">
        <v>2061</v>
      </c>
      <c r="Y108" t="s">
        <v>2062</v>
      </c>
      <c r="Z108" t="s">
        <v>2063</v>
      </c>
      <c r="AA108" t="s">
        <v>1989</v>
      </c>
      <c r="AB108" t="s">
        <v>1990</v>
      </c>
      <c r="AC108" t="s">
        <v>74</v>
      </c>
      <c r="AD108" t="s">
        <v>74</v>
      </c>
      <c r="AE108" t="s">
        <v>74</v>
      </c>
      <c r="AF108" t="s">
        <v>74</v>
      </c>
      <c r="AG108">
        <v>23</v>
      </c>
      <c r="AH108">
        <v>0</v>
      </c>
      <c r="AI108">
        <v>0</v>
      </c>
      <c r="AJ108">
        <v>0</v>
      </c>
      <c r="AK108">
        <v>4</v>
      </c>
      <c r="AL108" t="s">
        <v>1067</v>
      </c>
      <c r="AM108" t="s">
        <v>1068</v>
      </c>
      <c r="AN108" t="s">
        <v>1069</v>
      </c>
      <c r="AO108" t="s">
        <v>1070</v>
      </c>
      <c r="AP108" t="s">
        <v>74</v>
      </c>
      <c r="AQ108" t="s">
        <v>2050</v>
      </c>
      <c r="AR108" t="s">
        <v>1072</v>
      </c>
      <c r="AS108" t="s">
        <v>74</v>
      </c>
      <c r="AT108" t="s">
        <v>74</v>
      </c>
      <c r="AU108">
        <v>2016</v>
      </c>
      <c r="AV108">
        <v>9880</v>
      </c>
      <c r="AW108" t="s">
        <v>74</v>
      </c>
      <c r="AX108" t="s">
        <v>74</v>
      </c>
      <c r="AY108" t="s">
        <v>74</v>
      </c>
      <c r="AZ108" t="s">
        <v>74</v>
      </c>
      <c r="BA108" t="s">
        <v>74</v>
      </c>
      <c r="BB108" t="s">
        <v>74</v>
      </c>
      <c r="BC108" t="s">
        <v>74</v>
      </c>
      <c r="BD108" t="s">
        <v>2064</v>
      </c>
      <c r="BE108" t="s">
        <v>2065</v>
      </c>
      <c r="BF108" t="str">
        <f>HYPERLINK("http://dx.doi.org/10.1117/12.2222984","http://dx.doi.org/10.1117/12.2222984")</f>
        <v>http://dx.doi.org/10.1117/12.2222984</v>
      </c>
      <c r="BG108" t="s">
        <v>74</v>
      </c>
      <c r="BH108" t="s">
        <v>74</v>
      </c>
      <c r="BI108">
        <v>7</v>
      </c>
      <c r="BJ108" t="s">
        <v>1994</v>
      </c>
      <c r="BK108" t="s">
        <v>293</v>
      </c>
      <c r="BL108" t="s">
        <v>1994</v>
      </c>
      <c r="BM108" t="s">
        <v>2053</v>
      </c>
      <c r="BN108" t="s">
        <v>74</v>
      </c>
      <c r="BO108" t="s">
        <v>74</v>
      </c>
      <c r="BP108" t="s">
        <v>74</v>
      </c>
      <c r="BQ108" t="s">
        <v>74</v>
      </c>
      <c r="BR108" t="s">
        <v>100</v>
      </c>
      <c r="BS108" t="s">
        <v>2066</v>
      </c>
      <c r="BT108" t="str">
        <f>HYPERLINK("https%3A%2F%2Fwww.webofscience.com%2Fwos%2Fwoscc%2Ffull-record%2FWOS:000389776100042","View Full Record in Web of Science")</f>
        <v>View Full Record in Web of Science</v>
      </c>
    </row>
    <row r="109" spans="1:72" x14ac:dyDescent="0.15">
      <c r="A109" t="s">
        <v>267</v>
      </c>
      <c r="B109" t="s">
        <v>1997</v>
      </c>
      <c r="C109" t="s">
        <v>74</v>
      </c>
      <c r="D109" t="s">
        <v>2067</v>
      </c>
      <c r="E109" t="s">
        <v>74</v>
      </c>
      <c r="F109" t="s">
        <v>1998</v>
      </c>
      <c r="G109" t="s">
        <v>74</v>
      </c>
      <c r="H109" t="s">
        <v>74</v>
      </c>
      <c r="I109" t="s">
        <v>2068</v>
      </c>
      <c r="J109" t="s">
        <v>2069</v>
      </c>
      <c r="K109" t="s">
        <v>1053</v>
      </c>
      <c r="L109" t="s">
        <v>74</v>
      </c>
      <c r="M109" t="s">
        <v>200</v>
      </c>
      <c r="N109" t="s">
        <v>273</v>
      </c>
      <c r="O109" t="s">
        <v>2070</v>
      </c>
      <c r="P109" t="s">
        <v>1979</v>
      </c>
      <c r="Q109" t="s">
        <v>1980</v>
      </c>
      <c r="R109" t="s">
        <v>74</v>
      </c>
      <c r="S109" t="s">
        <v>1981</v>
      </c>
      <c r="T109" t="s">
        <v>2071</v>
      </c>
      <c r="U109" t="s">
        <v>2072</v>
      </c>
      <c r="V109" t="s">
        <v>2073</v>
      </c>
      <c r="W109" t="s">
        <v>2048</v>
      </c>
      <c r="X109" t="s">
        <v>2025</v>
      </c>
      <c r="Y109" t="s">
        <v>2049</v>
      </c>
      <c r="Z109" t="s">
        <v>1988</v>
      </c>
      <c r="AA109" t="s">
        <v>1989</v>
      </c>
      <c r="AB109" t="s">
        <v>1990</v>
      </c>
      <c r="AC109" t="s">
        <v>74</v>
      </c>
      <c r="AD109" t="s">
        <v>74</v>
      </c>
      <c r="AE109" t="s">
        <v>74</v>
      </c>
      <c r="AF109" t="s">
        <v>74</v>
      </c>
      <c r="AG109">
        <v>34</v>
      </c>
      <c r="AH109">
        <v>0</v>
      </c>
      <c r="AI109">
        <v>0</v>
      </c>
      <c r="AJ109">
        <v>1</v>
      </c>
      <c r="AK109">
        <v>1</v>
      </c>
      <c r="AL109" t="s">
        <v>1067</v>
      </c>
      <c r="AM109" t="s">
        <v>1068</v>
      </c>
      <c r="AN109" t="s">
        <v>1069</v>
      </c>
      <c r="AO109" t="s">
        <v>1070</v>
      </c>
      <c r="AP109" t="s">
        <v>1107</v>
      </c>
      <c r="AQ109" t="s">
        <v>2074</v>
      </c>
      <c r="AR109" t="s">
        <v>1072</v>
      </c>
      <c r="AS109" t="s">
        <v>74</v>
      </c>
      <c r="AT109" t="s">
        <v>74</v>
      </c>
      <c r="AU109">
        <v>2016</v>
      </c>
      <c r="AV109">
        <v>9878</v>
      </c>
      <c r="AW109" t="s">
        <v>74</v>
      </c>
      <c r="AX109" t="s">
        <v>74</v>
      </c>
      <c r="AY109" t="s">
        <v>74</v>
      </c>
      <c r="AZ109" t="s">
        <v>74</v>
      </c>
      <c r="BA109" t="s">
        <v>74</v>
      </c>
      <c r="BB109" t="s">
        <v>74</v>
      </c>
      <c r="BC109" t="s">
        <v>74</v>
      </c>
      <c r="BD109">
        <v>987818</v>
      </c>
      <c r="BE109" t="s">
        <v>2075</v>
      </c>
      <c r="BF109" t="str">
        <f>HYPERLINK("http://dx.doi.org/10.1117/12.2222766","http://dx.doi.org/10.1117/12.2222766")</f>
        <v>http://dx.doi.org/10.1117/12.2222766</v>
      </c>
      <c r="BG109" t="s">
        <v>74</v>
      </c>
      <c r="BH109" t="s">
        <v>74</v>
      </c>
      <c r="BI109">
        <v>11</v>
      </c>
      <c r="BJ109" t="s">
        <v>1632</v>
      </c>
      <c r="BK109" t="s">
        <v>293</v>
      </c>
      <c r="BL109" t="s">
        <v>1632</v>
      </c>
      <c r="BM109" t="s">
        <v>2076</v>
      </c>
      <c r="BN109" t="s">
        <v>74</v>
      </c>
      <c r="BO109" t="s">
        <v>74</v>
      </c>
      <c r="BP109" t="s">
        <v>74</v>
      </c>
      <c r="BQ109" t="s">
        <v>74</v>
      </c>
      <c r="BR109" t="s">
        <v>100</v>
      </c>
      <c r="BS109" t="s">
        <v>2077</v>
      </c>
      <c r="BT109" t="str">
        <f>HYPERLINK("https%3A%2F%2Fwww.webofscience.com%2Fwos%2Fwoscc%2Ffull-record%2FWOS:000389774100027","View Full Record in Web of Science")</f>
        <v>View Full Record in Web of Science</v>
      </c>
    </row>
    <row r="110" spans="1:72" x14ac:dyDescent="0.15">
      <c r="A110" t="s">
        <v>267</v>
      </c>
      <c r="B110" t="s">
        <v>1997</v>
      </c>
      <c r="C110" t="s">
        <v>74</v>
      </c>
      <c r="D110" t="s">
        <v>2067</v>
      </c>
      <c r="E110" t="s">
        <v>74</v>
      </c>
      <c r="F110" t="s">
        <v>1998</v>
      </c>
      <c r="G110" t="s">
        <v>74</v>
      </c>
      <c r="H110" t="s">
        <v>74</v>
      </c>
      <c r="I110" t="s">
        <v>2078</v>
      </c>
      <c r="J110" t="s">
        <v>2069</v>
      </c>
      <c r="K110" t="s">
        <v>1053</v>
      </c>
      <c r="L110" t="s">
        <v>74</v>
      </c>
      <c r="M110" t="s">
        <v>200</v>
      </c>
      <c r="N110" t="s">
        <v>273</v>
      </c>
      <c r="O110" t="s">
        <v>2070</v>
      </c>
      <c r="P110" t="s">
        <v>1979</v>
      </c>
      <c r="Q110" t="s">
        <v>1980</v>
      </c>
      <c r="R110" t="s">
        <v>74</v>
      </c>
      <c r="S110" t="s">
        <v>1981</v>
      </c>
      <c r="T110" t="s">
        <v>2079</v>
      </c>
      <c r="U110" t="s">
        <v>2080</v>
      </c>
      <c r="V110" t="s">
        <v>2081</v>
      </c>
      <c r="W110" t="s">
        <v>2048</v>
      </c>
      <c r="X110" t="s">
        <v>2025</v>
      </c>
      <c r="Y110" t="s">
        <v>2049</v>
      </c>
      <c r="Z110" t="s">
        <v>1988</v>
      </c>
      <c r="AA110" t="s">
        <v>1989</v>
      </c>
      <c r="AB110" t="s">
        <v>1990</v>
      </c>
      <c r="AC110" t="s">
        <v>74</v>
      </c>
      <c r="AD110" t="s">
        <v>74</v>
      </c>
      <c r="AE110" t="s">
        <v>74</v>
      </c>
      <c r="AF110" t="s">
        <v>74</v>
      </c>
      <c r="AG110">
        <v>16</v>
      </c>
      <c r="AH110">
        <v>4</v>
      </c>
      <c r="AI110">
        <v>4</v>
      </c>
      <c r="AJ110">
        <v>0</v>
      </c>
      <c r="AK110">
        <v>8</v>
      </c>
      <c r="AL110" t="s">
        <v>1067</v>
      </c>
      <c r="AM110" t="s">
        <v>1068</v>
      </c>
      <c r="AN110" t="s">
        <v>1069</v>
      </c>
      <c r="AO110" t="s">
        <v>1070</v>
      </c>
      <c r="AP110" t="s">
        <v>1107</v>
      </c>
      <c r="AQ110" t="s">
        <v>2074</v>
      </c>
      <c r="AR110" t="s">
        <v>1072</v>
      </c>
      <c r="AS110" t="s">
        <v>74</v>
      </c>
      <c r="AT110" t="s">
        <v>74</v>
      </c>
      <c r="AU110">
        <v>2016</v>
      </c>
      <c r="AV110">
        <v>9878</v>
      </c>
      <c r="AW110" t="s">
        <v>74</v>
      </c>
      <c r="AX110" t="s">
        <v>74</v>
      </c>
      <c r="AY110" t="s">
        <v>74</v>
      </c>
      <c r="AZ110" t="s">
        <v>74</v>
      </c>
      <c r="BA110" t="s">
        <v>74</v>
      </c>
      <c r="BB110" t="s">
        <v>74</v>
      </c>
      <c r="BC110" t="s">
        <v>74</v>
      </c>
      <c r="BD110">
        <v>987819</v>
      </c>
      <c r="BE110" t="s">
        <v>2082</v>
      </c>
      <c r="BF110" t="str">
        <f>HYPERLINK("http://dx.doi.org/10.1117/12.2222769","http://dx.doi.org/10.1117/12.2222769")</f>
        <v>http://dx.doi.org/10.1117/12.2222769</v>
      </c>
      <c r="BG110" t="s">
        <v>74</v>
      </c>
      <c r="BH110" t="s">
        <v>74</v>
      </c>
      <c r="BI110">
        <v>9</v>
      </c>
      <c r="BJ110" t="s">
        <v>1632</v>
      </c>
      <c r="BK110" t="s">
        <v>293</v>
      </c>
      <c r="BL110" t="s">
        <v>1632</v>
      </c>
      <c r="BM110" t="s">
        <v>2076</v>
      </c>
      <c r="BN110" t="s">
        <v>74</v>
      </c>
      <c r="BO110" t="s">
        <v>74</v>
      </c>
      <c r="BP110" t="s">
        <v>74</v>
      </c>
      <c r="BQ110" t="s">
        <v>74</v>
      </c>
      <c r="BR110" t="s">
        <v>100</v>
      </c>
      <c r="BS110" t="s">
        <v>2083</v>
      </c>
      <c r="BT110" t="str">
        <f>HYPERLINK("https%3A%2F%2Fwww.webofscience.com%2Fwos%2Fwoscc%2Ffull-record%2FWOS:000389774100028","View Full Record in Web of Science")</f>
        <v>View Full Record in Web of Science</v>
      </c>
    </row>
    <row r="111" spans="1:72" x14ac:dyDescent="0.15">
      <c r="A111" t="s">
        <v>72</v>
      </c>
      <c r="B111" t="s">
        <v>2084</v>
      </c>
      <c r="C111" t="s">
        <v>74</v>
      </c>
      <c r="D111" t="s">
        <v>74</v>
      </c>
      <c r="E111" t="s">
        <v>74</v>
      </c>
      <c r="F111" t="s">
        <v>2085</v>
      </c>
      <c r="G111" t="s">
        <v>74</v>
      </c>
      <c r="H111" t="s">
        <v>74</v>
      </c>
      <c r="I111" t="s">
        <v>2086</v>
      </c>
      <c r="J111" t="s">
        <v>2087</v>
      </c>
      <c r="K111" t="s">
        <v>74</v>
      </c>
      <c r="L111" t="s">
        <v>74</v>
      </c>
      <c r="M111" t="s">
        <v>200</v>
      </c>
      <c r="N111" t="s">
        <v>79</v>
      </c>
      <c r="O111" t="s">
        <v>74</v>
      </c>
      <c r="P111" t="s">
        <v>74</v>
      </c>
      <c r="Q111" t="s">
        <v>74</v>
      </c>
      <c r="R111" t="s">
        <v>74</v>
      </c>
      <c r="S111" t="s">
        <v>74</v>
      </c>
      <c r="T111" t="s">
        <v>74</v>
      </c>
      <c r="U111" t="s">
        <v>2088</v>
      </c>
      <c r="V111" t="s">
        <v>2089</v>
      </c>
      <c r="W111" t="s">
        <v>2090</v>
      </c>
      <c r="X111" t="s">
        <v>2091</v>
      </c>
      <c r="Y111" t="s">
        <v>2092</v>
      </c>
      <c r="Z111" t="s">
        <v>2093</v>
      </c>
      <c r="AA111" t="s">
        <v>2094</v>
      </c>
      <c r="AB111" t="s">
        <v>2095</v>
      </c>
      <c r="AC111" t="s">
        <v>2096</v>
      </c>
      <c r="AD111" t="s">
        <v>2097</v>
      </c>
      <c r="AE111" t="s">
        <v>2098</v>
      </c>
      <c r="AF111" t="s">
        <v>74</v>
      </c>
      <c r="AG111">
        <v>34</v>
      </c>
      <c r="AH111">
        <v>26</v>
      </c>
      <c r="AI111">
        <v>29</v>
      </c>
      <c r="AJ111">
        <v>0</v>
      </c>
      <c r="AK111">
        <v>14</v>
      </c>
      <c r="AL111" t="s">
        <v>2099</v>
      </c>
      <c r="AM111" t="s">
        <v>2100</v>
      </c>
      <c r="AN111" t="s">
        <v>2101</v>
      </c>
      <c r="AO111" t="s">
        <v>2102</v>
      </c>
      <c r="AP111" t="s">
        <v>2103</v>
      </c>
      <c r="AQ111" t="s">
        <v>74</v>
      </c>
      <c r="AR111" t="s">
        <v>2104</v>
      </c>
      <c r="AS111" t="s">
        <v>2105</v>
      </c>
      <c r="AT111" t="s">
        <v>74</v>
      </c>
      <c r="AU111">
        <v>2016</v>
      </c>
      <c r="AV111">
        <v>2016</v>
      </c>
      <c r="AW111" t="s">
        <v>74</v>
      </c>
      <c r="AX111" t="s">
        <v>74</v>
      </c>
      <c r="AY111" t="s">
        <v>74</v>
      </c>
      <c r="AZ111" t="s">
        <v>74</v>
      </c>
      <c r="BA111" t="s">
        <v>74</v>
      </c>
      <c r="BB111" t="s">
        <v>74</v>
      </c>
      <c r="BC111" t="s">
        <v>74</v>
      </c>
      <c r="BD111">
        <v>3241529</v>
      </c>
      <c r="BE111" t="s">
        <v>2106</v>
      </c>
      <c r="BF111" t="str">
        <f>HYPERLINK("http://dx.doi.org/10.1155/2016/3241529","http://dx.doi.org/10.1155/2016/3241529")</f>
        <v>http://dx.doi.org/10.1155/2016/3241529</v>
      </c>
      <c r="BG111" t="s">
        <v>74</v>
      </c>
      <c r="BH111" t="s">
        <v>74</v>
      </c>
      <c r="BI111">
        <v>7</v>
      </c>
      <c r="BJ111" t="s">
        <v>2107</v>
      </c>
      <c r="BK111" t="s">
        <v>264</v>
      </c>
      <c r="BL111" t="s">
        <v>2108</v>
      </c>
      <c r="BM111" t="s">
        <v>2109</v>
      </c>
      <c r="BN111" t="s">
        <v>74</v>
      </c>
      <c r="BO111" t="s">
        <v>2110</v>
      </c>
      <c r="BP111" t="s">
        <v>74</v>
      </c>
      <c r="BQ111" t="s">
        <v>74</v>
      </c>
      <c r="BR111" t="s">
        <v>100</v>
      </c>
      <c r="BS111" t="s">
        <v>2111</v>
      </c>
      <c r="BT111" t="str">
        <f>HYPERLINK("https%3A%2F%2Fwww.webofscience.com%2Fwos%2Fwoscc%2Ffull-record%2FWOS:000388834100001","View Full Record in Web of Science")</f>
        <v>View Full Record in Web of Science</v>
      </c>
    </row>
    <row r="112" spans="1:72" x14ac:dyDescent="0.15">
      <c r="A112" t="s">
        <v>72</v>
      </c>
      <c r="B112" t="s">
        <v>2112</v>
      </c>
      <c r="C112" t="s">
        <v>74</v>
      </c>
      <c r="D112" t="s">
        <v>74</v>
      </c>
      <c r="E112" t="s">
        <v>74</v>
      </c>
      <c r="F112" t="s">
        <v>2113</v>
      </c>
      <c r="G112" t="s">
        <v>74</v>
      </c>
      <c r="H112" t="s">
        <v>74</v>
      </c>
      <c r="I112" t="s">
        <v>2114</v>
      </c>
      <c r="J112" t="s">
        <v>2115</v>
      </c>
      <c r="K112" t="s">
        <v>74</v>
      </c>
      <c r="L112" t="s">
        <v>74</v>
      </c>
      <c r="M112" t="s">
        <v>609</v>
      </c>
      <c r="N112" t="s">
        <v>79</v>
      </c>
      <c r="O112" t="s">
        <v>74</v>
      </c>
      <c r="P112" t="s">
        <v>74</v>
      </c>
      <c r="Q112" t="s">
        <v>74</v>
      </c>
      <c r="R112" t="s">
        <v>74</v>
      </c>
      <c r="S112" t="s">
        <v>74</v>
      </c>
      <c r="T112" t="s">
        <v>2116</v>
      </c>
      <c r="U112" t="s">
        <v>2117</v>
      </c>
      <c r="V112" t="s">
        <v>2118</v>
      </c>
      <c r="W112" t="s">
        <v>2119</v>
      </c>
      <c r="X112" t="s">
        <v>2120</v>
      </c>
      <c r="Y112" t="s">
        <v>2121</v>
      </c>
      <c r="Z112" t="s">
        <v>2122</v>
      </c>
      <c r="AA112" t="s">
        <v>2123</v>
      </c>
      <c r="AB112" t="s">
        <v>2124</v>
      </c>
      <c r="AC112" t="s">
        <v>74</v>
      </c>
      <c r="AD112" t="s">
        <v>74</v>
      </c>
      <c r="AE112" t="s">
        <v>74</v>
      </c>
      <c r="AF112" t="s">
        <v>74</v>
      </c>
      <c r="AG112">
        <v>27</v>
      </c>
      <c r="AH112">
        <v>3</v>
      </c>
      <c r="AI112">
        <v>3</v>
      </c>
      <c r="AJ112">
        <v>1</v>
      </c>
      <c r="AK112">
        <v>11</v>
      </c>
      <c r="AL112" t="s">
        <v>2125</v>
      </c>
      <c r="AM112" t="s">
        <v>2126</v>
      </c>
      <c r="AN112" t="s">
        <v>2127</v>
      </c>
      <c r="AO112" t="s">
        <v>2128</v>
      </c>
      <c r="AP112" t="s">
        <v>74</v>
      </c>
      <c r="AQ112" t="s">
        <v>74</v>
      </c>
      <c r="AR112" t="s">
        <v>2115</v>
      </c>
      <c r="AS112" t="s">
        <v>2129</v>
      </c>
      <c r="AT112" t="s">
        <v>74</v>
      </c>
      <c r="AU112">
        <v>2016</v>
      </c>
      <c r="AV112">
        <v>37</v>
      </c>
      <c r="AW112">
        <v>3</v>
      </c>
      <c r="AX112" t="s">
        <v>74</v>
      </c>
      <c r="AY112" t="s">
        <v>74</v>
      </c>
      <c r="AZ112" t="s">
        <v>74</v>
      </c>
      <c r="BA112" t="s">
        <v>74</v>
      </c>
      <c r="BB112">
        <v>461</v>
      </c>
      <c r="BC112">
        <v>471</v>
      </c>
      <c r="BD112" t="s">
        <v>74</v>
      </c>
      <c r="BE112" t="s">
        <v>2130</v>
      </c>
      <c r="BF112" t="str">
        <f>HYPERLINK("http://dx.doi.org/10.4067/S0717-92002016000300003","http://dx.doi.org/10.4067/S0717-92002016000300003")</f>
        <v>http://dx.doi.org/10.4067/S0717-92002016000300003</v>
      </c>
      <c r="BG112" t="s">
        <v>74</v>
      </c>
      <c r="BH112" t="s">
        <v>74</v>
      </c>
      <c r="BI112">
        <v>11</v>
      </c>
      <c r="BJ112" t="s">
        <v>2131</v>
      </c>
      <c r="BK112" t="s">
        <v>264</v>
      </c>
      <c r="BL112" t="s">
        <v>2132</v>
      </c>
      <c r="BM112" t="s">
        <v>2133</v>
      </c>
      <c r="BN112" t="s">
        <v>74</v>
      </c>
      <c r="BO112" t="s">
        <v>2134</v>
      </c>
      <c r="BP112" t="s">
        <v>74</v>
      </c>
      <c r="BQ112" t="s">
        <v>74</v>
      </c>
      <c r="BR112" t="s">
        <v>100</v>
      </c>
      <c r="BS112" t="s">
        <v>2135</v>
      </c>
      <c r="BT112" t="str">
        <f>HYPERLINK("https%3A%2F%2Fwww.webofscience.com%2Fwos%2Fwoscc%2Ffull-record%2FWOS:000388785500003","View Full Record in Web of Science")</f>
        <v>View Full Record in Web of Science</v>
      </c>
    </row>
    <row r="113" spans="1:72" x14ac:dyDescent="0.15">
      <c r="A113" t="s">
        <v>267</v>
      </c>
      <c r="B113" t="s">
        <v>2136</v>
      </c>
      <c r="C113" t="s">
        <v>74</v>
      </c>
      <c r="D113" t="s">
        <v>2137</v>
      </c>
      <c r="E113" t="s">
        <v>74</v>
      </c>
      <c r="F113" t="s">
        <v>2138</v>
      </c>
      <c r="G113" t="s">
        <v>74</v>
      </c>
      <c r="H113" t="s">
        <v>74</v>
      </c>
      <c r="I113" t="s">
        <v>2139</v>
      </c>
      <c r="J113" t="s">
        <v>2140</v>
      </c>
      <c r="K113" t="s">
        <v>1053</v>
      </c>
      <c r="L113" t="s">
        <v>74</v>
      </c>
      <c r="M113" t="s">
        <v>200</v>
      </c>
      <c r="N113" t="s">
        <v>273</v>
      </c>
      <c r="O113" t="s">
        <v>2141</v>
      </c>
      <c r="P113" t="s">
        <v>2142</v>
      </c>
      <c r="Q113" t="s">
        <v>2143</v>
      </c>
      <c r="R113" t="s">
        <v>74</v>
      </c>
      <c r="S113" t="s">
        <v>74</v>
      </c>
      <c r="T113" t="s">
        <v>2144</v>
      </c>
      <c r="U113" t="s">
        <v>2145</v>
      </c>
      <c r="V113" t="s">
        <v>2146</v>
      </c>
      <c r="W113" t="s">
        <v>2147</v>
      </c>
      <c r="X113" t="s">
        <v>2148</v>
      </c>
      <c r="Y113" t="s">
        <v>2149</v>
      </c>
      <c r="Z113" t="s">
        <v>74</v>
      </c>
      <c r="AA113" t="s">
        <v>2150</v>
      </c>
      <c r="AB113" t="s">
        <v>74</v>
      </c>
      <c r="AC113" t="s">
        <v>74</v>
      </c>
      <c r="AD113" t="s">
        <v>74</v>
      </c>
      <c r="AE113" t="s">
        <v>74</v>
      </c>
      <c r="AF113" t="s">
        <v>74</v>
      </c>
      <c r="AG113">
        <v>11</v>
      </c>
      <c r="AH113">
        <v>0</v>
      </c>
      <c r="AI113">
        <v>0</v>
      </c>
      <c r="AJ113">
        <v>0</v>
      </c>
      <c r="AK113">
        <v>4</v>
      </c>
      <c r="AL113" t="s">
        <v>1067</v>
      </c>
      <c r="AM113" t="s">
        <v>1068</v>
      </c>
      <c r="AN113" t="s">
        <v>1069</v>
      </c>
      <c r="AO113" t="s">
        <v>1070</v>
      </c>
      <c r="AP113" t="s">
        <v>1107</v>
      </c>
      <c r="AQ113" t="s">
        <v>2151</v>
      </c>
      <c r="AR113" t="s">
        <v>1072</v>
      </c>
      <c r="AS113" t="s">
        <v>74</v>
      </c>
      <c r="AT113" t="s">
        <v>74</v>
      </c>
      <c r="AU113">
        <v>2016</v>
      </c>
      <c r="AV113">
        <v>9972</v>
      </c>
      <c r="AW113" t="s">
        <v>74</v>
      </c>
      <c r="AX113" t="s">
        <v>74</v>
      </c>
      <c r="AY113" t="s">
        <v>74</v>
      </c>
      <c r="AZ113" t="s">
        <v>74</v>
      </c>
      <c r="BA113" t="s">
        <v>74</v>
      </c>
      <c r="BB113" t="s">
        <v>74</v>
      </c>
      <c r="BC113" t="s">
        <v>74</v>
      </c>
      <c r="BD113">
        <v>997213</v>
      </c>
      <c r="BE113" t="s">
        <v>2152</v>
      </c>
      <c r="BF113" t="str">
        <f>HYPERLINK("http://dx.doi.org/10.1117/12.2244976","http://dx.doi.org/10.1117/12.2244976")</f>
        <v>http://dx.doi.org/10.1117/12.2244976</v>
      </c>
      <c r="BG113" t="s">
        <v>74</v>
      </c>
      <c r="BH113" t="s">
        <v>74</v>
      </c>
      <c r="BI113">
        <v>12</v>
      </c>
      <c r="BJ113" t="s">
        <v>2153</v>
      </c>
      <c r="BK113" t="s">
        <v>293</v>
      </c>
      <c r="BL113" t="s">
        <v>2153</v>
      </c>
      <c r="BM113" t="s">
        <v>2154</v>
      </c>
      <c r="BN113" t="s">
        <v>74</v>
      </c>
      <c r="BO113" t="s">
        <v>74</v>
      </c>
      <c r="BP113" t="s">
        <v>74</v>
      </c>
      <c r="BQ113" t="s">
        <v>74</v>
      </c>
      <c r="BR113" t="s">
        <v>100</v>
      </c>
      <c r="BS113" t="s">
        <v>2155</v>
      </c>
      <c r="BT113" t="str">
        <f>HYPERLINK("https%3A%2F%2Fwww.webofscience.com%2Fwos%2Fwoscc%2Ffull-record%2FWOS:000389369500033","View Full Record in Web of Science")</f>
        <v>View Full Record in Web of Science</v>
      </c>
    </row>
    <row r="114" spans="1:72" x14ac:dyDescent="0.15">
      <c r="A114" t="s">
        <v>219</v>
      </c>
      <c r="B114" t="s">
        <v>2156</v>
      </c>
      <c r="C114" t="s">
        <v>2157</v>
      </c>
      <c r="D114" t="s">
        <v>74</v>
      </c>
      <c r="E114" t="s">
        <v>74</v>
      </c>
      <c r="F114" t="s">
        <v>2158</v>
      </c>
      <c r="G114" t="s">
        <v>2157</v>
      </c>
      <c r="H114" t="s">
        <v>74</v>
      </c>
      <c r="I114" t="s">
        <v>2159</v>
      </c>
      <c r="J114" t="s">
        <v>2160</v>
      </c>
      <c r="K114" t="s">
        <v>2161</v>
      </c>
      <c r="L114" t="s">
        <v>74</v>
      </c>
      <c r="M114" t="s">
        <v>200</v>
      </c>
      <c r="N114" t="s">
        <v>201</v>
      </c>
      <c r="O114" t="s">
        <v>74</v>
      </c>
      <c r="P114" t="s">
        <v>74</v>
      </c>
      <c r="Q114" t="s">
        <v>74</v>
      </c>
      <c r="R114" t="s">
        <v>74</v>
      </c>
      <c r="S114" t="s">
        <v>74</v>
      </c>
      <c r="T114" t="s">
        <v>2162</v>
      </c>
      <c r="U114" t="s">
        <v>74</v>
      </c>
      <c r="V114" t="s">
        <v>2163</v>
      </c>
      <c r="W114" t="s">
        <v>2164</v>
      </c>
      <c r="X114" t="s">
        <v>2165</v>
      </c>
      <c r="Y114" t="s">
        <v>2166</v>
      </c>
      <c r="Z114" t="s">
        <v>74</v>
      </c>
      <c r="AA114" t="s">
        <v>74</v>
      </c>
      <c r="AB114" t="s">
        <v>74</v>
      </c>
      <c r="AC114" t="s">
        <v>74</v>
      </c>
      <c r="AD114" t="s">
        <v>74</v>
      </c>
      <c r="AE114" t="s">
        <v>74</v>
      </c>
      <c r="AF114" t="s">
        <v>74</v>
      </c>
      <c r="AG114">
        <v>0</v>
      </c>
      <c r="AH114">
        <v>2</v>
      </c>
      <c r="AI114">
        <v>2</v>
      </c>
      <c r="AJ114">
        <v>0</v>
      </c>
      <c r="AK114">
        <v>1</v>
      </c>
      <c r="AL114" t="s">
        <v>393</v>
      </c>
      <c r="AM114" t="s">
        <v>394</v>
      </c>
      <c r="AN114" t="s">
        <v>395</v>
      </c>
      <c r="AO114" t="s">
        <v>74</v>
      </c>
      <c r="AP114" t="s">
        <v>74</v>
      </c>
      <c r="AQ114" t="s">
        <v>2167</v>
      </c>
      <c r="AR114" t="s">
        <v>2168</v>
      </c>
      <c r="AS114" t="s">
        <v>74</v>
      </c>
      <c r="AT114" t="s">
        <v>74</v>
      </c>
      <c r="AU114">
        <v>2016</v>
      </c>
      <c r="AV114">
        <v>9</v>
      </c>
      <c r="AW114" t="s">
        <v>74</v>
      </c>
      <c r="AX114" t="s">
        <v>74</v>
      </c>
      <c r="AY114" t="s">
        <v>74</v>
      </c>
      <c r="AZ114" t="s">
        <v>74</v>
      </c>
      <c r="BA114" t="s">
        <v>74</v>
      </c>
      <c r="BB114">
        <v>1</v>
      </c>
      <c r="BC114">
        <v>72</v>
      </c>
      <c r="BD114" t="s">
        <v>74</v>
      </c>
      <c r="BE114" t="s">
        <v>2169</v>
      </c>
      <c r="BF114" t="str">
        <f>HYPERLINK("http://dx.doi.org/10.1007/978-3-319-38752-9_1","http://dx.doi.org/10.1007/978-3-319-38752-9_1")</f>
        <v>http://dx.doi.org/10.1007/978-3-319-38752-9_1</v>
      </c>
      <c r="BG114" t="s">
        <v>2170</v>
      </c>
      <c r="BH114" t="s">
        <v>74</v>
      </c>
      <c r="BI114">
        <v>72</v>
      </c>
      <c r="BJ114" t="s">
        <v>334</v>
      </c>
      <c r="BK114" t="s">
        <v>238</v>
      </c>
      <c r="BL114" t="s">
        <v>335</v>
      </c>
      <c r="BM114" t="s">
        <v>2171</v>
      </c>
      <c r="BN114" t="s">
        <v>74</v>
      </c>
      <c r="BO114" t="s">
        <v>74</v>
      </c>
      <c r="BP114" t="s">
        <v>74</v>
      </c>
      <c r="BQ114" t="s">
        <v>74</v>
      </c>
      <c r="BR114" t="s">
        <v>100</v>
      </c>
      <c r="BS114" t="s">
        <v>2172</v>
      </c>
      <c r="BT114" t="str">
        <f>HYPERLINK("https%3A%2F%2Fwww.webofscience.com%2Fwos%2Fwoscc%2Ffull-record%2FWOS:000389195800002","View Full Record in Web of Science")</f>
        <v>View Full Record in Web of Science</v>
      </c>
    </row>
    <row r="115" spans="1:72" x14ac:dyDescent="0.15">
      <c r="A115" t="s">
        <v>193</v>
      </c>
      <c r="B115" t="s">
        <v>2173</v>
      </c>
      <c r="C115" t="s">
        <v>74</v>
      </c>
      <c r="D115" t="s">
        <v>2174</v>
      </c>
      <c r="E115" t="s">
        <v>74</v>
      </c>
      <c r="F115" t="s">
        <v>2175</v>
      </c>
      <c r="G115" t="s">
        <v>74</v>
      </c>
      <c r="H115" t="s">
        <v>74</v>
      </c>
      <c r="I115" t="s">
        <v>2176</v>
      </c>
      <c r="J115" t="s">
        <v>2177</v>
      </c>
      <c r="K115" t="s">
        <v>2178</v>
      </c>
      <c r="L115" t="s">
        <v>74</v>
      </c>
      <c r="M115" t="s">
        <v>200</v>
      </c>
      <c r="N115" t="s">
        <v>201</v>
      </c>
      <c r="O115" t="s">
        <v>74</v>
      </c>
      <c r="P115" t="s">
        <v>74</v>
      </c>
      <c r="Q115" t="s">
        <v>74</v>
      </c>
      <c r="R115" t="s">
        <v>74</v>
      </c>
      <c r="S115" t="s">
        <v>74</v>
      </c>
      <c r="T115" t="s">
        <v>2179</v>
      </c>
      <c r="U115" t="s">
        <v>2180</v>
      </c>
      <c r="V115" t="s">
        <v>2181</v>
      </c>
      <c r="W115" t="s">
        <v>2182</v>
      </c>
      <c r="X115" t="s">
        <v>2183</v>
      </c>
      <c r="Y115" t="s">
        <v>2184</v>
      </c>
      <c r="Z115" t="s">
        <v>2185</v>
      </c>
      <c r="AA115" t="s">
        <v>74</v>
      </c>
      <c r="AB115" t="s">
        <v>74</v>
      </c>
      <c r="AC115" t="s">
        <v>74</v>
      </c>
      <c r="AD115" t="s">
        <v>74</v>
      </c>
      <c r="AE115" t="s">
        <v>74</v>
      </c>
      <c r="AF115" t="s">
        <v>74</v>
      </c>
      <c r="AG115">
        <v>110</v>
      </c>
      <c r="AH115">
        <v>21</v>
      </c>
      <c r="AI115">
        <v>21</v>
      </c>
      <c r="AJ115">
        <v>0</v>
      </c>
      <c r="AK115">
        <v>8</v>
      </c>
      <c r="AL115" t="s">
        <v>393</v>
      </c>
      <c r="AM115" t="s">
        <v>394</v>
      </c>
      <c r="AN115" t="s">
        <v>395</v>
      </c>
      <c r="AO115" t="s">
        <v>2186</v>
      </c>
      <c r="AP115" t="s">
        <v>2187</v>
      </c>
      <c r="AQ115" t="s">
        <v>2188</v>
      </c>
      <c r="AR115" t="s">
        <v>2189</v>
      </c>
      <c r="AS115" t="s">
        <v>74</v>
      </c>
      <c r="AT115" t="s">
        <v>74</v>
      </c>
      <c r="AU115">
        <v>2016</v>
      </c>
      <c r="AV115" t="s">
        <v>74</v>
      </c>
      <c r="AW115" t="s">
        <v>74</v>
      </c>
      <c r="AX115" t="s">
        <v>74</v>
      </c>
      <c r="AY115" t="s">
        <v>74</v>
      </c>
      <c r="AZ115" t="s">
        <v>74</v>
      </c>
      <c r="BA115" t="s">
        <v>74</v>
      </c>
      <c r="BB115">
        <v>75</v>
      </c>
      <c r="BC115">
        <v>108</v>
      </c>
      <c r="BD115" t="s">
        <v>74</v>
      </c>
      <c r="BE115" t="s">
        <v>2190</v>
      </c>
      <c r="BF115" t="str">
        <f>HYPERLINK("http://dx.doi.org/10.1007/978-3-319-39727-6_4","http://dx.doi.org/10.1007/978-3-319-39727-6_4")</f>
        <v>http://dx.doi.org/10.1007/978-3-319-39727-6_4</v>
      </c>
      <c r="BG115" t="s">
        <v>2191</v>
      </c>
      <c r="BH115" t="s">
        <v>74</v>
      </c>
      <c r="BI115">
        <v>34</v>
      </c>
      <c r="BJ115" t="s">
        <v>2192</v>
      </c>
      <c r="BK115" t="s">
        <v>216</v>
      </c>
      <c r="BL115" t="s">
        <v>2192</v>
      </c>
      <c r="BM115" t="s">
        <v>2193</v>
      </c>
      <c r="BN115" t="s">
        <v>74</v>
      </c>
      <c r="BO115" t="s">
        <v>403</v>
      </c>
      <c r="BP115" t="s">
        <v>74</v>
      </c>
      <c r="BQ115" t="s">
        <v>74</v>
      </c>
      <c r="BR115" t="s">
        <v>100</v>
      </c>
      <c r="BS115" t="s">
        <v>2194</v>
      </c>
      <c r="BT115" t="str">
        <f>HYPERLINK("https%3A%2F%2Fwww.webofscience.com%2Fwos%2Fwoscc%2Ffull-record%2FWOS:000389035800005","View Full Record in Web of Science")</f>
        <v>View Full Record in Web of Science</v>
      </c>
    </row>
    <row r="116" spans="1:72" x14ac:dyDescent="0.15">
      <c r="A116" t="s">
        <v>193</v>
      </c>
      <c r="B116" t="s">
        <v>2195</v>
      </c>
      <c r="C116" t="s">
        <v>74</v>
      </c>
      <c r="D116" t="s">
        <v>2174</v>
      </c>
      <c r="E116" t="s">
        <v>74</v>
      </c>
      <c r="F116" t="s">
        <v>2196</v>
      </c>
      <c r="G116" t="s">
        <v>74</v>
      </c>
      <c r="H116" t="s">
        <v>74</v>
      </c>
      <c r="I116" t="s">
        <v>2197</v>
      </c>
      <c r="J116" t="s">
        <v>2177</v>
      </c>
      <c r="K116" t="s">
        <v>2178</v>
      </c>
      <c r="L116" t="s">
        <v>74</v>
      </c>
      <c r="M116" t="s">
        <v>200</v>
      </c>
      <c r="N116" t="s">
        <v>201</v>
      </c>
      <c r="O116" t="s">
        <v>74</v>
      </c>
      <c r="P116" t="s">
        <v>74</v>
      </c>
      <c r="Q116" t="s">
        <v>74</v>
      </c>
      <c r="R116" t="s">
        <v>74</v>
      </c>
      <c r="S116" t="s">
        <v>74</v>
      </c>
      <c r="T116" t="s">
        <v>2198</v>
      </c>
      <c r="U116" t="s">
        <v>2199</v>
      </c>
      <c r="V116" t="s">
        <v>2200</v>
      </c>
      <c r="W116" t="s">
        <v>2201</v>
      </c>
      <c r="X116" t="s">
        <v>2202</v>
      </c>
      <c r="Y116" t="s">
        <v>2203</v>
      </c>
      <c r="Z116" t="s">
        <v>2204</v>
      </c>
      <c r="AA116" t="s">
        <v>2205</v>
      </c>
      <c r="AB116" t="s">
        <v>2206</v>
      </c>
      <c r="AC116" t="s">
        <v>74</v>
      </c>
      <c r="AD116" t="s">
        <v>74</v>
      </c>
      <c r="AE116" t="s">
        <v>74</v>
      </c>
      <c r="AF116" t="s">
        <v>74</v>
      </c>
      <c r="AG116">
        <v>109</v>
      </c>
      <c r="AH116">
        <v>25</v>
      </c>
      <c r="AI116">
        <v>28</v>
      </c>
      <c r="AJ116">
        <v>0</v>
      </c>
      <c r="AK116">
        <v>1</v>
      </c>
      <c r="AL116" t="s">
        <v>393</v>
      </c>
      <c r="AM116" t="s">
        <v>394</v>
      </c>
      <c r="AN116" t="s">
        <v>395</v>
      </c>
      <c r="AO116" t="s">
        <v>2186</v>
      </c>
      <c r="AP116" t="s">
        <v>2187</v>
      </c>
      <c r="AQ116" t="s">
        <v>2188</v>
      </c>
      <c r="AR116" t="s">
        <v>2189</v>
      </c>
      <c r="AS116" t="s">
        <v>74</v>
      </c>
      <c r="AT116" t="s">
        <v>74</v>
      </c>
      <c r="AU116">
        <v>2016</v>
      </c>
      <c r="AV116" t="s">
        <v>74</v>
      </c>
      <c r="AW116" t="s">
        <v>74</v>
      </c>
      <c r="AX116" t="s">
        <v>74</v>
      </c>
      <c r="AY116" t="s">
        <v>74</v>
      </c>
      <c r="AZ116" t="s">
        <v>74</v>
      </c>
      <c r="BA116" t="s">
        <v>74</v>
      </c>
      <c r="BB116">
        <v>109</v>
      </c>
      <c r="BC116">
        <v>135</v>
      </c>
      <c r="BD116" t="s">
        <v>74</v>
      </c>
      <c r="BE116" t="s">
        <v>2207</v>
      </c>
      <c r="BF116" t="str">
        <f>HYPERLINK("http://dx.doi.org/10.1007/978-3-319-39727-6_5","http://dx.doi.org/10.1007/978-3-319-39727-6_5")</f>
        <v>http://dx.doi.org/10.1007/978-3-319-39727-6_5</v>
      </c>
      <c r="BG116" t="s">
        <v>2191</v>
      </c>
      <c r="BH116" t="s">
        <v>74</v>
      </c>
      <c r="BI116">
        <v>27</v>
      </c>
      <c r="BJ116" t="s">
        <v>2192</v>
      </c>
      <c r="BK116" t="s">
        <v>216</v>
      </c>
      <c r="BL116" t="s">
        <v>2192</v>
      </c>
      <c r="BM116" t="s">
        <v>2193</v>
      </c>
      <c r="BN116" t="s">
        <v>74</v>
      </c>
      <c r="BO116" t="s">
        <v>241</v>
      </c>
      <c r="BP116" t="s">
        <v>74</v>
      </c>
      <c r="BQ116" t="s">
        <v>74</v>
      </c>
      <c r="BR116" t="s">
        <v>100</v>
      </c>
      <c r="BS116" t="s">
        <v>2208</v>
      </c>
      <c r="BT116" t="str">
        <f>HYPERLINK("https%3A%2F%2Fwww.webofscience.com%2Fwos%2Fwoscc%2Ffull-record%2FWOS:000389035800006","View Full Record in Web of Science")</f>
        <v>View Full Record in Web of Science</v>
      </c>
    </row>
    <row r="117" spans="1:72" x14ac:dyDescent="0.15">
      <c r="A117" t="s">
        <v>193</v>
      </c>
      <c r="B117" t="s">
        <v>2209</v>
      </c>
      <c r="C117" t="s">
        <v>74</v>
      </c>
      <c r="D117" t="s">
        <v>2174</v>
      </c>
      <c r="E117" t="s">
        <v>74</v>
      </c>
      <c r="F117" t="s">
        <v>2210</v>
      </c>
      <c r="G117" t="s">
        <v>74</v>
      </c>
      <c r="H117" t="s">
        <v>74</v>
      </c>
      <c r="I117" t="s">
        <v>2211</v>
      </c>
      <c r="J117" t="s">
        <v>2212</v>
      </c>
      <c r="K117" t="s">
        <v>2178</v>
      </c>
      <c r="L117" t="s">
        <v>74</v>
      </c>
      <c r="M117" t="s">
        <v>200</v>
      </c>
      <c r="N117" t="s">
        <v>201</v>
      </c>
      <c r="O117" t="s">
        <v>74</v>
      </c>
      <c r="P117" t="s">
        <v>74</v>
      </c>
      <c r="Q117" t="s">
        <v>74</v>
      </c>
      <c r="R117" t="s">
        <v>74</v>
      </c>
      <c r="S117" t="s">
        <v>74</v>
      </c>
      <c r="T117" t="s">
        <v>2213</v>
      </c>
      <c r="U117" t="s">
        <v>2214</v>
      </c>
      <c r="V117" t="s">
        <v>2215</v>
      </c>
      <c r="W117" t="s">
        <v>2216</v>
      </c>
      <c r="X117" t="s">
        <v>2217</v>
      </c>
      <c r="Y117" t="s">
        <v>2218</v>
      </c>
      <c r="Z117" t="s">
        <v>2219</v>
      </c>
      <c r="AA117" t="s">
        <v>2205</v>
      </c>
      <c r="AB117" t="s">
        <v>2206</v>
      </c>
      <c r="AC117" t="s">
        <v>74</v>
      </c>
      <c r="AD117" t="s">
        <v>74</v>
      </c>
      <c r="AE117" t="s">
        <v>74</v>
      </c>
      <c r="AF117" t="s">
        <v>74</v>
      </c>
      <c r="AG117">
        <v>113</v>
      </c>
      <c r="AH117">
        <v>8</v>
      </c>
      <c r="AI117">
        <v>8</v>
      </c>
      <c r="AJ117">
        <v>0</v>
      </c>
      <c r="AK117">
        <v>2</v>
      </c>
      <c r="AL117" t="s">
        <v>2220</v>
      </c>
      <c r="AM117" t="s">
        <v>394</v>
      </c>
      <c r="AN117" t="s">
        <v>395</v>
      </c>
      <c r="AO117" t="s">
        <v>2186</v>
      </c>
      <c r="AP117" t="s">
        <v>74</v>
      </c>
      <c r="AQ117" t="s">
        <v>2188</v>
      </c>
      <c r="AR117" t="s">
        <v>2189</v>
      </c>
      <c r="AS117" t="s">
        <v>74</v>
      </c>
      <c r="AT117" t="s">
        <v>74</v>
      </c>
      <c r="AU117">
        <v>2016</v>
      </c>
      <c r="AV117" t="s">
        <v>74</v>
      </c>
      <c r="AW117" t="s">
        <v>74</v>
      </c>
      <c r="AX117" t="s">
        <v>74</v>
      </c>
      <c r="AY117" t="s">
        <v>74</v>
      </c>
      <c r="AZ117" t="s">
        <v>74</v>
      </c>
      <c r="BA117" t="s">
        <v>74</v>
      </c>
      <c r="BB117">
        <v>137</v>
      </c>
      <c r="BC117">
        <v>171</v>
      </c>
      <c r="BD117" t="s">
        <v>74</v>
      </c>
      <c r="BE117" t="s">
        <v>2221</v>
      </c>
      <c r="BF117" t="str">
        <f>HYPERLINK("http://dx.doi.org/10.1007/978-3-319-39727-6_6","http://dx.doi.org/10.1007/978-3-319-39727-6_6")</f>
        <v>http://dx.doi.org/10.1007/978-3-319-39727-6_6</v>
      </c>
      <c r="BG117" t="s">
        <v>2191</v>
      </c>
      <c r="BH117" t="s">
        <v>74</v>
      </c>
      <c r="BI117">
        <v>35</v>
      </c>
      <c r="BJ117" t="s">
        <v>2192</v>
      </c>
      <c r="BK117" t="s">
        <v>216</v>
      </c>
      <c r="BL117" t="s">
        <v>2192</v>
      </c>
      <c r="BM117" t="s">
        <v>2193</v>
      </c>
      <c r="BN117" t="s">
        <v>74</v>
      </c>
      <c r="BO117" t="s">
        <v>74</v>
      </c>
      <c r="BP117" t="s">
        <v>74</v>
      </c>
      <c r="BQ117" t="s">
        <v>74</v>
      </c>
      <c r="BR117" t="s">
        <v>100</v>
      </c>
      <c r="BS117" t="s">
        <v>2222</v>
      </c>
      <c r="BT117" t="str">
        <f>HYPERLINK("https%3A%2F%2Fwww.webofscience.com%2Fwos%2Fwoscc%2Ffull-record%2FWOS:000389035800007","View Full Record in Web of Science")</f>
        <v>View Full Record in Web of Science</v>
      </c>
    </row>
    <row r="118" spans="1:72" x14ac:dyDescent="0.15">
      <c r="A118" t="s">
        <v>72</v>
      </c>
      <c r="B118" t="s">
        <v>2223</v>
      </c>
      <c r="C118" t="s">
        <v>74</v>
      </c>
      <c r="D118" t="s">
        <v>74</v>
      </c>
      <c r="E118" t="s">
        <v>74</v>
      </c>
      <c r="F118" t="s">
        <v>2224</v>
      </c>
      <c r="G118" t="s">
        <v>74</v>
      </c>
      <c r="H118" t="s">
        <v>74</v>
      </c>
      <c r="I118" t="s">
        <v>2225</v>
      </c>
      <c r="J118" t="s">
        <v>2226</v>
      </c>
      <c r="K118" t="s">
        <v>74</v>
      </c>
      <c r="L118" t="s">
        <v>74</v>
      </c>
      <c r="M118" t="s">
        <v>200</v>
      </c>
      <c r="N118" t="s">
        <v>79</v>
      </c>
      <c r="O118" t="s">
        <v>74</v>
      </c>
      <c r="P118" t="s">
        <v>74</v>
      </c>
      <c r="Q118" t="s">
        <v>74</v>
      </c>
      <c r="R118" t="s">
        <v>74</v>
      </c>
      <c r="S118" t="s">
        <v>74</v>
      </c>
      <c r="T118" t="s">
        <v>2227</v>
      </c>
      <c r="U118" t="s">
        <v>2228</v>
      </c>
      <c r="V118" t="s">
        <v>2229</v>
      </c>
      <c r="W118" t="s">
        <v>2230</v>
      </c>
      <c r="X118" t="s">
        <v>2231</v>
      </c>
      <c r="Y118" t="s">
        <v>2232</v>
      </c>
      <c r="Z118" t="s">
        <v>2233</v>
      </c>
      <c r="AA118" t="s">
        <v>2234</v>
      </c>
      <c r="AB118" t="s">
        <v>2235</v>
      </c>
      <c r="AC118" t="s">
        <v>2236</v>
      </c>
      <c r="AD118" t="s">
        <v>2237</v>
      </c>
      <c r="AE118" t="s">
        <v>2238</v>
      </c>
      <c r="AF118" t="s">
        <v>74</v>
      </c>
      <c r="AG118">
        <v>22</v>
      </c>
      <c r="AH118">
        <v>19</v>
      </c>
      <c r="AI118">
        <v>21</v>
      </c>
      <c r="AJ118">
        <v>3</v>
      </c>
      <c r="AK118">
        <v>22</v>
      </c>
      <c r="AL118" t="s">
        <v>2239</v>
      </c>
      <c r="AM118" t="s">
        <v>2240</v>
      </c>
      <c r="AN118" t="s">
        <v>2241</v>
      </c>
      <c r="AO118" t="s">
        <v>2242</v>
      </c>
      <c r="AP118" t="s">
        <v>2243</v>
      </c>
      <c r="AQ118" t="s">
        <v>74</v>
      </c>
      <c r="AR118" t="s">
        <v>2244</v>
      </c>
      <c r="AS118" t="s">
        <v>2245</v>
      </c>
      <c r="AT118" t="s">
        <v>74</v>
      </c>
      <c r="AU118">
        <v>2016</v>
      </c>
      <c r="AV118">
        <v>62</v>
      </c>
      <c r="AW118">
        <v>236</v>
      </c>
      <c r="AX118" t="s">
        <v>74</v>
      </c>
      <c r="AY118" t="s">
        <v>74</v>
      </c>
      <c r="AZ118" t="s">
        <v>74</v>
      </c>
      <c r="BA118" t="s">
        <v>74</v>
      </c>
      <c r="BB118">
        <v>1049</v>
      </c>
      <c r="BC118">
        <v>1064</v>
      </c>
      <c r="BD118" t="s">
        <v>74</v>
      </c>
      <c r="BE118" t="s">
        <v>2246</v>
      </c>
      <c r="BF118" t="str">
        <f>HYPERLINK("http://dx.doi.org/10.1017/jog.2016.97","http://dx.doi.org/10.1017/jog.2016.97")</f>
        <v>http://dx.doi.org/10.1017/jog.2016.97</v>
      </c>
      <c r="BG118" t="s">
        <v>74</v>
      </c>
      <c r="BH118" t="s">
        <v>74</v>
      </c>
      <c r="BI118">
        <v>16</v>
      </c>
      <c r="BJ118" t="s">
        <v>2247</v>
      </c>
      <c r="BK118" t="s">
        <v>264</v>
      </c>
      <c r="BL118" t="s">
        <v>2248</v>
      </c>
      <c r="BM118" t="s">
        <v>2249</v>
      </c>
      <c r="BN118" t="s">
        <v>74</v>
      </c>
      <c r="BO118" t="s">
        <v>511</v>
      </c>
      <c r="BP118" t="s">
        <v>74</v>
      </c>
      <c r="BQ118" t="s">
        <v>74</v>
      </c>
      <c r="BR118" t="s">
        <v>100</v>
      </c>
      <c r="BS118" t="s">
        <v>2250</v>
      </c>
      <c r="BT118" t="str">
        <f>HYPERLINK("https%3A%2F%2Fwww.webofscience.com%2Fwos%2Fwoscc%2Ffull-record%2FWOS:000389173500006","View Full Record in Web of Science")</f>
        <v>View Full Record in Web of Science</v>
      </c>
    </row>
    <row r="119" spans="1:72" x14ac:dyDescent="0.15">
      <c r="A119" t="s">
        <v>72</v>
      </c>
      <c r="B119" t="s">
        <v>2251</v>
      </c>
      <c r="C119" t="s">
        <v>74</v>
      </c>
      <c r="D119" t="s">
        <v>74</v>
      </c>
      <c r="E119" t="s">
        <v>74</v>
      </c>
      <c r="F119" t="s">
        <v>2252</v>
      </c>
      <c r="G119" t="s">
        <v>74</v>
      </c>
      <c r="H119" t="s">
        <v>74</v>
      </c>
      <c r="I119" t="s">
        <v>2253</v>
      </c>
      <c r="J119" t="s">
        <v>2254</v>
      </c>
      <c r="K119" t="s">
        <v>74</v>
      </c>
      <c r="L119" t="s">
        <v>74</v>
      </c>
      <c r="M119" t="s">
        <v>200</v>
      </c>
      <c r="N119" t="s">
        <v>717</v>
      </c>
      <c r="O119" t="s">
        <v>74</v>
      </c>
      <c r="P119" t="s">
        <v>74</v>
      </c>
      <c r="Q119" t="s">
        <v>74</v>
      </c>
      <c r="R119" t="s">
        <v>74</v>
      </c>
      <c r="S119" t="s">
        <v>74</v>
      </c>
      <c r="T119" t="s">
        <v>74</v>
      </c>
      <c r="U119" t="s">
        <v>2255</v>
      </c>
      <c r="V119" t="s">
        <v>2256</v>
      </c>
      <c r="W119" t="s">
        <v>2257</v>
      </c>
      <c r="X119" t="s">
        <v>2258</v>
      </c>
      <c r="Y119" t="s">
        <v>2259</v>
      </c>
      <c r="Z119" t="s">
        <v>2260</v>
      </c>
      <c r="AA119" t="s">
        <v>2261</v>
      </c>
      <c r="AB119" t="s">
        <v>2262</v>
      </c>
      <c r="AC119" t="s">
        <v>74</v>
      </c>
      <c r="AD119" t="s">
        <v>74</v>
      </c>
      <c r="AE119" t="s">
        <v>74</v>
      </c>
      <c r="AF119" t="s">
        <v>74</v>
      </c>
      <c r="AG119">
        <v>83</v>
      </c>
      <c r="AH119">
        <v>25</v>
      </c>
      <c r="AI119">
        <v>26</v>
      </c>
      <c r="AJ119">
        <v>3</v>
      </c>
      <c r="AK119">
        <v>45</v>
      </c>
      <c r="AL119" t="s">
        <v>2263</v>
      </c>
      <c r="AM119" t="s">
        <v>2264</v>
      </c>
      <c r="AN119" t="s">
        <v>2265</v>
      </c>
      <c r="AO119" t="s">
        <v>2266</v>
      </c>
      <c r="AP119" t="s">
        <v>2267</v>
      </c>
      <c r="AQ119" t="s">
        <v>74</v>
      </c>
      <c r="AR119" t="s">
        <v>2268</v>
      </c>
      <c r="AS119" t="s">
        <v>2269</v>
      </c>
      <c r="AT119" t="s">
        <v>74</v>
      </c>
      <c r="AU119">
        <v>2016</v>
      </c>
      <c r="AV119">
        <v>19</v>
      </c>
      <c r="AW119">
        <v>8</v>
      </c>
      <c r="AX119" t="s">
        <v>74</v>
      </c>
      <c r="AY119" t="s">
        <v>74</v>
      </c>
      <c r="AZ119" t="s">
        <v>74</v>
      </c>
      <c r="BA119" t="s">
        <v>74</v>
      </c>
      <c r="BB119">
        <v>345</v>
      </c>
      <c r="BC119">
        <v>379</v>
      </c>
      <c r="BD119" t="s">
        <v>74</v>
      </c>
      <c r="BE119" t="s">
        <v>2270</v>
      </c>
      <c r="BF119" t="str">
        <f>HYPERLINK("http://dx.doi.org/10.1080/10937404.2016.1200505","http://dx.doi.org/10.1080/10937404.2016.1200505")</f>
        <v>http://dx.doi.org/10.1080/10937404.2016.1200505</v>
      </c>
      <c r="BG119" t="s">
        <v>74</v>
      </c>
      <c r="BH119" t="s">
        <v>74</v>
      </c>
      <c r="BI119">
        <v>35</v>
      </c>
      <c r="BJ119" t="s">
        <v>2271</v>
      </c>
      <c r="BK119" t="s">
        <v>264</v>
      </c>
      <c r="BL119" t="s">
        <v>2272</v>
      </c>
      <c r="BM119" t="s">
        <v>2273</v>
      </c>
      <c r="BN119">
        <v>27656778</v>
      </c>
      <c r="BO119" t="s">
        <v>2274</v>
      </c>
      <c r="BP119" t="s">
        <v>74</v>
      </c>
      <c r="BQ119" t="s">
        <v>74</v>
      </c>
      <c r="BR119" t="s">
        <v>100</v>
      </c>
      <c r="BS119" t="s">
        <v>2275</v>
      </c>
      <c r="BT119" t="str">
        <f>HYPERLINK("https%3A%2F%2Fwww.webofscience.com%2Fwos%2Fwoscc%2Ffull-record%2FWOS:000388694800002","View Full Record in Web of Science")</f>
        <v>View Full Record in Web of Science</v>
      </c>
    </row>
    <row r="120" spans="1:72" x14ac:dyDescent="0.15">
      <c r="A120" t="s">
        <v>72</v>
      </c>
      <c r="B120" t="s">
        <v>2276</v>
      </c>
      <c r="C120" t="s">
        <v>74</v>
      </c>
      <c r="D120" t="s">
        <v>74</v>
      </c>
      <c r="E120" t="s">
        <v>74</v>
      </c>
      <c r="F120" t="s">
        <v>2277</v>
      </c>
      <c r="G120" t="s">
        <v>74</v>
      </c>
      <c r="H120" t="s">
        <v>74</v>
      </c>
      <c r="I120" t="s">
        <v>2278</v>
      </c>
      <c r="J120" t="s">
        <v>2279</v>
      </c>
      <c r="K120" t="s">
        <v>74</v>
      </c>
      <c r="L120" t="s">
        <v>74</v>
      </c>
      <c r="M120" t="s">
        <v>200</v>
      </c>
      <c r="N120" t="s">
        <v>79</v>
      </c>
      <c r="O120" t="s">
        <v>74</v>
      </c>
      <c r="P120" t="s">
        <v>74</v>
      </c>
      <c r="Q120" t="s">
        <v>74</v>
      </c>
      <c r="R120" t="s">
        <v>74</v>
      </c>
      <c r="S120" t="s">
        <v>74</v>
      </c>
      <c r="T120" t="s">
        <v>2280</v>
      </c>
      <c r="U120" t="s">
        <v>2281</v>
      </c>
      <c r="V120" t="s">
        <v>2282</v>
      </c>
      <c r="W120" t="s">
        <v>2283</v>
      </c>
      <c r="X120" t="s">
        <v>74</v>
      </c>
      <c r="Y120" t="s">
        <v>2284</v>
      </c>
      <c r="Z120" t="s">
        <v>2285</v>
      </c>
      <c r="AA120" t="s">
        <v>74</v>
      </c>
      <c r="AB120" t="s">
        <v>2286</v>
      </c>
      <c r="AC120" t="s">
        <v>2287</v>
      </c>
      <c r="AD120" t="s">
        <v>2287</v>
      </c>
      <c r="AE120" t="s">
        <v>2288</v>
      </c>
      <c r="AF120" t="s">
        <v>74</v>
      </c>
      <c r="AG120">
        <v>60</v>
      </c>
      <c r="AH120">
        <v>4</v>
      </c>
      <c r="AI120">
        <v>4</v>
      </c>
      <c r="AJ120">
        <v>0</v>
      </c>
      <c r="AK120">
        <v>16</v>
      </c>
      <c r="AL120" t="s">
        <v>502</v>
      </c>
      <c r="AM120" t="s">
        <v>503</v>
      </c>
      <c r="AN120" t="s">
        <v>504</v>
      </c>
      <c r="AO120" t="s">
        <v>2289</v>
      </c>
      <c r="AP120" t="s">
        <v>2290</v>
      </c>
      <c r="AQ120" t="s">
        <v>74</v>
      </c>
      <c r="AR120" t="s">
        <v>2291</v>
      </c>
      <c r="AS120" t="s">
        <v>2292</v>
      </c>
      <c r="AT120" t="s">
        <v>74</v>
      </c>
      <c r="AU120">
        <v>2016</v>
      </c>
      <c r="AV120">
        <v>54</v>
      </c>
      <c r="AW120">
        <v>4</v>
      </c>
      <c r="AX120" t="s">
        <v>74</v>
      </c>
      <c r="AY120" t="s">
        <v>74</v>
      </c>
      <c r="AZ120" t="s">
        <v>74</v>
      </c>
      <c r="BA120" t="s">
        <v>74</v>
      </c>
      <c r="BB120">
        <v>393</v>
      </c>
      <c r="BC120">
        <v>411</v>
      </c>
      <c r="BD120" t="s">
        <v>74</v>
      </c>
      <c r="BE120" t="s">
        <v>2293</v>
      </c>
      <c r="BF120" t="str">
        <f>HYPERLINK("http://dx.doi.org/10.1080/0028825X.2016.1216866","http://dx.doi.org/10.1080/0028825X.2016.1216866")</f>
        <v>http://dx.doi.org/10.1080/0028825X.2016.1216866</v>
      </c>
      <c r="BG120" t="s">
        <v>74</v>
      </c>
      <c r="BH120" t="s">
        <v>74</v>
      </c>
      <c r="BI120">
        <v>19</v>
      </c>
      <c r="BJ120" t="s">
        <v>1276</v>
      </c>
      <c r="BK120" t="s">
        <v>264</v>
      </c>
      <c r="BL120" t="s">
        <v>1276</v>
      </c>
      <c r="BM120" t="s">
        <v>2294</v>
      </c>
      <c r="BN120" t="s">
        <v>74</v>
      </c>
      <c r="BO120" t="s">
        <v>74</v>
      </c>
      <c r="BP120" t="s">
        <v>74</v>
      </c>
      <c r="BQ120" t="s">
        <v>74</v>
      </c>
      <c r="BR120" t="s">
        <v>100</v>
      </c>
      <c r="BS120" t="s">
        <v>2295</v>
      </c>
      <c r="BT120" t="str">
        <f>HYPERLINK("https%3A%2F%2Fwww.webofscience.com%2Fwos%2Fwoscc%2Ffull-record%2FWOS:000389142400003","View Full Record in Web of Science")</f>
        <v>View Full Record in Web of Science</v>
      </c>
    </row>
    <row r="121" spans="1:72" x14ac:dyDescent="0.15">
      <c r="A121" t="s">
        <v>267</v>
      </c>
      <c r="B121" t="s">
        <v>2296</v>
      </c>
      <c r="C121" t="s">
        <v>74</v>
      </c>
      <c r="D121" t="s">
        <v>74</v>
      </c>
      <c r="E121" t="s">
        <v>269</v>
      </c>
      <c r="F121" t="s">
        <v>2297</v>
      </c>
      <c r="G121" t="s">
        <v>74</v>
      </c>
      <c r="H121" t="s">
        <v>74</v>
      </c>
      <c r="I121" t="s">
        <v>2298</v>
      </c>
      <c r="J121" t="s">
        <v>2299</v>
      </c>
      <c r="K121" t="s">
        <v>2300</v>
      </c>
      <c r="L121" t="s">
        <v>74</v>
      </c>
      <c r="M121" t="s">
        <v>200</v>
      </c>
      <c r="N121" t="s">
        <v>273</v>
      </c>
      <c r="O121" t="s">
        <v>2301</v>
      </c>
      <c r="P121" t="s">
        <v>2302</v>
      </c>
      <c r="Q121" t="s">
        <v>2303</v>
      </c>
      <c r="R121" t="s">
        <v>74</v>
      </c>
      <c r="S121" t="s">
        <v>74</v>
      </c>
      <c r="T121" t="s">
        <v>74</v>
      </c>
      <c r="U121" t="s">
        <v>2304</v>
      </c>
      <c r="V121" t="s">
        <v>2305</v>
      </c>
      <c r="W121" t="s">
        <v>2306</v>
      </c>
      <c r="X121" t="s">
        <v>2307</v>
      </c>
      <c r="Y121" t="s">
        <v>2308</v>
      </c>
      <c r="Z121" t="s">
        <v>2309</v>
      </c>
      <c r="AA121" t="s">
        <v>74</v>
      </c>
      <c r="AB121" t="s">
        <v>74</v>
      </c>
      <c r="AC121" t="s">
        <v>74</v>
      </c>
      <c r="AD121" t="s">
        <v>74</v>
      </c>
      <c r="AE121" t="s">
        <v>74</v>
      </c>
      <c r="AF121" t="s">
        <v>74</v>
      </c>
      <c r="AG121">
        <v>45</v>
      </c>
      <c r="AH121">
        <v>0</v>
      </c>
      <c r="AI121">
        <v>0</v>
      </c>
      <c r="AJ121">
        <v>0</v>
      </c>
      <c r="AK121">
        <v>4</v>
      </c>
      <c r="AL121" t="s">
        <v>269</v>
      </c>
      <c r="AM121" t="s">
        <v>289</v>
      </c>
      <c r="AN121" t="s">
        <v>290</v>
      </c>
      <c r="AO121" t="s">
        <v>2310</v>
      </c>
      <c r="AP121" t="s">
        <v>74</v>
      </c>
      <c r="AQ121" t="s">
        <v>2311</v>
      </c>
      <c r="AR121" t="s">
        <v>2312</v>
      </c>
      <c r="AS121" t="s">
        <v>74</v>
      </c>
      <c r="AT121" t="s">
        <v>74</v>
      </c>
      <c r="AU121">
        <v>2016</v>
      </c>
      <c r="AV121" t="s">
        <v>74</v>
      </c>
      <c r="AW121" t="s">
        <v>74</v>
      </c>
      <c r="AX121" t="s">
        <v>74</v>
      </c>
      <c r="AY121" t="s">
        <v>74</v>
      </c>
      <c r="AZ121" t="s">
        <v>74</v>
      </c>
      <c r="BA121" t="s">
        <v>74</v>
      </c>
      <c r="BB121" t="s">
        <v>74</v>
      </c>
      <c r="BC121" t="s">
        <v>74</v>
      </c>
      <c r="BD121" t="s">
        <v>74</v>
      </c>
      <c r="BE121" t="s">
        <v>74</v>
      </c>
      <c r="BF121" t="s">
        <v>74</v>
      </c>
      <c r="BG121" t="s">
        <v>74</v>
      </c>
      <c r="BH121" t="s">
        <v>74</v>
      </c>
      <c r="BI121">
        <v>13</v>
      </c>
      <c r="BJ121" t="s">
        <v>2313</v>
      </c>
      <c r="BK121" t="s">
        <v>293</v>
      </c>
      <c r="BL121" t="s">
        <v>572</v>
      </c>
      <c r="BM121" t="s">
        <v>2314</v>
      </c>
      <c r="BN121" t="s">
        <v>74</v>
      </c>
      <c r="BO121" t="s">
        <v>74</v>
      </c>
      <c r="BP121" t="s">
        <v>74</v>
      </c>
      <c r="BQ121" t="s">
        <v>74</v>
      </c>
      <c r="BR121" t="s">
        <v>100</v>
      </c>
      <c r="BS121" t="s">
        <v>2315</v>
      </c>
      <c r="BT121" t="str">
        <f>HYPERLINK("https%3A%2F%2Fwww.webofscience.com%2Fwos%2Fwoscc%2Ffull-record%2FWOS:000388374901051","View Full Record in Web of Science")</f>
        <v>View Full Record in Web of Science</v>
      </c>
    </row>
    <row r="122" spans="1:72" x14ac:dyDescent="0.15">
      <c r="A122" t="s">
        <v>267</v>
      </c>
      <c r="B122" t="s">
        <v>2316</v>
      </c>
      <c r="C122" t="s">
        <v>74</v>
      </c>
      <c r="D122" t="s">
        <v>2317</v>
      </c>
      <c r="E122" t="s">
        <v>74</v>
      </c>
      <c r="F122" t="s">
        <v>2318</v>
      </c>
      <c r="G122" t="s">
        <v>74</v>
      </c>
      <c r="H122" t="s">
        <v>74</v>
      </c>
      <c r="I122" t="s">
        <v>2319</v>
      </c>
      <c r="J122" t="s">
        <v>2320</v>
      </c>
      <c r="K122" t="s">
        <v>2321</v>
      </c>
      <c r="L122" t="s">
        <v>74</v>
      </c>
      <c r="M122" t="s">
        <v>200</v>
      </c>
      <c r="N122" t="s">
        <v>273</v>
      </c>
      <c r="O122" t="s">
        <v>2322</v>
      </c>
      <c r="P122" t="s">
        <v>2323</v>
      </c>
      <c r="Q122" t="s">
        <v>2324</v>
      </c>
      <c r="R122" t="s">
        <v>74</v>
      </c>
      <c r="S122" t="s">
        <v>74</v>
      </c>
      <c r="T122" t="s">
        <v>2325</v>
      </c>
      <c r="U122" t="s">
        <v>2326</v>
      </c>
      <c r="V122" t="s">
        <v>2327</v>
      </c>
      <c r="W122" t="s">
        <v>2328</v>
      </c>
      <c r="X122" t="s">
        <v>2329</v>
      </c>
      <c r="Y122" t="s">
        <v>2330</v>
      </c>
      <c r="Z122" t="s">
        <v>2331</v>
      </c>
      <c r="AA122" t="s">
        <v>2332</v>
      </c>
      <c r="AB122" t="s">
        <v>2333</v>
      </c>
      <c r="AC122" t="s">
        <v>74</v>
      </c>
      <c r="AD122" t="s">
        <v>74</v>
      </c>
      <c r="AE122" t="s">
        <v>74</v>
      </c>
      <c r="AF122" t="s">
        <v>74</v>
      </c>
      <c r="AG122">
        <v>19</v>
      </c>
      <c r="AH122">
        <v>3</v>
      </c>
      <c r="AI122">
        <v>4</v>
      </c>
      <c r="AJ122">
        <v>0</v>
      </c>
      <c r="AK122">
        <v>2</v>
      </c>
      <c r="AL122" t="s">
        <v>208</v>
      </c>
      <c r="AM122" t="s">
        <v>209</v>
      </c>
      <c r="AN122" t="s">
        <v>210</v>
      </c>
      <c r="AO122" t="s">
        <v>2334</v>
      </c>
      <c r="AP122" t="s">
        <v>74</v>
      </c>
      <c r="AQ122" t="s">
        <v>74</v>
      </c>
      <c r="AR122" t="s">
        <v>2335</v>
      </c>
      <c r="AS122" t="s">
        <v>74</v>
      </c>
      <c r="AT122" t="s">
        <v>74</v>
      </c>
      <c r="AU122">
        <v>2016</v>
      </c>
      <c r="AV122">
        <v>83</v>
      </c>
      <c r="AW122" t="s">
        <v>74</v>
      </c>
      <c r="AX122" t="s">
        <v>74</v>
      </c>
      <c r="AY122" t="s">
        <v>74</v>
      </c>
      <c r="AZ122" t="s">
        <v>74</v>
      </c>
      <c r="BA122" t="s">
        <v>74</v>
      </c>
      <c r="BB122">
        <v>1007</v>
      </c>
      <c r="BC122">
        <v>1012</v>
      </c>
      <c r="BD122" t="s">
        <v>74</v>
      </c>
      <c r="BE122" t="s">
        <v>2336</v>
      </c>
      <c r="BF122" t="str">
        <f>HYPERLINK("http://dx.doi.org/10.1016/j.procs.2016.04.215","http://dx.doi.org/10.1016/j.procs.2016.04.215")</f>
        <v>http://dx.doi.org/10.1016/j.procs.2016.04.215</v>
      </c>
      <c r="BG122" t="s">
        <v>74</v>
      </c>
      <c r="BH122" t="s">
        <v>74</v>
      </c>
      <c r="BI122">
        <v>6</v>
      </c>
      <c r="BJ122" t="s">
        <v>1580</v>
      </c>
      <c r="BK122" t="s">
        <v>293</v>
      </c>
      <c r="BL122" t="s">
        <v>1537</v>
      </c>
      <c r="BM122" t="s">
        <v>2337</v>
      </c>
      <c r="BN122" t="s">
        <v>74</v>
      </c>
      <c r="BO122" t="s">
        <v>99</v>
      </c>
      <c r="BP122" t="s">
        <v>74</v>
      </c>
      <c r="BQ122" t="s">
        <v>74</v>
      </c>
      <c r="BR122" t="s">
        <v>100</v>
      </c>
      <c r="BS122" t="s">
        <v>2338</v>
      </c>
      <c r="BT122" t="str">
        <f>HYPERLINK("https%3A%2F%2Fwww.webofscience.com%2Fwos%2Fwoscc%2Ffull-record%2FWOS:000387655000135","View Full Record in Web of Science")</f>
        <v>View Full Record in Web of Science</v>
      </c>
    </row>
    <row r="123" spans="1:72" x14ac:dyDescent="0.15">
      <c r="A123" t="s">
        <v>219</v>
      </c>
      <c r="B123" t="s">
        <v>2339</v>
      </c>
      <c r="C123" t="s">
        <v>74</v>
      </c>
      <c r="D123" t="s">
        <v>2340</v>
      </c>
      <c r="E123" t="s">
        <v>74</v>
      </c>
      <c r="F123" t="s">
        <v>2341</v>
      </c>
      <c r="G123" t="s">
        <v>74</v>
      </c>
      <c r="H123" t="s">
        <v>74</v>
      </c>
      <c r="I123" t="s">
        <v>2342</v>
      </c>
      <c r="J123" t="s">
        <v>2343</v>
      </c>
      <c r="K123" t="s">
        <v>2344</v>
      </c>
      <c r="L123" t="s">
        <v>74</v>
      </c>
      <c r="M123" t="s">
        <v>200</v>
      </c>
      <c r="N123" t="s">
        <v>201</v>
      </c>
      <c r="O123" t="s">
        <v>74</v>
      </c>
      <c r="P123" t="s">
        <v>74</v>
      </c>
      <c r="Q123" t="s">
        <v>74</v>
      </c>
      <c r="R123" t="s">
        <v>74</v>
      </c>
      <c r="S123" t="s">
        <v>74</v>
      </c>
      <c r="T123" t="s">
        <v>74</v>
      </c>
      <c r="U123" t="s">
        <v>2345</v>
      </c>
      <c r="V123" t="s">
        <v>2346</v>
      </c>
      <c r="W123" t="s">
        <v>2347</v>
      </c>
      <c r="X123" t="s">
        <v>2348</v>
      </c>
      <c r="Y123" t="s">
        <v>2349</v>
      </c>
      <c r="Z123" t="s">
        <v>2350</v>
      </c>
      <c r="AA123" t="s">
        <v>2351</v>
      </c>
      <c r="AB123" t="s">
        <v>2352</v>
      </c>
      <c r="AC123" t="s">
        <v>74</v>
      </c>
      <c r="AD123" t="s">
        <v>74</v>
      </c>
      <c r="AE123" t="s">
        <v>74</v>
      </c>
      <c r="AF123" t="s">
        <v>74</v>
      </c>
      <c r="AG123">
        <v>19</v>
      </c>
      <c r="AH123">
        <v>5</v>
      </c>
      <c r="AI123">
        <v>7</v>
      </c>
      <c r="AJ123">
        <v>0</v>
      </c>
      <c r="AK123">
        <v>5</v>
      </c>
      <c r="AL123" t="s">
        <v>2353</v>
      </c>
      <c r="AM123" t="s">
        <v>2354</v>
      </c>
      <c r="AN123" t="s">
        <v>2355</v>
      </c>
      <c r="AO123" t="s">
        <v>74</v>
      </c>
      <c r="AP123" t="s">
        <v>74</v>
      </c>
      <c r="AQ123" t="s">
        <v>2356</v>
      </c>
      <c r="AR123" t="s">
        <v>2357</v>
      </c>
      <c r="AS123" t="s">
        <v>74</v>
      </c>
      <c r="AT123" t="s">
        <v>74</v>
      </c>
      <c r="AU123">
        <v>2016</v>
      </c>
      <c r="AV123" t="s">
        <v>74</v>
      </c>
      <c r="AW123" t="s">
        <v>74</v>
      </c>
      <c r="AX123" t="s">
        <v>74</v>
      </c>
      <c r="AY123" t="s">
        <v>74</v>
      </c>
      <c r="AZ123" t="s">
        <v>74</v>
      </c>
      <c r="BA123" t="s">
        <v>74</v>
      </c>
      <c r="BB123">
        <v>207</v>
      </c>
      <c r="BC123">
        <v>219</v>
      </c>
      <c r="BD123" t="s">
        <v>74</v>
      </c>
      <c r="BE123" t="s">
        <v>2358</v>
      </c>
      <c r="BF123" t="str">
        <f>HYPERLINK("http://dx.doi.org/10.1007/978-1-4939-3176-7_8","http://dx.doi.org/10.1007/978-1-4939-3176-7_8")</f>
        <v>http://dx.doi.org/10.1007/978-1-4939-3176-7_8</v>
      </c>
      <c r="BG123" t="s">
        <v>2359</v>
      </c>
      <c r="BH123" t="s">
        <v>74</v>
      </c>
      <c r="BI123">
        <v>13</v>
      </c>
      <c r="BJ123" t="s">
        <v>2360</v>
      </c>
      <c r="BK123" t="s">
        <v>216</v>
      </c>
      <c r="BL123" t="s">
        <v>2361</v>
      </c>
      <c r="BM123" t="s">
        <v>2362</v>
      </c>
      <c r="BN123" t="s">
        <v>74</v>
      </c>
      <c r="BO123" t="s">
        <v>74</v>
      </c>
      <c r="BP123" t="s">
        <v>74</v>
      </c>
      <c r="BQ123" t="s">
        <v>74</v>
      </c>
      <c r="BR123" t="s">
        <v>100</v>
      </c>
      <c r="BS123" t="s">
        <v>2363</v>
      </c>
      <c r="BT123" t="str">
        <f>HYPERLINK("https%3A%2F%2Fwww.webofscience.com%2Fwos%2Fwoscc%2Ffull-record%2FWOS:000388838600010","View Full Record in Web of Science")</f>
        <v>View Full Record in Web of Science</v>
      </c>
    </row>
    <row r="124" spans="1:72" x14ac:dyDescent="0.15">
      <c r="A124" t="s">
        <v>219</v>
      </c>
      <c r="B124" t="s">
        <v>2364</v>
      </c>
      <c r="C124" t="s">
        <v>74</v>
      </c>
      <c r="D124" t="s">
        <v>2340</v>
      </c>
      <c r="E124" t="s">
        <v>74</v>
      </c>
      <c r="F124" t="s">
        <v>2365</v>
      </c>
      <c r="G124" t="s">
        <v>74</v>
      </c>
      <c r="H124" t="s">
        <v>74</v>
      </c>
      <c r="I124" t="s">
        <v>2366</v>
      </c>
      <c r="J124" t="s">
        <v>2343</v>
      </c>
      <c r="K124" t="s">
        <v>2344</v>
      </c>
      <c r="L124" t="s">
        <v>74</v>
      </c>
      <c r="M124" t="s">
        <v>200</v>
      </c>
      <c r="N124" t="s">
        <v>201</v>
      </c>
      <c r="O124" t="s">
        <v>74</v>
      </c>
      <c r="P124" t="s">
        <v>74</v>
      </c>
      <c r="Q124" t="s">
        <v>74</v>
      </c>
      <c r="R124" t="s">
        <v>74</v>
      </c>
      <c r="S124" t="s">
        <v>74</v>
      </c>
      <c r="T124" t="s">
        <v>74</v>
      </c>
      <c r="U124" t="s">
        <v>2367</v>
      </c>
      <c r="V124" t="s">
        <v>2368</v>
      </c>
      <c r="W124" t="s">
        <v>2369</v>
      </c>
      <c r="X124" t="s">
        <v>2370</v>
      </c>
      <c r="Y124" t="s">
        <v>2371</v>
      </c>
      <c r="Z124" t="s">
        <v>2372</v>
      </c>
      <c r="AA124" t="s">
        <v>74</v>
      </c>
      <c r="AB124" t="s">
        <v>74</v>
      </c>
      <c r="AC124" t="s">
        <v>74</v>
      </c>
      <c r="AD124" t="s">
        <v>74</v>
      </c>
      <c r="AE124" t="s">
        <v>74</v>
      </c>
      <c r="AF124" t="s">
        <v>74</v>
      </c>
      <c r="AG124">
        <v>263</v>
      </c>
      <c r="AH124">
        <v>4</v>
      </c>
      <c r="AI124">
        <v>4</v>
      </c>
      <c r="AJ124">
        <v>2</v>
      </c>
      <c r="AK124">
        <v>15</v>
      </c>
      <c r="AL124" t="s">
        <v>2353</v>
      </c>
      <c r="AM124" t="s">
        <v>2354</v>
      </c>
      <c r="AN124" t="s">
        <v>2355</v>
      </c>
      <c r="AO124" t="s">
        <v>74</v>
      </c>
      <c r="AP124" t="s">
        <v>74</v>
      </c>
      <c r="AQ124" t="s">
        <v>2356</v>
      </c>
      <c r="AR124" t="s">
        <v>2357</v>
      </c>
      <c r="AS124" t="s">
        <v>74</v>
      </c>
      <c r="AT124" t="s">
        <v>74</v>
      </c>
      <c r="AU124">
        <v>2016</v>
      </c>
      <c r="AV124" t="s">
        <v>74</v>
      </c>
      <c r="AW124" t="s">
        <v>74</v>
      </c>
      <c r="AX124" t="s">
        <v>74</v>
      </c>
      <c r="AY124" t="s">
        <v>74</v>
      </c>
      <c r="AZ124" t="s">
        <v>74</v>
      </c>
      <c r="BA124" t="s">
        <v>74</v>
      </c>
      <c r="BB124">
        <v>257</v>
      </c>
      <c r="BC124">
        <v>308</v>
      </c>
      <c r="BD124" t="s">
        <v>74</v>
      </c>
      <c r="BE124" t="s">
        <v>2373</v>
      </c>
      <c r="BF124" t="str">
        <f>HYPERLINK("http://dx.doi.org/10.1007/978-1-4939-3176-7_11","http://dx.doi.org/10.1007/978-1-4939-3176-7_11")</f>
        <v>http://dx.doi.org/10.1007/978-1-4939-3176-7_11</v>
      </c>
      <c r="BG124" t="s">
        <v>2359</v>
      </c>
      <c r="BH124" t="s">
        <v>74</v>
      </c>
      <c r="BI124">
        <v>52</v>
      </c>
      <c r="BJ124" t="s">
        <v>2360</v>
      </c>
      <c r="BK124" t="s">
        <v>216</v>
      </c>
      <c r="BL124" t="s">
        <v>2361</v>
      </c>
      <c r="BM124" t="s">
        <v>2362</v>
      </c>
      <c r="BN124" t="s">
        <v>74</v>
      </c>
      <c r="BO124" t="s">
        <v>74</v>
      </c>
      <c r="BP124" t="s">
        <v>74</v>
      </c>
      <c r="BQ124" t="s">
        <v>74</v>
      </c>
      <c r="BR124" t="s">
        <v>100</v>
      </c>
      <c r="BS124" t="s">
        <v>2374</v>
      </c>
      <c r="BT124" t="str">
        <f>HYPERLINK("https%3A%2F%2Fwww.webofscience.com%2Fwos%2Fwoscc%2Ffull-record%2FWOS:000388838600013","View Full Record in Web of Science")</f>
        <v>View Full Record in Web of Science</v>
      </c>
    </row>
    <row r="125" spans="1:72" x14ac:dyDescent="0.15">
      <c r="A125" t="s">
        <v>72</v>
      </c>
      <c r="B125" t="s">
        <v>2375</v>
      </c>
      <c r="C125" t="s">
        <v>74</v>
      </c>
      <c r="D125" t="s">
        <v>74</v>
      </c>
      <c r="E125" t="s">
        <v>74</v>
      </c>
      <c r="F125" t="s">
        <v>2376</v>
      </c>
      <c r="G125" t="s">
        <v>74</v>
      </c>
      <c r="H125" t="s">
        <v>74</v>
      </c>
      <c r="I125" t="s">
        <v>2377</v>
      </c>
      <c r="J125" t="s">
        <v>2378</v>
      </c>
      <c r="K125" t="s">
        <v>74</v>
      </c>
      <c r="L125" t="s">
        <v>74</v>
      </c>
      <c r="M125" t="s">
        <v>200</v>
      </c>
      <c r="N125" t="s">
        <v>79</v>
      </c>
      <c r="O125" t="s">
        <v>74</v>
      </c>
      <c r="P125" t="s">
        <v>74</v>
      </c>
      <c r="Q125" t="s">
        <v>74</v>
      </c>
      <c r="R125" t="s">
        <v>74</v>
      </c>
      <c r="S125" t="s">
        <v>74</v>
      </c>
      <c r="T125" t="s">
        <v>2379</v>
      </c>
      <c r="U125" t="s">
        <v>74</v>
      </c>
      <c r="V125" t="s">
        <v>2380</v>
      </c>
      <c r="W125" t="s">
        <v>2381</v>
      </c>
      <c r="X125" t="s">
        <v>74</v>
      </c>
      <c r="Y125" t="s">
        <v>2382</v>
      </c>
      <c r="Z125" t="s">
        <v>2383</v>
      </c>
      <c r="AA125" t="s">
        <v>2384</v>
      </c>
      <c r="AB125" t="s">
        <v>2385</v>
      </c>
      <c r="AC125" t="s">
        <v>2386</v>
      </c>
      <c r="AD125" t="s">
        <v>2387</v>
      </c>
      <c r="AE125" t="s">
        <v>2388</v>
      </c>
      <c r="AF125" t="s">
        <v>74</v>
      </c>
      <c r="AG125">
        <v>35</v>
      </c>
      <c r="AH125">
        <v>9</v>
      </c>
      <c r="AI125">
        <v>9</v>
      </c>
      <c r="AJ125">
        <v>0</v>
      </c>
      <c r="AK125">
        <v>3</v>
      </c>
      <c r="AL125" t="s">
        <v>2263</v>
      </c>
      <c r="AM125" t="s">
        <v>2264</v>
      </c>
      <c r="AN125" t="s">
        <v>2265</v>
      </c>
      <c r="AO125" t="s">
        <v>2389</v>
      </c>
      <c r="AP125" t="s">
        <v>2390</v>
      </c>
      <c r="AQ125" t="s">
        <v>74</v>
      </c>
      <c r="AR125" t="s">
        <v>2391</v>
      </c>
      <c r="AS125" t="s">
        <v>2392</v>
      </c>
      <c r="AT125" t="s">
        <v>74</v>
      </c>
      <c r="AU125">
        <v>2016</v>
      </c>
      <c r="AV125">
        <v>39</v>
      </c>
      <c r="AW125">
        <v>6</v>
      </c>
      <c r="AX125" t="s">
        <v>74</v>
      </c>
      <c r="AY125" t="s">
        <v>74</v>
      </c>
      <c r="AZ125" t="s">
        <v>74</v>
      </c>
      <c r="BA125" t="s">
        <v>74</v>
      </c>
      <c r="BB125">
        <v>439</v>
      </c>
      <c r="BC125">
        <v>457</v>
      </c>
      <c r="BD125" t="s">
        <v>74</v>
      </c>
      <c r="BE125" t="s">
        <v>2393</v>
      </c>
      <c r="BF125" t="str">
        <f>HYPERLINK("http://dx.doi.org/10.1080/01490419.2016.1245226","http://dx.doi.org/10.1080/01490419.2016.1245226")</f>
        <v>http://dx.doi.org/10.1080/01490419.2016.1245226</v>
      </c>
      <c r="BG125" t="s">
        <v>74</v>
      </c>
      <c r="BH125" t="s">
        <v>74</v>
      </c>
      <c r="BI125">
        <v>19</v>
      </c>
      <c r="BJ125" t="s">
        <v>2394</v>
      </c>
      <c r="BK125" t="s">
        <v>264</v>
      </c>
      <c r="BL125" t="s">
        <v>2394</v>
      </c>
      <c r="BM125" t="s">
        <v>2395</v>
      </c>
      <c r="BN125" t="s">
        <v>74</v>
      </c>
      <c r="BO125" t="s">
        <v>74</v>
      </c>
      <c r="BP125" t="s">
        <v>74</v>
      </c>
      <c r="BQ125" t="s">
        <v>74</v>
      </c>
      <c r="BR125" t="s">
        <v>100</v>
      </c>
      <c r="BS125" t="s">
        <v>2396</v>
      </c>
      <c r="BT125" t="str">
        <f>HYPERLINK("https%3A%2F%2Fwww.webofscience.com%2Fwos%2Fwoscc%2Ffull-record%2FWOS:000388589900003","View Full Record in Web of Science")</f>
        <v>View Full Record in Web of Science</v>
      </c>
    </row>
    <row r="126" spans="1:72" x14ac:dyDescent="0.15">
      <c r="A126" t="s">
        <v>193</v>
      </c>
      <c r="B126" t="s">
        <v>2397</v>
      </c>
      <c r="C126" t="s">
        <v>74</v>
      </c>
      <c r="D126" t="s">
        <v>2398</v>
      </c>
      <c r="E126" t="s">
        <v>74</v>
      </c>
      <c r="F126" t="s">
        <v>2399</v>
      </c>
      <c r="G126" t="s">
        <v>74</v>
      </c>
      <c r="H126" t="s">
        <v>74</v>
      </c>
      <c r="I126" t="s">
        <v>2400</v>
      </c>
      <c r="J126" t="s">
        <v>2401</v>
      </c>
      <c r="K126" t="s">
        <v>2402</v>
      </c>
      <c r="L126" t="s">
        <v>74</v>
      </c>
      <c r="M126" t="s">
        <v>200</v>
      </c>
      <c r="N126" t="s">
        <v>201</v>
      </c>
      <c r="O126" t="s">
        <v>74</v>
      </c>
      <c r="P126" t="s">
        <v>74</v>
      </c>
      <c r="Q126" t="s">
        <v>74</v>
      </c>
      <c r="R126" t="s">
        <v>74</v>
      </c>
      <c r="S126" t="s">
        <v>74</v>
      </c>
      <c r="T126" t="s">
        <v>74</v>
      </c>
      <c r="U126" t="s">
        <v>2403</v>
      </c>
      <c r="V126" t="s">
        <v>2404</v>
      </c>
      <c r="W126" t="s">
        <v>2405</v>
      </c>
      <c r="X126" t="s">
        <v>2406</v>
      </c>
      <c r="Y126" t="s">
        <v>2407</v>
      </c>
      <c r="Z126" t="s">
        <v>74</v>
      </c>
      <c r="AA126" t="s">
        <v>2408</v>
      </c>
      <c r="AB126" t="s">
        <v>2409</v>
      </c>
      <c r="AC126" t="s">
        <v>74</v>
      </c>
      <c r="AD126" t="s">
        <v>74</v>
      </c>
      <c r="AE126" t="s">
        <v>74</v>
      </c>
      <c r="AF126" t="s">
        <v>74</v>
      </c>
      <c r="AG126">
        <v>24</v>
      </c>
      <c r="AH126">
        <v>1</v>
      </c>
      <c r="AI126">
        <v>1</v>
      </c>
      <c r="AJ126">
        <v>0</v>
      </c>
      <c r="AK126">
        <v>0</v>
      </c>
      <c r="AL126" t="s">
        <v>2410</v>
      </c>
      <c r="AM126" t="s">
        <v>1559</v>
      </c>
      <c r="AN126" t="s">
        <v>2411</v>
      </c>
      <c r="AO126" t="s">
        <v>2412</v>
      </c>
      <c r="AP126" t="s">
        <v>74</v>
      </c>
      <c r="AQ126" t="s">
        <v>2413</v>
      </c>
      <c r="AR126" t="s">
        <v>2414</v>
      </c>
      <c r="AS126" t="s">
        <v>74</v>
      </c>
      <c r="AT126" t="s">
        <v>74</v>
      </c>
      <c r="AU126">
        <v>2016</v>
      </c>
      <c r="AV126">
        <v>215</v>
      </c>
      <c r="AW126" t="s">
        <v>74</v>
      </c>
      <c r="AX126" t="s">
        <v>74</v>
      </c>
      <c r="AY126" t="s">
        <v>74</v>
      </c>
      <c r="AZ126" t="s">
        <v>74</v>
      </c>
      <c r="BA126" t="s">
        <v>74</v>
      </c>
      <c r="BB126">
        <v>71</v>
      </c>
      <c r="BC126">
        <v>80</v>
      </c>
      <c r="BD126" t="s">
        <v>74</v>
      </c>
      <c r="BE126" t="s">
        <v>74</v>
      </c>
      <c r="BF126" t="s">
        <v>74</v>
      </c>
      <c r="BG126" t="s">
        <v>74</v>
      </c>
      <c r="BH126" t="s">
        <v>74</v>
      </c>
      <c r="BI126">
        <v>10</v>
      </c>
      <c r="BJ126" t="s">
        <v>2415</v>
      </c>
      <c r="BK126" t="s">
        <v>216</v>
      </c>
      <c r="BL126" t="s">
        <v>2415</v>
      </c>
      <c r="BM126" t="s">
        <v>2416</v>
      </c>
      <c r="BN126" t="s">
        <v>74</v>
      </c>
      <c r="BO126" t="s">
        <v>74</v>
      </c>
      <c r="BP126" t="s">
        <v>74</v>
      </c>
      <c r="BQ126" t="s">
        <v>74</v>
      </c>
      <c r="BR126" t="s">
        <v>100</v>
      </c>
      <c r="BS126" t="s">
        <v>2417</v>
      </c>
      <c r="BT126" t="str">
        <f>HYPERLINK("https%3A%2F%2Fwww.webofscience.com%2Fwos%2Fwoscc%2Ffull-record%2FWOS:000385571200007","View Full Record in Web of Science")</f>
        <v>View Full Record in Web of Science</v>
      </c>
    </row>
    <row r="127" spans="1:72" x14ac:dyDescent="0.15">
      <c r="A127" t="s">
        <v>219</v>
      </c>
      <c r="B127" t="s">
        <v>2418</v>
      </c>
      <c r="C127" t="s">
        <v>74</v>
      </c>
      <c r="D127" t="s">
        <v>2419</v>
      </c>
      <c r="E127" t="s">
        <v>74</v>
      </c>
      <c r="F127" t="s">
        <v>2420</v>
      </c>
      <c r="G127" t="s">
        <v>74</v>
      </c>
      <c r="H127" t="s">
        <v>74</v>
      </c>
      <c r="I127" t="s">
        <v>2421</v>
      </c>
      <c r="J127" t="s">
        <v>2422</v>
      </c>
      <c r="K127" t="s">
        <v>74</v>
      </c>
      <c r="L127" t="s">
        <v>74</v>
      </c>
      <c r="M127" t="s">
        <v>200</v>
      </c>
      <c r="N127" t="s">
        <v>201</v>
      </c>
      <c r="O127" t="s">
        <v>74</v>
      </c>
      <c r="P127" t="s">
        <v>74</v>
      </c>
      <c r="Q127" t="s">
        <v>74</v>
      </c>
      <c r="R127" t="s">
        <v>74</v>
      </c>
      <c r="S127" t="s">
        <v>74</v>
      </c>
      <c r="T127" t="s">
        <v>74</v>
      </c>
      <c r="U127" t="s">
        <v>2423</v>
      </c>
      <c r="V127" t="s">
        <v>74</v>
      </c>
      <c r="W127" t="s">
        <v>2424</v>
      </c>
      <c r="X127" t="s">
        <v>2425</v>
      </c>
      <c r="Y127" t="s">
        <v>2426</v>
      </c>
      <c r="Z127" t="s">
        <v>74</v>
      </c>
      <c r="AA127" t="s">
        <v>2427</v>
      </c>
      <c r="AB127" t="s">
        <v>2428</v>
      </c>
      <c r="AC127" t="s">
        <v>74</v>
      </c>
      <c r="AD127" t="s">
        <v>74</v>
      </c>
      <c r="AE127" t="s">
        <v>74</v>
      </c>
      <c r="AF127" t="s">
        <v>74</v>
      </c>
      <c r="AG127">
        <v>36</v>
      </c>
      <c r="AH127">
        <v>1</v>
      </c>
      <c r="AI127">
        <v>1</v>
      </c>
      <c r="AJ127">
        <v>0</v>
      </c>
      <c r="AK127">
        <v>2</v>
      </c>
      <c r="AL127" t="s">
        <v>2239</v>
      </c>
      <c r="AM127" t="s">
        <v>2240</v>
      </c>
      <c r="AN127" t="s">
        <v>2429</v>
      </c>
      <c r="AO127" t="s">
        <v>74</v>
      </c>
      <c r="AP127" t="s">
        <v>74</v>
      </c>
      <c r="AQ127" t="s">
        <v>2430</v>
      </c>
      <c r="AR127" t="s">
        <v>74</v>
      </c>
      <c r="AS127" t="s">
        <v>74</v>
      </c>
      <c r="AT127" t="s">
        <v>74</v>
      </c>
      <c r="AU127">
        <v>2016</v>
      </c>
      <c r="AV127" t="s">
        <v>74</v>
      </c>
      <c r="AW127" t="s">
        <v>74</v>
      </c>
      <c r="AX127" t="s">
        <v>74</v>
      </c>
      <c r="AY127" t="s">
        <v>74</v>
      </c>
      <c r="AZ127" t="s">
        <v>74</v>
      </c>
      <c r="BA127" t="s">
        <v>74</v>
      </c>
      <c r="BB127">
        <v>183</v>
      </c>
      <c r="BC127">
        <v>198</v>
      </c>
      <c r="BD127" t="s">
        <v>74</v>
      </c>
      <c r="BE127" t="s">
        <v>74</v>
      </c>
      <c r="BF127" t="s">
        <v>74</v>
      </c>
      <c r="BG127" t="s">
        <v>2431</v>
      </c>
      <c r="BH127" t="s">
        <v>74</v>
      </c>
      <c r="BI127">
        <v>16</v>
      </c>
      <c r="BJ127" t="s">
        <v>2432</v>
      </c>
      <c r="BK127" t="s">
        <v>216</v>
      </c>
      <c r="BL127" t="s">
        <v>2433</v>
      </c>
      <c r="BM127" t="s">
        <v>2434</v>
      </c>
      <c r="BN127" t="s">
        <v>74</v>
      </c>
      <c r="BO127" t="s">
        <v>74</v>
      </c>
      <c r="BP127" t="s">
        <v>74</v>
      </c>
      <c r="BQ127" t="s">
        <v>74</v>
      </c>
      <c r="BR127" t="s">
        <v>100</v>
      </c>
      <c r="BS127" t="s">
        <v>2435</v>
      </c>
      <c r="BT127" t="str">
        <f>HYPERLINK("https%3A%2F%2Fwww.webofscience.com%2Fwos%2Fwoscc%2Ffull-record%2FWOS:000387347000016","View Full Record in Web of Science")</f>
        <v>View Full Record in Web of Science</v>
      </c>
    </row>
    <row r="128" spans="1:72" x14ac:dyDescent="0.15">
      <c r="A128" t="s">
        <v>219</v>
      </c>
      <c r="B128" t="s">
        <v>2436</v>
      </c>
      <c r="C128" t="s">
        <v>74</v>
      </c>
      <c r="D128" t="s">
        <v>2419</v>
      </c>
      <c r="E128" t="s">
        <v>74</v>
      </c>
      <c r="F128" t="s">
        <v>2437</v>
      </c>
      <c r="G128" t="s">
        <v>74</v>
      </c>
      <c r="H128" t="s">
        <v>74</v>
      </c>
      <c r="I128" t="s">
        <v>2438</v>
      </c>
      <c r="J128" t="s">
        <v>2422</v>
      </c>
      <c r="K128" t="s">
        <v>74</v>
      </c>
      <c r="L128" t="s">
        <v>74</v>
      </c>
      <c r="M128" t="s">
        <v>200</v>
      </c>
      <c r="N128" t="s">
        <v>201</v>
      </c>
      <c r="O128" t="s">
        <v>74</v>
      </c>
      <c r="P128" t="s">
        <v>74</v>
      </c>
      <c r="Q128" t="s">
        <v>74</v>
      </c>
      <c r="R128" t="s">
        <v>74</v>
      </c>
      <c r="S128" t="s">
        <v>74</v>
      </c>
      <c r="T128" t="s">
        <v>74</v>
      </c>
      <c r="U128" t="s">
        <v>2439</v>
      </c>
      <c r="V128" t="s">
        <v>74</v>
      </c>
      <c r="W128" t="s">
        <v>2440</v>
      </c>
      <c r="X128" t="s">
        <v>2441</v>
      </c>
      <c r="Y128" t="s">
        <v>2442</v>
      </c>
      <c r="Z128" t="s">
        <v>74</v>
      </c>
      <c r="AA128" t="s">
        <v>74</v>
      </c>
      <c r="AB128" t="s">
        <v>2443</v>
      </c>
      <c r="AC128" t="s">
        <v>74</v>
      </c>
      <c r="AD128" t="s">
        <v>74</v>
      </c>
      <c r="AE128" t="s">
        <v>74</v>
      </c>
      <c r="AF128" t="s">
        <v>74</v>
      </c>
      <c r="AG128">
        <v>100</v>
      </c>
      <c r="AH128">
        <v>4</v>
      </c>
      <c r="AI128">
        <v>4</v>
      </c>
      <c r="AJ128">
        <v>0</v>
      </c>
      <c r="AK128">
        <v>1</v>
      </c>
      <c r="AL128" t="s">
        <v>2239</v>
      </c>
      <c r="AM128" t="s">
        <v>2240</v>
      </c>
      <c r="AN128" t="s">
        <v>2429</v>
      </c>
      <c r="AO128" t="s">
        <v>74</v>
      </c>
      <c r="AP128" t="s">
        <v>74</v>
      </c>
      <c r="AQ128" t="s">
        <v>2430</v>
      </c>
      <c r="AR128" t="s">
        <v>74</v>
      </c>
      <c r="AS128" t="s">
        <v>74</v>
      </c>
      <c r="AT128" t="s">
        <v>74</v>
      </c>
      <c r="AU128">
        <v>2016</v>
      </c>
      <c r="AV128" t="s">
        <v>74</v>
      </c>
      <c r="AW128" t="s">
        <v>74</v>
      </c>
      <c r="AX128" t="s">
        <v>74</v>
      </c>
      <c r="AY128" t="s">
        <v>74</v>
      </c>
      <c r="AZ128" t="s">
        <v>74</v>
      </c>
      <c r="BA128" t="s">
        <v>74</v>
      </c>
      <c r="BB128">
        <v>199</v>
      </c>
      <c r="BC128">
        <v>212</v>
      </c>
      <c r="BD128" t="s">
        <v>74</v>
      </c>
      <c r="BE128" t="s">
        <v>74</v>
      </c>
      <c r="BF128" t="s">
        <v>74</v>
      </c>
      <c r="BG128" t="s">
        <v>2431</v>
      </c>
      <c r="BH128" t="s">
        <v>74</v>
      </c>
      <c r="BI128">
        <v>14</v>
      </c>
      <c r="BJ128" t="s">
        <v>2432</v>
      </c>
      <c r="BK128" t="s">
        <v>216</v>
      </c>
      <c r="BL128" t="s">
        <v>2433</v>
      </c>
      <c r="BM128" t="s">
        <v>2434</v>
      </c>
      <c r="BN128" t="s">
        <v>74</v>
      </c>
      <c r="BO128" t="s">
        <v>74</v>
      </c>
      <c r="BP128" t="s">
        <v>74</v>
      </c>
      <c r="BQ128" t="s">
        <v>74</v>
      </c>
      <c r="BR128" t="s">
        <v>100</v>
      </c>
      <c r="BS128" t="s">
        <v>2444</v>
      </c>
      <c r="BT128" t="str">
        <f>HYPERLINK("https%3A%2F%2Fwww.webofscience.com%2Fwos%2Fwoscc%2Ffull-record%2FWOS:000387347000017","View Full Record in Web of Science")</f>
        <v>View Full Record in Web of Science</v>
      </c>
    </row>
    <row r="129" spans="1:72" x14ac:dyDescent="0.15">
      <c r="A129" t="s">
        <v>267</v>
      </c>
      <c r="B129" t="s">
        <v>2445</v>
      </c>
      <c r="C129" t="s">
        <v>74</v>
      </c>
      <c r="D129" t="s">
        <v>2446</v>
      </c>
      <c r="E129" t="s">
        <v>74</v>
      </c>
      <c r="F129" t="s">
        <v>2447</v>
      </c>
      <c r="G129" t="s">
        <v>74</v>
      </c>
      <c r="H129" t="s">
        <v>74</v>
      </c>
      <c r="I129" t="s">
        <v>2448</v>
      </c>
      <c r="J129" t="s">
        <v>2449</v>
      </c>
      <c r="K129" t="s">
        <v>1053</v>
      </c>
      <c r="L129" t="s">
        <v>74</v>
      </c>
      <c r="M129" t="s">
        <v>200</v>
      </c>
      <c r="N129" t="s">
        <v>273</v>
      </c>
      <c r="O129" t="s">
        <v>2450</v>
      </c>
      <c r="P129" t="s">
        <v>1782</v>
      </c>
      <c r="Q129" t="s">
        <v>2451</v>
      </c>
      <c r="R129" t="s">
        <v>74</v>
      </c>
      <c r="S129" t="s">
        <v>74</v>
      </c>
      <c r="T129" t="s">
        <v>2452</v>
      </c>
      <c r="U129" t="s">
        <v>74</v>
      </c>
      <c r="V129" t="s">
        <v>2453</v>
      </c>
      <c r="W129" t="s">
        <v>2454</v>
      </c>
      <c r="X129" t="s">
        <v>2455</v>
      </c>
      <c r="Y129" t="s">
        <v>2456</v>
      </c>
      <c r="Z129" t="s">
        <v>2457</v>
      </c>
      <c r="AA129" t="s">
        <v>74</v>
      </c>
      <c r="AB129" t="s">
        <v>74</v>
      </c>
      <c r="AC129" t="s">
        <v>74</v>
      </c>
      <c r="AD129" t="s">
        <v>74</v>
      </c>
      <c r="AE129" t="s">
        <v>74</v>
      </c>
      <c r="AF129" t="s">
        <v>74</v>
      </c>
      <c r="AG129">
        <v>12</v>
      </c>
      <c r="AH129">
        <v>0</v>
      </c>
      <c r="AI129">
        <v>0</v>
      </c>
      <c r="AJ129">
        <v>0</v>
      </c>
      <c r="AK129">
        <v>1</v>
      </c>
      <c r="AL129" t="s">
        <v>1067</v>
      </c>
      <c r="AM129" t="s">
        <v>1068</v>
      </c>
      <c r="AN129" t="s">
        <v>1069</v>
      </c>
      <c r="AO129" t="s">
        <v>1070</v>
      </c>
      <c r="AP129" t="s">
        <v>1107</v>
      </c>
      <c r="AQ129" t="s">
        <v>2458</v>
      </c>
      <c r="AR129" t="s">
        <v>1072</v>
      </c>
      <c r="AS129" t="s">
        <v>74</v>
      </c>
      <c r="AT129" t="s">
        <v>74</v>
      </c>
      <c r="AU129">
        <v>2016</v>
      </c>
      <c r="AV129">
        <v>9912</v>
      </c>
      <c r="AW129" t="s">
        <v>74</v>
      </c>
      <c r="AX129">
        <v>1</v>
      </c>
      <c r="AY129" t="s">
        <v>74</v>
      </c>
      <c r="AZ129" t="s">
        <v>74</v>
      </c>
      <c r="BA129" t="s">
        <v>74</v>
      </c>
      <c r="BB129" t="s">
        <v>74</v>
      </c>
      <c r="BC129" t="s">
        <v>74</v>
      </c>
      <c r="BD129" t="s">
        <v>2459</v>
      </c>
      <c r="BE129" t="s">
        <v>2460</v>
      </c>
      <c r="BF129" t="str">
        <f>HYPERLINK("http://dx.doi.org/10.1117/12.2230834","http://dx.doi.org/10.1117/12.2230834")</f>
        <v>http://dx.doi.org/10.1117/12.2230834</v>
      </c>
      <c r="BG129" t="s">
        <v>74</v>
      </c>
      <c r="BH129" t="s">
        <v>74</v>
      </c>
      <c r="BI129">
        <v>15</v>
      </c>
      <c r="BJ129" t="s">
        <v>1794</v>
      </c>
      <c r="BK129" t="s">
        <v>293</v>
      </c>
      <c r="BL129" t="s">
        <v>1794</v>
      </c>
      <c r="BM129" t="s">
        <v>2461</v>
      </c>
      <c r="BN129" t="s">
        <v>74</v>
      </c>
      <c r="BO129" t="s">
        <v>74</v>
      </c>
      <c r="BP129" t="s">
        <v>74</v>
      </c>
      <c r="BQ129" t="s">
        <v>74</v>
      </c>
      <c r="BR129" t="s">
        <v>100</v>
      </c>
      <c r="BS129" t="s">
        <v>2462</v>
      </c>
      <c r="BT129" t="str">
        <f>HYPERLINK("https%3A%2F%2Fwww.webofscience.com%2Fwos%2Fwoscc%2Ffull-record%2FWOS:000387747900188","View Full Record in Web of Science")</f>
        <v>View Full Record in Web of Science</v>
      </c>
    </row>
    <row r="130" spans="1:72" x14ac:dyDescent="0.15">
      <c r="A130" t="s">
        <v>193</v>
      </c>
      <c r="B130" t="s">
        <v>2174</v>
      </c>
      <c r="C130" t="s">
        <v>74</v>
      </c>
      <c r="D130" t="s">
        <v>2463</v>
      </c>
      <c r="E130" t="s">
        <v>74</v>
      </c>
      <c r="F130" t="s">
        <v>2464</v>
      </c>
      <c r="G130" t="s">
        <v>74</v>
      </c>
      <c r="H130" t="s">
        <v>74</v>
      </c>
      <c r="I130" t="s">
        <v>2465</v>
      </c>
      <c r="J130" t="s">
        <v>2466</v>
      </c>
      <c r="K130" t="s">
        <v>2178</v>
      </c>
      <c r="L130" t="s">
        <v>74</v>
      </c>
      <c r="M130" t="s">
        <v>200</v>
      </c>
      <c r="N130" t="s">
        <v>201</v>
      </c>
      <c r="O130" t="s">
        <v>74</v>
      </c>
      <c r="P130" t="s">
        <v>74</v>
      </c>
      <c r="Q130" t="s">
        <v>74</v>
      </c>
      <c r="R130" t="s">
        <v>74</v>
      </c>
      <c r="S130" t="s">
        <v>74</v>
      </c>
      <c r="T130" t="s">
        <v>2467</v>
      </c>
      <c r="U130" t="s">
        <v>2468</v>
      </c>
      <c r="V130" t="s">
        <v>2469</v>
      </c>
      <c r="W130" t="s">
        <v>2470</v>
      </c>
      <c r="X130" t="s">
        <v>74</v>
      </c>
      <c r="Y130" t="s">
        <v>2471</v>
      </c>
      <c r="Z130" t="s">
        <v>2472</v>
      </c>
      <c r="AA130" t="s">
        <v>2205</v>
      </c>
      <c r="AB130" t="s">
        <v>74</v>
      </c>
      <c r="AC130" t="s">
        <v>74</v>
      </c>
      <c r="AD130" t="s">
        <v>74</v>
      </c>
      <c r="AE130" t="s">
        <v>74</v>
      </c>
      <c r="AF130" t="s">
        <v>74</v>
      </c>
      <c r="AG130">
        <v>107</v>
      </c>
      <c r="AH130">
        <v>11</v>
      </c>
      <c r="AI130">
        <v>11</v>
      </c>
      <c r="AJ130">
        <v>0</v>
      </c>
      <c r="AK130">
        <v>3</v>
      </c>
      <c r="AL130" t="s">
        <v>393</v>
      </c>
      <c r="AM130" t="s">
        <v>394</v>
      </c>
      <c r="AN130" t="s">
        <v>395</v>
      </c>
      <c r="AO130" t="s">
        <v>2186</v>
      </c>
      <c r="AP130" t="s">
        <v>2187</v>
      </c>
      <c r="AQ130" t="s">
        <v>2473</v>
      </c>
      <c r="AR130" t="s">
        <v>2189</v>
      </c>
      <c r="AS130" t="s">
        <v>74</v>
      </c>
      <c r="AT130" t="s">
        <v>74</v>
      </c>
      <c r="AU130">
        <v>2016</v>
      </c>
      <c r="AV130" t="s">
        <v>74</v>
      </c>
      <c r="AW130" t="s">
        <v>74</v>
      </c>
      <c r="AX130" t="s">
        <v>74</v>
      </c>
      <c r="AY130" t="s">
        <v>74</v>
      </c>
      <c r="AZ130" t="s">
        <v>74</v>
      </c>
      <c r="BA130" t="s">
        <v>74</v>
      </c>
      <c r="BB130">
        <v>241</v>
      </c>
      <c r="BC130">
        <v>267</v>
      </c>
      <c r="BD130" t="s">
        <v>74</v>
      </c>
      <c r="BE130" t="s">
        <v>2474</v>
      </c>
      <c r="BF130" t="str">
        <f>HYPERLINK("http://dx.doi.org/10.1007/978-3-319-23060-3_11","http://dx.doi.org/10.1007/978-3-319-23060-3_11")</f>
        <v>http://dx.doi.org/10.1007/978-3-319-23060-3_11</v>
      </c>
      <c r="BG130" t="s">
        <v>2475</v>
      </c>
      <c r="BH130" t="s">
        <v>74</v>
      </c>
      <c r="BI130">
        <v>27</v>
      </c>
      <c r="BJ130" t="s">
        <v>97</v>
      </c>
      <c r="BK130" t="s">
        <v>216</v>
      </c>
      <c r="BL130" t="s">
        <v>97</v>
      </c>
      <c r="BM130" t="s">
        <v>2476</v>
      </c>
      <c r="BN130" t="s">
        <v>74</v>
      </c>
      <c r="BO130" t="s">
        <v>74</v>
      </c>
      <c r="BP130" t="s">
        <v>74</v>
      </c>
      <c r="BQ130" t="s">
        <v>74</v>
      </c>
      <c r="BR130" t="s">
        <v>100</v>
      </c>
      <c r="BS130" t="s">
        <v>2477</v>
      </c>
      <c r="BT130" t="str">
        <f>HYPERLINK("https%3A%2F%2Fwww.webofscience.com%2Fwos%2Fwoscc%2Ffull-record%2FWOS:000384743600011","View Full Record in Web of Science")</f>
        <v>View Full Record in Web of Science</v>
      </c>
    </row>
    <row r="131" spans="1:72" x14ac:dyDescent="0.15">
      <c r="A131" t="s">
        <v>267</v>
      </c>
      <c r="B131" t="s">
        <v>2478</v>
      </c>
      <c r="C131" t="s">
        <v>74</v>
      </c>
      <c r="D131" t="s">
        <v>2479</v>
      </c>
      <c r="E131" t="s">
        <v>74</v>
      </c>
      <c r="F131" t="s">
        <v>2480</v>
      </c>
      <c r="G131" t="s">
        <v>74</v>
      </c>
      <c r="H131" t="s">
        <v>74</v>
      </c>
      <c r="I131" t="s">
        <v>2481</v>
      </c>
      <c r="J131" t="s">
        <v>2482</v>
      </c>
      <c r="K131" t="s">
        <v>2483</v>
      </c>
      <c r="L131" t="s">
        <v>74</v>
      </c>
      <c r="M131" t="s">
        <v>200</v>
      </c>
      <c r="N131" t="s">
        <v>273</v>
      </c>
      <c r="O131" t="s">
        <v>2484</v>
      </c>
      <c r="P131" t="s">
        <v>2485</v>
      </c>
      <c r="Q131" t="s">
        <v>2486</v>
      </c>
      <c r="R131" t="s">
        <v>74</v>
      </c>
      <c r="S131" t="s">
        <v>2487</v>
      </c>
      <c r="T131" t="s">
        <v>74</v>
      </c>
      <c r="U131" t="s">
        <v>74</v>
      </c>
      <c r="V131" t="s">
        <v>2488</v>
      </c>
      <c r="W131" t="s">
        <v>2489</v>
      </c>
      <c r="X131" t="s">
        <v>2490</v>
      </c>
      <c r="Y131" t="s">
        <v>2491</v>
      </c>
      <c r="Z131" t="s">
        <v>2492</v>
      </c>
      <c r="AA131" t="s">
        <v>2493</v>
      </c>
      <c r="AB131" t="s">
        <v>2494</v>
      </c>
      <c r="AC131" t="s">
        <v>2495</v>
      </c>
      <c r="AD131" t="s">
        <v>2496</v>
      </c>
      <c r="AE131" t="s">
        <v>74</v>
      </c>
      <c r="AF131" t="s">
        <v>74</v>
      </c>
      <c r="AG131">
        <v>10</v>
      </c>
      <c r="AH131">
        <v>1</v>
      </c>
      <c r="AI131">
        <v>2</v>
      </c>
      <c r="AJ131">
        <v>0</v>
      </c>
      <c r="AK131">
        <v>1</v>
      </c>
      <c r="AL131" t="s">
        <v>2497</v>
      </c>
      <c r="AM131" t="s">
        <v>2498</v>
      </c>
      <c r="AN131" t="s">
        <v>2499</v>
      </c>
      <c r="AO131" t="s">
        <v>2500</v>
      </c>
      <c r="AP131" t="s">
        <v>74</v>
      </c>
      <c r="AQ131" t="s">
        <v>74</v>
      </c>
      <c r="AR131" t="s">
        <v>2501</v>
      </c>
      <c r="AS131" t="s">
        <v>74</v>
      </c>
      <c r="AT131" t="s">
        <v>74</v>
      </c>
      <c r="AU131">
        <v>2016</v>
      </c>
      <c r="AV131">
        <v>119</v>
      </c>
      <c r="AW131" t="s">
        <v>74</v>
      </c>
      <c r="AX131" t="s">
        <v>74</v>
      </c>
      <c r="AY131" t="s">
        <v>74</v>
      </c>
      <c r="AZ131" t="s">
        <v>74</v>
      </c>
      <c r="BA131" t="s">
        <v>74</v>
      </c>
      <c r="BB131" t="s">
        <v>74</v>
      </c>
      <c r="BC131" t="s">
        <v>74</v>
      </c>
      <c r="BD131">
        <v>13004</v>
      </c>
      <c r="BE131" t="s">
        <v>2502</v>
      </c>
      <c r="BF131" t="str">
        <f>HYPERLINK("http://dx.doi.org/10.1051/epjconf/201611913004","http://dx.doi.org/10.1051/epjconf/201611913004")</f>
        <v>http://dx.doi.org/10.1051/epjconf/201611913004</v>
      </c>
      <c r="BG131" t="s">
        <v>74</v>
      </c>
      <c r="BH131" t="s">
        <v>74</v>
      </c>
      <c r="BI131">
        <v>4</v>
      </c>
      <c r="BJ131" t="s">
        <v>2503</v>
      </c>
      <c r="BK131" t="s">
        <v>293</v>
      </c>
      <c r="BL131" t="s">
        <v>2504</v>
      </c>
      <c r="BM131" t="s">
        <v>2505</v>
      </c>
      <c r="BN131" t="s">
        <v>74</v>
      </c>
      <c r="BO131" t="s">
        <v>2506</v>
      </c>
      <c r="BP131" t="s">
        <v>74</v>
      </c>
      <c r="BQ131" t="s">
        <v>74</v>
      </c>
      <c r="BR131" t="s">
        <v>100</v>
      </c>
      <c r="BS131" t="s">
        <v>2507</v>
      </c>
      <c r="BT131" t="str">
        <f>HYPERLINK("https%3A%2F%2Fwww.webofscience.com%2Fwos%2Fwoscc%2Ffull-record%2FWOS:000386726600108","View Full Record in Web of Science")</f>
        <v>View Full Record in Web of Science</v>
      </c>
    </row>
    <row r="132" spans="1:72" x14ac:dyDescent="0.15">
      <c r="A132" t="s">
        <v>267</v>
      </c>
      <c r="B132" t="s">
        <v>2508</v>
      </c>
      <c r="C132" t="s">
        <v>74</v>
      </c>
      <c r="D132" t="s">
        <v>2479</v>
      </c>
      <c r="E132" t="s">
        <v>74</v>
      </c>
      <c r="F132" t="s">
        <v>2509</v>
      </c>
      <c r="G132" t="s">
        <v>74</v>
      </c>
      <c r="H132" t="s">
        <v>74</v>
      </c>
      <c r="I132" t="s">
        <v>2510</v>
      </c>
      <c r="J132" t="s">
        <v>2482</v>
      </c>
      <c r="K132" t="s">
        <v>2483</v>
      </c>
      <c r="L132" t="s">
        <v>74</v>
      </c>
      <c r="M132" t="s">
        <v>200</v>
      </c>
      <c r="N132" t="s">
        <v>273</v>
      </c>
      <c r="O132" t="s">
        <v>2484</v>
      </c>
      <c r="P132" t="s">
        <v>2485</v>
      </c>
      <c r="Q132" t="s">
        <v>2486</v>
      </c>
      <c r="R132" t="s">
        <v>74</v>
      </c>
      <c r="S132" t="s">
        <v>2487</v>
      </c>
      <c r="T132" t="s">
        <v>74</v>
      </c>
      <c r="U132" t="s">
        <v>74</v>
      </c>
      <c r="V132" t="s">
        <v>2511</v>
      </c>
      <c r="W132" t="s">
        <v>2512</v>
      </c>
      <c r="X132" t="s">
        <v>2513</v>
      </c>
      <c r="Y132" t="s">
        <v>2514</v>
      </c>
      <c r="Z132" t="s">
        <v>2515</v>
      </c>
      <c r="AA132" t="s">
        <v>2516</v>
      </c>
      <c r="AB132" t="s">
        <v>2517</v>
      </c>
      <c r="AC132" t="s">
        <v>74</v>
      </c>
      <c r="AD132" t="s">
        <v>74</v>
      </c>
      <c r="AE132" t="s">
        <v>74</v>
      </c>
      <c r="AF132" t="s">
        <v>74</v>
      </c>
      <c r="AG132">
        <v>9</v>
      </c>
      <c r="AH132">
        <v>0</v>
      </c>
      <c r="AI132">
        <v>0</v>
      </c>
      <c r="AJ132">
        <v>0</v>
      </c>
      <c r="AK132">
        <v>11</v>
      </c>
      <c r="AL132" t="s">
        <v>2497</v>
      </c>
      <c r="AM132" t="s">
        <v>2498</v>
      </c>
      <c r="AN132" t="s">
        <v>2499</v>
      </c>
      <c r="AO132" t="s">
        <v>2500</v>
      </c>
      <c r="AP132" t="s">
        <v>74</v>
      </c>
      <c r="AQ132" t="s">
        <v>74</v>
      </c>
      <c r="AR132" t="s">
        <v>2501</v>
      </c>
      <c r="AS132" t="s">
        <v>74</v>
      </c>
      <c r="AT132" t="s">
        <v>74</v>
      </c>
      <c r="AU132">
        <v>2016</v>
      </c>
      <c r="AV132">
        <v>119</v>
      </c>
      <c r="AW132" t="s">
        <v>74</v>
      </c>
      <c r="AX132" t="s">
        <v>74</v>
      </c>
      <c r="AY132" t="s">
        <v>74</v>
      </c>
      <c r="AZ132" t="s">
        <v>74</v>
      </c>
      <c r="BA132" t="s">
        <v>74</v>
      </c>
      <c r="BB132" t="s">
        <v>74</v>
      </c>
      <c r="BC132" t="s">
        <v>74</v>
      </c>
      <c r="BD132">
        <v>16012</v>
      </c>
      <c r="BE132" t="s">
        <v>2518</v>
      </c>
      <c r="BF132" t="str">
        <f>HYPERLINK("http://dx.doi.org/10.1051/epjconf/201611916012","http://dx.doi.org/10.1051/epjconf/201611916012")</f>
        <v>http://dx.doi.org/10.1051/epjconf/201611916012</v>
      </c>
      <c r="BG132" t="s">
        <v>74</v>
      </c>
      <c r="BH132" t="s">
        <v>74</v>
      </c>
      <c r="BI132">
        <v>4</v>
      </c>
      <c r="BJ132" t="s">
        <v>2503</v>
      </c>
      <c r="BK132" t="s">
        <v>293</v>
      </c>
      <c r="BL132" t="s">
        <v>2504</v>
      </c>
      <c r="BM132" t="s">
        <v>2505</v>
      </c>
      <c r="BN132" t="s">
        <v>74</v>
      </c>
      <c r="BO132" t="s">
        <v>2519</v>
      </c>
      <c r="BP132" t="s">
        <v>74</v>
      </c>
      <c r="BQ132" t="s">
        <v>74</v>
      </c>
      <c r="BR132" t="s">
        <v>100</v>
      </c>
      <c r="BS132" t="s">
        <v>2520</v>
      </c>
      <c r="BT132" t="str">
        <f>HYPERLINK("https%3A%2F%2Fwww.webofscience.com%2Fwos%2Fwoscc%2Ffull-record%2FWOS:000386726600143","View Full Record in Web of Science")</f>
        <v>View Full Record in Web of Science</v>
      </c>
    </row>
    <row r="133" spans="1:72" x14ac:dyDescent="0.15">
      <c r="A133" t="s">
        <v>72</v>
      </c>
      <c r="B133" t="s">
        <v>2521</v>
      </c>
      <c r="C133" t="s">
        <v>74</v>
      </c>
      <c r="D133" t="s">
        <v>74</v>
      </c>
      <c r="E133" t="s">
        <v>74</v>
      </c>
      <c r="F133" t="s">
        <v>2522</v>
      </c>
      <c r="G133" t="s">
        <v>74</v>
      </c>
      <c r="H133" t="s">
        <v>74</v>
      </c>
      <c r="I133" t="s">
        <v>2523</v>
      </c>
      <c r="J133" t="s">
        <v>2524</v>
      </c>
      <c r="K133" t="s">
        <v>74</v>
      </c>
      <c r="L133" t="s">
        <v>74</v>
      </c>
      <c r="M133" t="s">
        <v>200</v>
      </c>
      <c r="N133" t="s">
        <v>79</v>
      </c>
      <c r="O133" t="s">
        <v>74</v>
      </c>
      <c r="P133" t="s">
        <v>74</v>
      </c>
      <c r="Q133" t="s">
        <v>74</v>
      </c>
      <c r="R133" t="s">
        <v>74</v>
      </c>
      <c r="S133" t="s">
        <v>74</v>
      </c>
      <c r="T133" t="s">
        <v>2525</v>
      </c>
      <c r="U133" t="s">
        <v>2526</v>
      </c>
      <c r="V133" t="s">
        <v>2527</v>
      </c>
      <c r="W133" t="s">
        <v>2528</v>
      </c>
      <c r="X133" t="s">
        <v>2529</v>
      </c>
      <c r="Y133" t="s">
        <v>2530</v>
      </c>
      <c r="Z133" t="s">
        <v>2531</v>
      </c>
      <c r="AA133" t="s">
        <v>2532</v>
      </c>
      <c r="AB133" t="s">
        <v>2533</v>
      </c>
      <c r="AC133" t="s">
        <v>2534</v>
      </c>
      <c r="AD133" t="s">
        <v>2535</v>
      </c>
      <c r="AE133" t="s">
        <v>2536</v>
      </c>
      <c r="AF133" t="s">
        <v>74</v>
      </c>
      <c r="AG133">
        <v>98</v>
      </c>
      <c r="AH133">
        <v>10</v>
      </c>
      <c r="AI133">
        <v>10</v>
      </c>
      <c r="AJ133">
        <v>0</v>
      </c>
      <c r="AK133">
        <v>0</v>
      </c>
      <c r="AL133" t="s">
        <v>502</v>
      </c>
      <c r="AM133" t="s">
        <v>503</v>
      </c>
      <c r="AN133" t="s">
        <v>504</v>
      </c>
      <c r="AO133" t="s">
        <v>2537</v>
      </c>
      <c r="AP133" t="s">
        <v>2538</v>
      </c>
      <c r="AQ133" t="s">
        <v>74</v>
      </c>
      <c r="AR133" t="s">
        <v>2524</v>
      </c>
      <c r="AS133" t="s">
        <v>2539</v>
      </c>
      <c r="AT133" t="s">
        <v>74</v>
      </c>
      <c r="AU133">
        <v>2016</v>
      </c>
      <c r="AV133">
        <v>40</v>
      </c>
      <c r="AW133">
        <v>4</v>
      </c>
      <c r="AX133" t="s">
        <v>74</v>
      </c>
      <c r="AY133" t="s">
        <v>74</v>
      </c>
      <c r="AZ133" t="s">
        <v>2540</v>
      </c>
      <c r="BA133" t="s">
        <v>74</v>
      </c>
      <c r="BB133">
        <v>456</v>
      </c>
      <c r="BC133">
        <v>474</v>
      </c>
      <c r="BD133" t="s">
        <v>74</v>
      </c>
      <c r="BE133" t="s">
        <v>2541</v>
      </c>
      <c r="BF133" t="str">
        <f>HYPERLINK("http://dx.doi.org/10.1080/03115518.2016.1210851","http://dx.doi.org/10.1080/03115518.2016.1210851")</f>
        <v>http://dx.doi.org/10.1080/03115518.2016.1210851</v>
      </c>
      <c r="BG133" t="s">
        <v>74</v>
      </c>
      <c r="BH133" t="s">
        <v>74</v>
      </c>
      <c r="BI133">
        <v>19</v>
      </c>
      <c r="BJ133" t="s">
        <v>2542</v>
      </c>
      <c r="BK133" t="s">
        <v>264</v>
      </c>
      <c r="BL133" t="s">
        <v>2542</v>
      </c>
      <c r="BM133" t="s">
        <v>2543</v>
      </c>
      <c r="BN133" t="s">
        <v>74</v>
      </c>
      <c r="BO133" t="s">
        <v>74</v>
      </c>
      <c r="BP133" t="s">
        <v>74</v>
      </c>
      <c r="BQ133" t="s">
        <v>74</v>
      </c>
      <c r="BR133" t="s">
        <v>100</v>
      </c>
      <c r="BS133" t="s">
        <v>2544</v>
      </c>
      <c r="BT133" t="str">
        <f>HYPERLINK("https%3A%2F%2Fwww.webofscience.com%2Fwos%2Fwoscc%2Ffull-record%2FWOS:000387050000006","View Full Record in Web of Science")</f>
        <v>View Full Record in Web of Science</v>
      </c>
    </row>
    <row r="134" spans="1:72" x14ac:dyDescent="0.15">
      <c r="A134" t="s">
        <v>72</v>
      </c>
      <c r="B134" t="s">
        <v>2545</v>
      </c>
      <c r="C134" t="s">
        <v>74</v>
      </c>
      <c r="D134" t="s">
        <v>74</v>
      </c>
      <c r="E134" t="s">
        <v>74</v>
      </c>
      <c r="F134" t="s">
        <v>2546</v>
      </c>
      <c r="G134" t="s">
        <v>74</v>
      </c>
      <c r="H134" t="s">
        <v>74</v>
      </c>
      <c r="I134" t="s">
        <v>2547</v>
      </c>
      <c r="J134" t="s">
        <v>2524</v>
      </c>
      <c r="K134" t="s">
        <v>74</v>
      </c>
      <c r="L134" t="s">
        <v>74</v>
      </c>
      <c r="M134" t="s">
        <v>200</v>
      </c>
      <c r="N134" t="s">
        <v>79</v>
      </c>
      <c r="O134" t="s">
        <v>74</v>
      </c>
      <c r="P134" t="s">
        <v>74</v>
      </c>
      <c r="Q134" t="s">
        <v>74</v>
      </c>
      <c r="R134" t="s">
        <v>74</v>
      </c>
      <c r="S134" t="s">
        <v>74</v>
      </c>
      <c r="T134" t="s">
        <v>2548</v>
      </c>
      <c r="U134" t="s">
        <v>2549</v>
      </c>
      <c r="V134" t="s">
        <v>2550</v>
      </c>
      <c r="W134" t="s">
        <v>2551</v>
      </c>
      <c r="X134" t="s">
        <v>2552</v>
      </c>
      <c r="Y134" t="s">
        <v>2553</v>
      </c>
      <c r="Z134" t="s">
        <v>2554</v>
      </c>
      <c r="AA134" t="s">
        <v>2555</v>
      </c>
      <c r="AB134" t="s">
        <v>2556</v>
      </c>
      <c r="AC134" t="s">
        <v>74</v>
      </c>
      <c r="AD134" t="s">
        <v>74</v>
      </c>
      <c r="AE134" t="s">
        <v>74</v>
      </c>
      <c r="AF134" t="s">
        <v>74</v>
      </c>
      <c r="AG134">
        <v>182</v>
      </c>
      <c r="AH134">
        <v>4</v>
      </c>
      <c r="AI134">
        <v>4</v>
      </c>
      <c r="AJ134">
        <v>0</v>
      </c>
      <c r="AK134">
        <v>4</v>
      </c>
      <c r="AL134" t="s">
        <v>502</v>
      </c>
      <c r="AM134" t="s">
        <v>503</v>
      </c>
      <c r="AN134" t="s">
        <v>504</v>
      </c>
      <c r="AO134" t="s">
        <v>2537</v>
      </c>
      <c r="AP134" t="s">
        <v>2538</v>
      </c>
      <c r="AQ134" t="s">
        <v>74</v>
      </c>
      <c r="AR134" t="s">
        <v>2524</v>
      </c>
      <c r="AS134" t="s">
        <v>2539</v>
      </c>
      <c r="AT134" t="s">
        <v>74</v>
      </c>
      <c r="AU134">
        <v>2016</v>
      </c>
      <c r="AV134">
        <v>40</v>
      </c>
      <c r="AW134">
        <v>4</v>
      </c>
      <c r="AX134" t="s">
        <v>74</v>
      </c>
      <c r="AY134" t="s">
        <v>74</v>
      </c>
      <c r="AZ134" t="s">
        <v>2540</v>
      </c>
      <c r="BA134" t="s">
        <v>74</v>
      </c>
      <c r="BB134">
        <v>556</v>
      </c>
      <c r="BC134">
        <v>582</v>
      </c>
      <c r="BD134" t="s">
        <v>74</v>
      </c>
      <c r="BE134" t="s">
        <v>2557</v>
      </c>
      <c r="BF134" t="str">
        <f>HYPERLINK("http://dx.doi.org/10.1080/03115518.2016.1180800","http://dx.doi.org/10.1080/03115518.2016.1180800")</f>
        <v>http://dx.doi.org/10.1080/03115518.2016.1180800</v>
      </c>
      <c r="BG134" t="s">
        <v>74</v>
      </c>
      <c r="BH134" t="s">
        <v>74</v>
      </c>
      <c r="BI134">
        <v>27</v>
      </c>
      <c r="BJ134" t="s">
        <v>2542</v>
      </c>
      <c r="BK134" t="s">
        <v>264</v>
      </c>
      <c r="BL134" t="s">
        <v>2542</v>
      </c>
      <c r="BM134" t="s">
        <v>2543</v>
      </c>
      <c r="BN134" t="s">
        <v>74</v>
      </c>
      <c r="BO134" t="s">
        <v>74</v>
      </c>
      <c r="BP134" t="s">
        <v>74</v>
      </c>
      <c r="BQ134" t="s">
        <v>74</v>
      </c>
      <c r="BR134" t="s">
        <v>100</v>
      </c>
      <c r="BS134" t="s">
        <v>2558</v>
      </c>
      <c r="BT134" t="str">
        <f>HYPERLINK("https%3A%2F%2Fwww.webofscience.com%2Fwos%2Fwoscc%2Ffull-record%2FWOS:000387050000012","View Full Record in Web of Science")</f>
        <v>View Full Record in Web of Science</v>
      </c>
    </row>
    <row r="135" spans="1:72" x14ac:dyDescent="0.15">
      <c r="A135" t="s">
        <v>72</v>
      </c>
      <c r="B135" t="s">
        <v>2559</v>
      </c>
      <c r="C135" t="s">
        <v>74</v>
      </c>
      <c r="D135" t="s">
        <v>74</v>
      </c>
      <c r="E135" t="s">
        <v>74</v>
      </c>
      <c r="F135" t="s">
        <v>2560</v>
      </c>
      <c r="G135" t="s">
        <v>74</v>
      </c>
      <c r="H135" t="s">
        <v>74</v>
      </c>
      <c r="I135" t="s">
        <v>2561</v>
      </c>
      <c r="J135" t="s">
        <v>2562</v>
      </c>
      <c r="K135" t="s">
        <v>74</v>
      </c>
      <c r="L135" t="s">
        <v>74</v>
      </c>
      <c r="M135" t="s">
        <v>200</v>
      </c>
      <c r="N135" t="s">
        <v>79</v>
      </c>
      <c r="O135" t="s">
        <v>74</v>
      </c>
      <c r="P135" t="s">
        <v>74</v>
      </c>
      <c r="Q135" t="s">
        <v>74</v>
      </c>
      <c r="R135" t="s">
        <v>74</v>
      </c>
      <c r="S135" t="s">
        <v>74</v>
      </c>
      <c r="T135" t="s">
        <v>74</v>
      </c>
      <c r="U135" t="s">
        <v>2563</v>
      </c>
      <c r="V135" t="s">
        <v>2564</v>
      </c>
      <c r="W135" t="s">
        <v>2565</v>
      </c>
      <c r="X135" t="s">
        <v>2566</v>
      </c>
      <c r="Y135" t="s">
        <v>2567</v>
      </c>
      <c r="Z135" t="s">
        <v>2568</v>
      </c>
      <c r="AA135" t="s">
        <v>2569</v>
      </c>
      <c r="AB135" t="s">
        <v>2570</v>
      </c>
      <c r="AC135" t="s">
        <v>2571</v>
      </c>
      <c r="AD135" t="s">
        <v>2572</v>
      </c>
      <c r="AE135" t="s">
        <v>2573</v>
      </c>
      <c r="AF135" t="s">
        <v>74</v>
      </c>
      <c r="AG135">
        <v>36</v>
      </c>
      <c r="AH135">
        <v>2</v>
      </c>
      <c r="AI135">
        <v>2</v>
      </c>
      <c r="AJ135">
        <v>0</v>
      </c>
      <c r="AK135">
        <v>11</v>
      </c>
      <c r="AL135" t="s">
        <v>2574</v>
      </c>
      <c r="AM135" t="s">
        <v>2240</v>
      </c>
      <c r="AN135" t="s">
        <v>2575</v>
      </c>
      <c r="AO135" t="s">
        <v>2576</v>
      </c>
      <c r="AP135" t="s">
        <v>2577</v>
      </c>
      <c r="AQ135" t="s">
        <v>74</v>
      </c>
      <c r="AR135" t="s">
        <v>2578</v>
      </c>
      <c r="AS135" t="s">
        <v>2579</v>
      </c>
      <c r="AT135" t="s">
        <v>74</v>
      </c>
      <c r="AU135">
        <v>2016</v>
      </c>
      <c r="AV135">
        <v>8</v>
      </c>
      <c r="AW135">
        <v>42</v>
      </c>
      <c r="AX135" t="s">
        <v>74</v>
      </c>
      <c r="AY135" t="s">
        <v>74</v>
      </c>
      <c r="AZ135" t="s">
        <v>74</v>
      </c>
      <c r="BA135" t="s">
        <v>74</v>
      </c>
      <c r="BB135">
        <v>7650</v>
      </c>
      <c r="BC135">
        <v>7660</v>
      </c>
      <c r="BD135" t="s">
        <v>74</v>
      </c>
      <c r="BE135" t="s">
        <v>2580</v>
      </c>
      <c r="BF135" t="str">
        <f>HYPERLINK("http://dx.doi.org/10.1039/c6ay02426b","http://dx.doi.org/10.1039/c6ay02426b")</f>
        <v>http://dx.doi.org/10.1039/c6ay02426b</v>
      </c>
      <c r="BG135" t="s">
        <v>74</v>
      </c>
      <c r="BH135" t="s">
        <v>74</v>
      </c>
      <c r="BI135">
        <v>11</v>
      </c>
      <c r="BJ135" t="s">
        <v>2581</v>
      </c>
      <c r="BK135" t="s">
        <v>264</v>
      </c>
      <c r="BL135" t="s">
        <v>2582</v>
      </c>
      <c r="BM135" t="s">
        <v>2583</v>
      </c>
      <c r="BN135" t="s">
        <v>74</v>
      </c>
      <c r="BO135" t="s">
        <v>74</v>
      </c>
      <c r="BP135" t="s">
        <v>74</v>
      </c>
      <c r="BQ135" t="s">
        <v>74</v>
      </c>
      <c r="BR135" t="s">
        <v>100</v>
      </c>
      <c r="BS135" t="s">
        <v>2584</v>
      </c>
      <c r="BT135" t="str">
        <f>HYPERLINK("https%3A%2F%2Fwww.webofscience.com%2Fwos%2Fwoscc%2Ffull-record%2FWOS:000387603000009","View Full Record in Web of Science")</f>
        <v>View Full Record in Web of Science</v>
      </c>
    </row>
    <row r="136" spans="1:72" x14ac:dyDescent="0.15">
      <c r="A136" t="s">
        <v>72</v>
      </c>
      <c r="B136" t="s">
        <v>2585</v>
      </c>
      <c r="C136" t="s">
        <v>74</v>
      </c>
      <c r="D136" t="s">
        <v>74</v>
      </c>
      <c r="E136" t="s">
        <v>74</v>
      </c>
      <c r="F136" t="s">
        <v>2586</v>
      </c>
      <c r="G136" t="s">
        <v>74</v>
      </c>
      <c r="H136" t="s">
        <v>74</v>
      </c>
      <c r="I136" t="s">
        <v>2587</v>
      </c>
      <c r="J136" t="s">
        <v>2588</v>
      </c>
      <c r="K136" t="s">
        <v>74</v>
      </c>
      <c r="L136" t="s">
        <v>74</v>
      </c>
      <c r="M136" t="s">
        <v>200</v>
      </c>
      <c r="N136" t="s">
        <v>79</v>
      </c>
      <c r="O136" t="s">
        <v>74</v>
      </c>
      <c r="P136" t="s">
        <v>74</v>
      </c>
      <c r="Q136" t="s">
        <v>74</v>
      </c>
      <c r="R136" t="s">
        <v>74</v>
      </c>
      <c r="S136" t="s">
        <v>74</v>
      </c>
      <c r="T136" t="s">
        <v>2589</v>
      </c>
      <c r="U136" t="s">
        <v>74</v>
      </c>
      <c r="V136" t="s">
        <v>2590</v>
      </c>
      <c r="W136" t="s">
        <v>2591</v>
      </c>
      <c r="X136" t="s">
        <v>2592</v>
      </c>
      <c r="Y136" t="s">
        <v>2593</v>
      </c>
      <c r="Z136" t="s">
        <v>2594</v>
      </c>
      <c r="AA136" t="s">
        <v>230</v>
      </c>
      <c r="AB136" t="s">
        <v>2595</v>
      </c>
      <c r="AC136" t="s">
        <v>74</v>
      </c>
      <c r="AD136" t="s">
        <v>74</v>
      </c>
      <c r="AE136" t="s">
        <v>74</v>
      </c>
      <c r="AF136" t="s">
        <v>74</v>
      </c>
      <c r="AG136">
        <v>42</v>
      </c>
      <c r="AH136">
        <v>2</v>
      </c>
      <c r="AI136">
        <v>4</v>
      </c>
      <c r="AJ136">
        <v>1</v>
      </c>
      <c r="AK136">
        <v>7</v>
      </c>
      <c r="AL136" t="s">
        <v>2263</v>
      </c>
      <c r="AM136" t="s">
        <v>2264</v>
      </c>
      <c r="AN136" t="s">
        <v>2265</v>
      </c>
      <c r="AO136" t="s">
        <v>2596</v>
      </c>
      <c r="AP136" t="s">
        <v>2597</v>
      </c>
      <c r="AQ136" t="s">
        <v>74</v>
      </c>
      <c r="AR136" t="s">
        <v>2598</v>
      </c>
      <c r="AS136" t="s">
        <v>2599</v>
      </c>
      <c r="AT136" t="s">
        <v>74</v>
      </c>
      <c r="AU136">
        <v>2016</v>
      </c>
      <c r="AV136">
        <v>47</v>
      </c>
      <c r="AW136">
        <v>4</v>
      </c>
      <c r="AX136" t="s">
        <v>74</v>
      </c>
      <c r="AY136" t="s">
        <v>74</v>
      </c>
      <c r="AZ136" t="s">
        <v>74</v>
      </c>
      <c r="BA136" t="s">
        <v>74</v>
      </c>
      <c r="BB136">
        <v>348</v>
      </c>
      <c r="BC136">
        <v>367</v>
      </c>
      <c r="BD136" t="s">
        <v>74</v>
      </c>
      <c r="BE136" t="s">
        <v>2600</v>
      </c>
      <c r="BF136" t="str">
        <f>HYPERLINK("http://dx.doi.org/10.1080/00908320.2016.1229940","http://dx.doi.org/10.1080/00908320.2016.1229940")</f>
        <v>http://dx.doi.org/10.1080/00908320.2016.1229940</v>
      </c>
      <c r="BG136" t="s">
        <v>74</v>
      </c>
      <c r="BH136" t="s">
        <v>74</v>
      </c>
      <c r="BI136">
        <v>20</v>
      </c>
      <c r="BJ136" t="s">
        <v>2601</v>
      </c>
      <c r="BK136" t="s">
        <v>1208</v>
      </c>
      <c r="BL136" t="s">
        <v>2602</v>
      </c>
      <c r="BM136" t="s">
        <v>2603</v>
      </c>
      <c r="BN136" t="s">
        <v>74</v>
      </c>
      <c r="BO136" t="s">
        <v>486</v>
      </c>
      <c r="BP136" t="s">
        <v>74</v>
      </c>
      <c r="BQ136" t="s">
        <v>74</v>
      </c>
      <c r="BR136" t="s">
        <v>100</v>
      </c>
      <c r="BS136" t="s">
        <v>2604</v>
      </c>
      <c r="BT136" t="str">
        <f>HYPERLINK("https%3A%2F%2Fwww.webofscience.com%2Fwos%2Fwoscc%2Ffull-record%2FWOS:000386626600004","View Full Record in Web of Science")</f>
        <v>View Full Record in Web of Science</v>
      </c>
    </row>
    <row r="137" spans="1:72" x14ac:dyDescent="0.15">
      <c r="A137" t="s">
        <v>72</v>
      </c>
      <c r="B137" t="s">
        <v>2605</v>
      </c>
      <c r="C137" t="s">
        <v>74</v>
      </c>
      <c r="D137" t="s">
        <v>74</v>
      </c>
      <c r="E137" t="s">
        <v>74</v>
      </c>
      <c r="F137" t="s">
        <v>2606</v>
      </c>
      <c r="G137" t="s">
        <v>74</v>
      </c>
      <c r="H137" t="s">
        <v>74</v>
      </c>
      <c r="I137" t="s">
        <v>2607</v>
      </c>
      <c r="J137" t="s">
        <v>2588</v>
      </c>
      <c r="K137" t="s">
        <v>74</v>
      </c>
      <c r="L137" t="s">
        <v>74</v>
      </c>
      <c r="M137" t="s">
        <v>200</v>
      </c>
      <c r="N137" t="s">
        <v>79</v>
      </c>
      <c r="O137" t="s">
        <v>74</v>
      </c>
      <c r="P137" t="s">
        <v>74</v>
      </c>
      <c r="Q137" t="s">
        <v>74</v>
      </c>
      <c r="R137" t="s">
        <v>74</v>
      </c>
      <c r="S137" t="s">
        <v>74</v>
      </c>
      <c r="T137" t="s">
        <v>2608</v>
      </c>
      <c r="U137" t="s">
        <v>2609</v>
      </c>
      <c r="V137" t="s">
        <v>2610</v>
      </c>
      <c r="W137" t="s">
        <v>2611</v>
      </c>
      <c r="X137" t="s">
        <v>2612</v>
      </c>
      <c r="Y137" t="s">
        <v>2613</v>
      </c>
      <c r="Z137" t="s">
        <v>2594</v>
      </c>
      <c r="AA137" t="s">
        <v>230</v>
      </c>
      <c r="AB137" t="s">
        <v>2595</v>
      </c>
      <c r="AC137" t="s">
        <v>74</v>
      </c>
      <c r="AD137" t="s">
        <v>74</v>
      </c>
      <c r="AE137" t="s">
        <v>74</v>
      </c>
      <c r="AF137" t="s">
        <v>74</v>
      </c>
      <c r="AG137">
        <v>18</v>
      </c>
      <c r="AH137">
        <v>3</v>
      </c>
      <c r="AI137">
        <v>3</v>
      </c>
      <c r="AJ137">
        <v>0</v>
      </c>
      <c r="AK137">
        <v>11</v>
      </c>
      <c r="AL137" t="s">
        <v>2263</v>
      </c>
      <c r="AM137" t="s">
        <v>2264</v>
      </c>
      <c r="AN137" t="s">
        <v>2265</v>
      </c>
      <c r="AO137" t="s">
        <v>2596</v>
      </c>
      <c r="AP137" t="s">
        <v>2597</v>
      </c>
      <c r="AQ137" t="s">
        <v>74</v>
      </c>
      <c r="AR137" t="s">
        <v>2598</v>
      </c>
      <c r="AS137" t="s">
        <v>2599</v>
      </c>
      <c r="AT137" t="s">
        <v>74</v>
      </c>
      <c r="AU137">
        <v>2016</v>
      </c>
      <c r="AV137">
        <v>47</v>
      </c>
      <c r="AW137">
        <v>4</v>
      </c>
      <c r="AX137" t="s">
        <v>74</v>
      </c>
      <c r="AY137" t="s">
        <v>74</v>
      </c>
      <c r="AZ137" t="s">
        <v>74</v>
      </c>
      <c r="BA137" t="s">
        <v>74</v>
      </c>
      <c r="BB137">
        <v>368</v>
      </c>
      <c r="BC137">
        <v>377</v>
      </c>
      <c r="BD137" t="s">
        <v>74</v>
      </c>
      <c r="BE137" t="s">
        <v>2614</v>
      </c>
      <c r="BF137" t="str">
        <f>HYPERLINK("http://dx.doi.org/10.1080/00908320.2016.1229944","http://dx.doi.org/10.1080/00908320.2016.1229944")</f>
        <v>http://dx.doi.org/10.1080/00908320.2016.1229944</v>
      </c>
      <c r="BG137" t="s">
        <v>74</v>
      </c>
      <c r="BH137" t="s">
        <v>74</v>
      </c>
      <c r="BI137">
        <v>10</v>
      </c>
      <c r="BJ137" t="s">
        <v>2601</v>
      </c>
      <c r="BK137" t="s">
        <v>1208</v>
      </c>
      <c r="BL137" t="s">
        <v>2602</v>
      </c>
      <c r="BM137" t="s">
        <v>2603</v>
      </c>
      <c r="BN137" t="s">
        <v>74</v>
      </c>
      <c r="BO137" t="s">
        <v>74</v>
      </c>
      <c r="BP137" t="s">
        <v>74</v>
      </c>
      <c r="BQ137" t="s">
        <v>74</v>
      </c>
      <c r="BR137" t="s">
        <v>100</v>
      </c>
      <c r="BS137" t="s">
        <v>2615</v>
      </c>
      <c r="BT137" t="str">
        <f>HYPERLINK("https%3A%2F%2Fwww.webofscience.com%2Fwos%2Fwoscc%2Ffull-record%2FWOS:000386626600005","View Full Record in Web of Science")</f>
        <v>View Full Record in Web of Science</v>
      </c>
    </row>
    <row r="138" spans="1:72" x14ac:dyDescent="0.15">
      <c r="A138" t="s">
        <v>72</v>
      </c>
      <c r="B138" t="s">
        <v>2616</v>
      </c>
      <c r="C138" t="s">
        <v>74</v>
      </c>
      <c r="D138" t="s">
        <v>74</v>
      </c>
      <c r="E138" t="s">
        <v>74</v>
      </c>
      <c r="F138" t="s">
        <v>2617</v>
      </c>
      <c r="G138" t="s">
        <v>74</v>
      </c>
      <c r="H138" t="s">
        <v>74</v>
      </c>
      <c r="I138" t="s">
        <v>2618</v>
      </c>
      <c r="J138" t="s">
        <v>2619</v>
      </c>
      <c r="K138" t="s">
        <v>74</v>
      </c>
      <c r="L138" t="s">
        <v>74</v>
      </c>
      <c r="M138" t="s">
        <v>200</v>
      </c>
      <c r="N138" t="s">
        <v>79</v>
      </c>
      <c r="O138" t="s">
        <v>74</v>
      </c>
      <c r="P138" t="s">
        <v>74</v>
      </c>
      <c r="Q138" t="s">
        <v>74</v>
      </c>
      <c r="R138" t="s">
        <v>74</v>
      </c>
      <c r="S138" t="s">
        <v>74</v>
      </c>
      <c r="T138" t="s">
        <v>2620</v>
      </c>
      <c r="U138" t="s">
        <v>2621</v>
      </c>
      <c r="V138" t="s">
        <v>2622</v>
      </c>
      <c r="W138" t="s">
        <v>2623</v>
      </c>
      <c r="X138" t="s">
        <v>2624</v>
      </c>
      <c r="Y138" t="s">
        <v>2625</v>
      </c>
      <c r="Z138" t="s">
        <v>2626</v>
      </c>
      <c r="AA138" t="s">
        <v>2627</v>
      </c>
      <c r="AB138" t="s">
        <v>2628</v>
      </c>
      <c r="AC138" t="s">
        <v>2629</v>
      </c>
      <c r="AD138" t="s">
        <v>2630</v>
      </c>
      <c r="AE138" t="s">
        <v>2631</v>
      </c>
      <c r="AF138" t="s">
        <v>74</v>
      </c>
      <c r="AG138">
        <v>35</v>
      </c>
      <c r="AH138">
        <v>13</v>
      </c>
      <c r="AI138">
        <v>15</v>
      </c>
      <c r="AJ138">
        <v>0</v>
      </c>
      <c r="AK138">
        <v>7</v>
      </c>
      <c r="AL138" t="s">
        <v>502</v>
      </c>
      <c r="AM138" t="s">
        <v>503</v>
      </c>
      <c r="AN138" t="s">
        <v>504</v>
      </c>
      <c r="AO138" t="s">
        <v>2632</v>
      </c>
      <c r="AP138" t="s">
        <v>2633</v>
      </c>
      <c r="AQ138" t="s">
        <v>74</v>
      </c>
      <c r="AR138" t="s">
        <v>2634</v>
      </c>
      <c r="AS138" t="s">
        <v>2635</v>
      </c>
      <c r="AT138" t="s">
        <v>74</v>
      </c>
      <c r="AU138">
        <v>2016</v>
      </c>
      <c r="AV138">
        <v>35</v>
      </c>
      <c r="AW138" t="s">
        <v>74</v>
      </c>
      <c r="AX138" t="s">
        <v>74</v>
      </c>
      <c r="AY138" t="s">
        <v>74</v>
      </c>
      <c r="AZ138" t="s">
        <v>74</v>
      </c>
      <c r="BA138" t="s">
        <v>74</v>
      </c>
      <c r="BB138" t="s">
        <v>74</v>
      </c>
      <c r="BC138" t="s">
        <v>74</v>
      </c>
      <c r="BD138">
        <v>30532</v>
      </c>
      <c r="BE138" t="s">
        <v>2636</v>
      </c>
      <c r="BF138" t="str">
        <f>HYPERLINK("http://dx.doi.org/10.3402/polar.v35.30532","http://dx.doi.org/10.3402/polar.v35.30532")</f>
        <v>http://dx.doi.org/10.3402/polar.v35.30532</v>
      </c>
      <c r="BG138" t="s">
        <v>74</v>
      </c>
      <c r="BH138" t="s">
        <v>74</v>
      </c>
      <c r="BI138">
        <v>6</v>
      </c>
      <c r="BJ138" t="s">
        <v>2637</v>
      </c>
      <c r="BK138" t="s">
        <v>264</v>
      </c>
      <c r="BL138" t="s">
        <v>2638</v>
      </c>
      <c r="BM138" t="s">
        <v>2639</v>
      </c>
      <c r="BN138" t="s">
        <v>74</v>
      </c>
      <c r="BO138" t="s">
        <v>99</v>
      </c>
      <c r="BP138" t="s">
        <v>74</v>
      </c>
      <c r="BQ138" t="s">
        <v>74</v>
      </c>
      <c r="BR138" t="s">
        <v>100</v>
      </c>
      <c r="BS138" t="s">
        <v>2640</v>
      </c>
      <c r="BT138" t="str">
        <f>HYPERLINK("https%3A%2F%2Fwww.webofscience.com%2Fwos%2Fwoscc%2Ffull-record%2FWOS:000387183100001","View Full Record in Web of Science")</f>
        <v>View Full Record in Web of Science</v>
      </c>
    </row>
    <row r="139" spans="1:72" x14ac:dyDescent="0.15">
      <c r="A139" t="s">
        <v>72</v>
      </c>
      <c r="B139" t="s">
        <v>2641</v>
      </c>
      <c r="C139" t="s">
        <v>74</v>
      </c>
      <c r="D139" t="s">
        <v>74</v>
      </c>
      <c r="E139" t="s">
        <v>74</v>
      </c>
      <c r="F139" t="s">
        <v>2642</v>
      </c>
      <c r="G139" t="s">
        <v>74</v>
      </c>
      <c r="H139" t="s">
        <v>74</v>
      </c>
      <c r="I139" t="s">
        <v>2643</v>
      </c>
      <c r="J139" t="s">
        <v>2619</v>
      </c>
      <c r="K139" t="s">
        <v>74</v>
      </c>
      <c r="L139" t="s">
        <v>74</v>
      </c>
      <c r="M139" t="s">
        <v>200</v>
      </c>
      <c r="N139" t="s">
        <v>79</v>
      </c>
      <c r="O139" t="s">
        <v>74</v>
      </c>
      <c r="P139" t="s">
        <v>74</v>
      </c>
      <c r="Q139" t="s">
        <v>74</v>
      </c>
      <c r="R139" t="s">
        <v>74</v>
      </c>
      <c r="S139" t="s">
        <v>74</v>
      </c>
      <c r="T139" t="s">
        <v>2644</v>
      </c>
      <c r="U139" t="s">
        <v>2645</v>
      </c>
      <c r="V139" t="s">
        <v>2646</v>
      </c>
      <c r="W139" t="s">
        <v>2647</v>
      </c>
      <c r="X139" t="s">
        <v>2648</v>
      </c>
      <c r="Y139" t="s">
        <v>2649</v>
      </c>
      <c r="Z139" t="s">
        <v>2650</v>
      </c>
      <c r="AA139" t="s">
        <v>2651</v>
      </c>
      <c r="AB139" t="s">
        <v>2652</v>
      </c>
      <c r="AC139" t="s">
        <v>2653</v>
      </c>
      <c r="AD139" t="s">
        <v>2653</v>
      </c>
      <c r="AE139" t="s">
        <v>2654</v>
      </c>
      <c r="AF139" t="s">
        <v>74</v>
      </c>
      <c r="AG139">
        <v>59</v>
      </c>
      <c r="AH139">
        <v>6</v>
      </c>
      <c r="AI139">
        <v>8</v>
      </c>
      <c r="AJ139">
        <v>2</v>
      </c>
      <c r="AK139">
        <v>18</v>
      </c>
      <c r="AL139" t="s">
        <v>2655</v>
      </c>
      <c r="AM139" t="s">
        <v>2656</v>
      </c>
      <c r="AN139" t="s">
        <v>2657</v>
      </c>
      <c r="AO139" t="s">
        <v>2632</v>
      </c>
      <c r="AP139" t="s">
        <v>2633</v>
      </c>
      <c r="AQ139" t="s">
        <v>74</v>
      </c>
      <c r="AR139" t="s">
        <v>2634</v>
      </c>
      <c r="AS139" t="s">
        <v>2635</v>
      </c>
      <c r="AT139" t="s">
        <v>74</v>
      </c>
      <c r="AU139">
        <v>2016</v>
      </c>
      <c r="AV139">
        <v>35</v>
      </c>
      <c r="AW139" t="s">
        <v>74</v>
      </c>
      <c r="AX139" t="s">
        <v>74</v>
      </c>
      <c r="AY139" t="s">
        <v>74</v>
      </c>
      <c r="AZ139" t="s">
        <v>74</v>
      </c>
      <c r="BA139" t="s">
        <v>74</v>
      </c>
      <c r="BB139" t="s">
        <v>74</v>
      </c>
      <c r="BC139" t="s">
        <v>74</v>
      </c>
      <c r="BD139">
        <v>31335</v>
      </c>
      <c r="BE139" t="s">
        <v>2658</v>
      </c>
      <c r="BF139" t="str">
        <f>HYPERLINK("http://dx.doi.org/10.3402/polar.v35.31335","http://dx.doi.org/10.3402/polar.v35.31335")</f>
        <v>http://dx.doi.org/10.3402/polar.v35.31335</v>
      </c>
      <c r="BG139" t="s">
        <v>74</v>
      </c>
      <c r="BH139" t="s">
        <v>74</v>
      </c>
      <c r="BI139">
        <v>11</v>
      </c>
      <c r="BJ139" t="s">
        <v>2637</v>
      </c>
      <c r="BK139" t="s">
        <v>264</v>
      </c>
      <c r="BL139" t="s">
        <v>2638</v>
      </c>
      <c r="BM139" t="s">
        <v>2659</v>
      </c>
      <c r="BN139" t="s">
        <v>74</v>
      </c>
      <c r="BO139" t="s">
        <v>99</v>
      </c>
      <c r="BP139" t="s">
        <v>74</v>
      </c>
      <c r="BQ139" t="s">
        <v>74</v>
      </c>
      <c r="BR139" t="s">
        <v>100</v>
      </c>
      <c r="BS139" t="s">
        <v>2660</v>
      </c>
      <c r="BT139" t="str">
        <f>HYPERLINK("https%3A%2F%2Fwww.webofscience.com%2Fwos%2Fwoscc%2Ffull-record%2FWOS:000387183400001","View Full Record in Web of Science")</f>
        <v>View Full Record in Web of Science</v>
      </c>
    </row>
    <row r="140" spans="1:72" x14ac:dyDescent="0.15">
      <c r="A140" t="s">
        <v>267</v>
      </c>
      <c r="B140" t="s">
        <v>2661</v>
      </c>
      <c r="C140" t="s">
        <v>74</v>
      </c>
      <c r="D140" t="s">
        <v>2662</v>
      </c>
      <c r="E140" t="s">
        <v>74</v>
      </c>
      <c r="F140" t="s">
        <v>2663</v>
      </c>
      <c r="G140" t="s">
        <v>74</v>
      </c>
      <c r="H140" t="s">
        <v>2664</v>
      </c>
      <c r="I140" t="s">
        <v>2665</v>
      </c>
      <c r="J140" t="s">
        <v>2666</v>
      </c>
      <c r="K140" t="s">
        <v>2483</v>
      </c>
      <c r="L140" t="s">
        <v>74</v>
      </c>
      <c r="M140" t="s">
        <v>200</v>
      </c>
      <c r="N140" t="s">
        <v>273</v>
      </c>
      <c r="O140" t="s">
        <v>2667</v>
      </c>
      <c r="P140" t="s">
        <v>2668</v>
      </c>
      <c r="Q140" t="s">
        <v>2669</v>
      </c>
      <c r="R140" t="s">
        <v>74</v>
      </c>
      <c r="S140" t="s">
        <v>2670</v>
      </c>
      <c r="T140" t="s">
        <v>74</v>
      </c>
      <c r="U140" t="s">
        <v>74</v>
      </c>
      <c r="V140" t="s">
        <v>2671</v>
      </c>
      <c r="W140" t="s">
        <v>2672</v>
      </c>
      <c r="X140" t="s">
        <v>2673</v>
      </c>
      <c r="Y140" t="s">
        <v>2674</v>
      </c>
      <c r="Z140" t="s">
        <v>2675</v>
      </c>
      <c r="AA140" t="s">
        <v>2676</v>
      </c>
      <c r="AB140" t="s">
        <v>2677</v>
      </c>
      <c r="AC140" t="s">
        <v>74</v>
      </c>
      <c r="AD140" t="s">
        <v>74</v>
      </c>
      <c r="AE140" t="s">
        <v>74</v>
      </c>
      <c r="AF140" t="s">
        <v>74</v>
      </c>
      <c r="AG140">
        <v>9</v>
      </c>
      <c r="AH140">
        <v>3</v>
      </c>
      <c r="AI140">
        <v>4</v>
      </c>
      <c r="AJ140">
        <v>0</v>
      </c>
      <c r="AK140">
        <v>1</v>
      </c>
      <c r="AL140" t="s">
        <v>2497</v>
      </c>
      <c r="AM140" t="s">
        <v>2498</v>
      </c>
      <c r="AN140" t="s">
        <v>2499</v>
      </c>
      <c r="AO140" t="s">
        <v>2500</v>
      </c>
      <c r="AP140" t="s">
        <v>74</v>
      </c>
      <c r="AQ140" t="s">
        <v>2678</v>
      </c>
      <c r="AR140" t="s">
        <v>2501</v>
      </c>
      <c r="AS140" t="s">
        <v>74</v>
      </c>
      <c r="AT140" t="s">
        <v>74</v>
      </c>
      <c r="AU140">
        <v>2016</v>
      </c>
      <c r="AV140">
        <v>116</v>
      </c>
      <c r="AW140" t="s">
        <v>74</v>
      </c>
      <c r="AX140" t="s">
        <v>74</v>
      </c>
      <c r="AY140" t="s">
        <v>74</v>
      </c>
      <c r="AZ140" t="s">
        <v>74</v>
      </c>
      <c r="BA140" t="s">
        <v>74</v>
      </c>
      <c r="BB140" t="s">
        <v>74</v>
      </c>
      <c r="BC140" t="s">
        <v>74</v>
      </c>
      <c r="BD140">
        <v>6001</v>
      </c>
      <c r="BE140" t="s">
        <v>2679</v>
      </c>
      <c r="BF140" t="str">
        <f>HYPERLINK("http://dx.doi.org/10.1051/epjconf/201611606001","http://dx.doi.org/10.1051/epjconf/201611606001")</f>
        <v>http://dx.doi.org/10.1051/epjconf/201611606001</v>
      </c>
      <c r="BG140" t="s">
        <v>74</v>
      </c>
      <c r="BH140" t="s">
        <v>74</v>
      </c>
      <c r="BI140">
        <v>5</v>
      </c>
      <c r="BJ140" t="s">
        <v>2680</v>
      </c>
      <c r="BK140" t="s">
        <v>293</v>
      </c>
      <c r="BL140" t="s">
        <v>2681</v>
      </c>
      <c r="BM140" t="s">
        <v>2682</v>
      </c>
      <c r="BN140" t="s">
        <v>74</v>
      </c>
      <c r="BO140" t="s">
        <v>99</v>
      </c>
      <c r="BP140" t="s">
        <v>74</v>
      </c>
      <c r="BQ140" t="s">
        <v>74</v>
      </c>
      <c r="BR140" t="s">
        <v>100</v>
      </c>
      <c r="BS140" t="s">
        <v>2683</v>
      </c>
      <c r="BT140" t="str">
        <f>HYPERLINK("https%3A%2F%2Fwww.webofscience.com%2Fwos%2Fwoscc%2Ffull-record%2FWOS:000386965400036","View Full Record in Web of Science")</f>
        <v>View Full Record in Web of Science</v>
      </c>
    </row>
    <row r="141" spans="1:72" x14ac:dyDescent="0.15">
      <c r="A141" t="s">
        <v>267</v>
      </c>
      <c r="B141" t="s">
        <v>2684</v>
      </c>
      <c r="C141" t="s">
        <v>74</v>
      </c>
      <c r="D141" t="s">
        <v>2685</v>
      </c>
      <c r="E141" t="s">
        <v>74</v>
      </c>
      <c r="F141" t="s">
        <v>2686</v>
      </c>
      <c r="G141" t="s">
        <v>74</v>
      </c>
      <c r="H141" t="s">
        <v>74</v>
      </c>
      <c r="I141" t="s">
        <v>2687</v>
      </c>
      <c r="J141" t="s">
        <v>2688</v>
      </c>
      <c r="K141" t="s">
        <v>2689</v>
      </c>
      <c r="L141" t="s">
        <v>74</v>
      </c>
      <c r="M141" t="s">
        <v>200</v>
      </c>
      <c r="N141" t="s">
        <v>273</v>
      </c>
      <c r="O141" t="s">
        <v>2690</v>
      </c>
      <c r="P141" t="s">
        <v>2691</v>
      </c>
      <c r="Q141" t="s">
        <v>2692</v>
      </c>
      <c r="R141" t="s">
        <v>74</v>
      </c>
      <c r="S141" t="s">
        <v>74</v>
      </c>
      <c r="T141" t="s">
        <v>2693</v>
      </c>
      <c r="U141" t="s">
        <v>74</v>
      </c>
      <c r="V141" t="s">
        <v>2694</v>
      </c>
      <c r="W141" t="s">
        <v>2695</v>
      </c>
      <c r="X141" t="s">
        <v>74</v>
      </c>
      <c r="Y141" t="s">
        <v>2696</v>
      </c>
      <c r="Z141" t="s">
        <v>2697</v>
      </c>
      <c r="AA141" t="s">
        <v>74</v>
      </c>
      <c r="AB141" t="s">
        <v>74</v>
      </c>
      <c r="AC141" t="s">
        <v>74</v>
      </c>
      <c r="AD141" t="s">
        <v>74</v>
      </c>
      <c r="AE141" t="s">
        <v>74</v>
      </c>
      <c r="AF141" t="s">
        <v>74</v>
      </c>
      <c r="AG141">
        <v>9</v>
      </c>
      <c r="AH141">
        <v>6</v>
      </c>
      <c r="AI141">
        <v>8</v>
      </c>
      <c r="AJ141">
        <v>0</v>
      </c>
      <c r="AK141">
        <v>10</v>
      </c>
      <c r="AL141" t="s">
        <v>208</v>
      </c>
      <c r="AM141" t="s">
        <v>209</v>
      </c>
      <c r="AN141" t="s">
        <v>210</v>
      </c>
      <c r="AO141" t="s">
        <v>2698</v>
      </c>
      <c r="AP141" t="s">
        <v>74</v>
      </c>
      <c r="AQ141" t="s">
        <v>74</v>
      </c>
      <c r="AR141" t="s">
        <v>2699</v>
      </c>
      <c r="AS141" t="s">
        <v>74</v>
      </c>
      <c r="AT141" t="s">
        <v>74</v>
      </c>
      <c r="AU141">
        <v>2016</v>
      </c>
      <c r="AV141">
        <v>35</v>
      </c>
      <c r="AW141" t="s">
        <v>74</v>
      </c>
      <c r="AX141" t="s">
        <v>74</v>
      </c>
      <c r="AY141" t="s">
        <v>74</v>
      </c>
      <c r="AZ141" t="s">
        <v>74</v>
      </c>
      <c r="BA141" t="s">
        <v>74</v>
      </c>
      <c r="BB141">
        <v>40</v>
      </c>
      <c r="BC141">
        <v>50</v>
      </c>
      <c r="BD141" t="s">
        <v>74</v>
      </c>
      <c r="BE141" t="s">
        <v>2700</v>
      </c>
      <c r="BF141" t="str">
        <f>HYPERLINK("http://dx.doi.org/10.1016/j.proenv.2016.07.004","http://dx.doi.org/10.1016/j.proenv.2016.07.004")</f>
        <v>http://dx.doi.org/10.1016/j.proenv.2016.07.004</v>
      </c>
      <c r="BG141" t="s">
        <v>74</v>
      </c>
      <c r="BH141" t="s">
        <v>74</v>
      </c>
      <c r="BI141">
        <v>11</v>
      </c>
      <c r="BJ141" t="s">
        <v>2701</v>
      </c>
      <c r="BK141" t="s">
        <v>293</v>
      </c>
      <c r="BL141" t="s">
        <v>572</v>
      </c>
      <c r="BM141" t="s">
        <v>2702</v>
      </c>
      <c r="BN141" t="s">
        <v>74</v>
      </c>
      <c r="BO141" t="s">
        <v>99</v>
      </c>
      <c r="BP141" t="s">
        <v>74</v>
      </c>
      <c r="BQ141" t="s">
        <v>74</v>
      </c>
      <c r="BR141" t="s">
        <v>100</v>
      </c>
      <c r="BS141" t="s">
        <v>2703</v>
      </c>
      <c r="BT141" t="str">
        <f>HYPERLINK("https%3A%2F%2Fwww.webofscience.com%2Fwos%2Fwoscc%2Ffull-record%2FWOS:000387295000004","View Full Record in Web of Science")</f>
        <v>View Full Record in Web of Science</v>
      </c>
    </row>
    <row r="142" spans="1:72" x14ac:dyDescent="0.15">
      <c r="A142" t="s">
        <v>72</v>
      </c>
      <c r="B142" t="s">
        <v>2704</v>
      </c>
      <c r="C142" t="s">
        <v>74</v>
      </c>
      <c r="D142" t="s">
        <v>74</v>
      </c>
      <c r="E142" t="s">
        <v>74</v>
      </c>
      <c r="F142" t="s">
        <v>2705</v>
      </c>
      <c r="G142" t="s">
        <v>74</v>
      </c>
      <c r="H142" t="s">
        <v>74</v>
      </c>
      <c r="I142" t="s">
        <v>2706</v>
      </c>
      <c r="J142" t="s">
        <v>2707</v>
      </c>
      <c r="K142" t="s">
        <v>74</v>
      </c>
      <c r="L142" t="s">
        <v>74</v>
      </c>
      <c r="M142" t="s">
        <v>200</v>
      </c>
      <c r="N142" t="s">
        <v>79</v>
      </c>
      <c r="O142" t="s">
        <v>74</v>
      </c>
      <c r="P142" t="s">
        <v>74</v>
      </c>
      <c r="Q142" t="s">
        <v>74</v>
      </c>
      <c r="R142" t="s">
        <v>74</v>
      </c>
      <c r="S142" t="s">
        <v>74</v>
      </c>
      <c r="T142" t="s">
        <v>2708</v>
      </c>
      <c r="U142" t="s">
        <v>2709</v>
      </c>
      <c r="V142" t="s">
        <v>2710</v>
      </c>
      <c r="W142" t="s">
        <v>2711</v>
      </c>
      <c r="X142" t="s">
        <v>2712</v>
      </c>
      <c r="Y142" t="s">
        <v>2713</v>
      </c>
      <c r="Z142" t="s">
        <v>2714</v>
      </c>
      <c r="AA142" t="s">
        <v>2715</v>
      </c>
      <c r="AB142" t="s">
        <v>2716</v>
      </c>
      <c r="AC142" t="s">
        <v>2717</v>
      </c>
      <c r="AD142" t="s">
        <v>2718</v>
      </c>
      <c r="AE142" t="s">
        <v>2719</v>
      </c>
      <c r="AF142" t="s">
        <v>74</v>
      </c>
      <c r="AG142">
        <v>92</v>
      </c>
      <c r="AH142">
        <v>3</v>
      </c>
      <c r="AI142">
        <v>3</v>
      </c>
      <c r="AJ142">
        <v>2</v>
      </c>
      <c r="AK142">
        <v>39</v>
      </c>
      <c r="AL142" t="s">
        <v>380</v>
      </c>
      <c r="AM142" t="s">
        <v>381</v>
      </c>
      <c r="AN142" t="s">
        <v>382</v>
      </c>
      <c r="AO142" t="s">
        <v>2720</v>
      </c>
      <c r="AP142" t="s">
        <v>2721</v>
      </c>
      <c r="AQ142" t="s">
        <v>74</v>
      </c>
      <c r="AR142" t="s">
        <v>2722</v>
      </c>
      <c r="AS142" t="s">
        <v>2723</v>
      </c>
      <c r="AT142" t="s">
        <v>74</v>
      </c>
      <c r="AU142">
        <v>2016</v>
      </c>
      <c r="AV142">
        <v>43</v>
      </c>
      <c r="AW142">
        <v>6</v>
      </c>
      <c r="AX142" t="s">
        <v>74</v>
      </c>
      <c r="AY142" t="s">
        <v>74</v>
      </c>
      <c r="AZ142" t="s">
        <v>74</v>
      </c>
      <c r="BA142" t="s">
        <v>74</v>
      </c>
      <c r="BB142">
        <v>461</v>
      </c>
      <c r="BC142">
        <v>473</v>
      </c>
      <c r="BD142" t="s">
        <v>74</v>
      </c>
      <c r="BE142" t="s">
        <v>2724</v>
      </c>
      <c r="BF142" t="str">
        <f>HYPERLINK("http://dx.doi.org/10.1071/WR16047","http://dx.doi.org/10.1071/WR16047")</f>
        <v>http://dx.doi.org/10.1071/WR16047</v>
      </c>
      <c r="BG142" t="s">
        <v>74</v>
      </c>
      <c r="BH142" t="s">
        <v>74</v>
      </c>
      <c r="BI142">
        <v>13</v>
      </c>
      <c r="BJ142" t="s">
        <v>2725</v>
      </c>
      <c r="BK142" t="s">
        <v>264</v>
      </c>
      <c r="BL142" t="s">
        <v>2726</v>
      </c>
      <c r="BM142" t="s">
        <v>2727</v>
      </c>
      <c r="BN142" t="s">
        <v>74</v>
      </c>
      <c r="BO142" t="s">
        <v>74</v>
      </c>
      <c r="BP142" t="s">
        <v>74</v>
      </c>
      <c r="BQ142" t="s">
        <v>74</v>
      </c>
      <c r="BR142" t="s">
        <v>100</v>
      </c>
      <c r="BS142" t="s">
        <v>2728</v>
      </c>
      <c r="BT142" t="str">
        <f>HYPERLINK("https%3A%2F%2Fwww.webofscience.com%2Fwos%2Fwoscc%2Ffull-record%2FWOS:000387182100002","View Full Record in Web of Science")</f>
        <v>View Full Record in Web of Science</v>
      </c>
    </row>
    <row r="143" spans="1:72" x14ac:dyDescent="0.15">
      <c r="A143" t="s">
        <v>72</v>
      </c>
      <c r="B143" t="s">
        <v>2729</v>
      </c>
      <c r="C143" t="s">
        <v>74</v>
      </c>
      <c r="D143" t="s">
        <v>74</v>
      </c>
      <c r="E143" t="s">
        <v>74</v>
      </c>
      <c r="F143" t="s">
        <v>2730</v>
      </c>
      <c r="G143" t="s">
        <v>74</v>
      </c>
      <c r="H143" t="s">
        <v>74</v>
      </c>
      <c r="I143" t="s">
        <v>2731</v>
      </c>
      <c r="J143" t="s">
        <v>2732</v>
      </c>
      <c r="K143" t="s">
        <v>74</v>
      </c>
      <c r="L143" t="s">
        <v>74</v>
      </c>
      <c r="M143" t="s">
        <v>200</v>
      </c>
      <c r="N143" t="s">
        <v>79</v>
      </c>
      <c r="O143" t="s">
        <v>74</v>
      </c>
      <c r="P143" t="s">
        <v>74</v>
      </c>
      <c r="Q143" t="s">
        <v>74</v>
      </c>
      <c r="R143" t="s">
        <v>74</v>
      </c>
      <c r="S143" t="s">
        <v>74</v>
      </c>
      <c r="T143" t="s">
        <v>2733</v>
      </c>
      <c r="U143" t="s">
        <v>2734</v>
      </c>
      <c r="V143" t="s">
        <v>2735</v>
      </c>
      <c r="W143" t="s">
        <v>2736</v>
      </c>
      <c r="X143" t="s">
        <v>2737</v>
      </c>
      <c r="Y143" t="s">
        <v>2738</v>
      </c>
      <c r="Z143" t="s">
        <v>2739</v>
      </c>
      <c r="AA143" t="s">
        <v>2740</v>
      </c>
      <c r="AB143" t="s">
        <v>2741</v>
      </c>
      <c r="AC143" t="s">
        <v>74</v>
      </c>
      <c r="AD143" t="s">
        <v>74</v>
      </c>
      <c r="AE143" t="s">
        <v>74</v>
      </c>
      <c r="AF143" t="s">
        <v>74</v>
      </c>
      <c r="AG143">
        <v>48</v>
      </c>
      <c r="AH143">
        <v>19</v>
      </c>
      <c r="AI143">
        <v>21</v>
      </c>
      <c r="AJ143">
        <v>0</v>
      </c>
      <c r="AK143">
        <v>6</v>
      </c>
      <c r="AL143" t="s">
        <v>2263</v>
      </c>
      <c r="AM143" t="s">
        <v>2264</v>
      </c>
      <c r="AN143" t="s">
        <v>2265</v>
      </c>
      <c r="AO143" t="s">
        <v>2742</v>
      </c>
      <c r="AP143" t="s">
        <v>2743</v>
      </c>
      <c r="AQ143" t="s">
        <v>74</v>
      </c>
      <c r="AR143" t="s">
        <v>2744</v>
      </c>
      <c r="AS143" t="s">
        <v>2745</v>
      </c>
      <c r="AT143" t="s">
        <v>74</v>
      </c>
      <c r="AU143">
        <v>2016</v>
      </c>
      <c r="AV143">
        <v>39</v>
      </c>
      <c r="AW143">
        <v>2</v>
      </c>
      <c r="AX143" t="s">
        <v>74</v>
      </c>
      <c r="AY143" t="s">
        <v>74</v>
      </c>
      <c r="AZ143" t="s">
        <v>74</v>
      </c>
      <c r="BA143" t="s">
        <v>74</v>
      </c>
      <c r="BB143">
        <v>83</v>
      </c>
      <c r="BC143">
        <v>97</v>
      </c>
      <c r="BD143" t="s">
        <v>74</v>
      </c>
      <c r="BE143" t="s">
        <v>2746</v>
      </c>
      <c r="BF143" t="str">
        <f>HYPERLINK("http://dx.doi.org/10.1080/1088937X.2016.1184722","http://dx.doi.org/10.1080/1088937X.2016.1184722")</f>
        <v>http://dx.doi.org/10.1080/1088937X.2016.1184722</v>
      </c>
      <c r="BG143" t="s">
        <v>74</v>
      </c>
      <c r="BH143" t="s">
        <v>74</v>
      </c>
      <c r="BI143">
        <v>15</v>
      </c>
      <c r="BJ143" t="s">
        <v>2747</v>
      </c>
      <c r="BK143" t="s">
        <v>96</v>
      </c>
      <c r="BL143" t="s">
        <v>2748</v>
      </c>
      <c r="BM143" t="s">
        <v>2749</v>
      </c>
      <c r="BN143" t="s">
        <v>74</v>
      </c>
      <c r="BO143" t="s">
        <v>486</v>
      </c>
      <c r="BP143" t="s">
        <v>74</v>
      </c>
      <c r="BQ143" t="s">
        <v>74</v>
      </c>
      <c r="BR143" t="s">
        <v>100</v>
      </c>
      <c r="BS143" t="s">
        <v>2750</v>
      </c>
      <c r="BT143" t="str">
        <f>HYPERLINK("https%3A%2F%2Fwww.webofscience.com%2Fwos%2Fwoscc%2Ffull-record%2FWOS:000386442800001","View Full Record in Web of Science")</f>
        <v>View Full Record in Web of Science</v>
      </c>
    </row>
    <row r="144" spans="1:72" x14ac:dyDescent="0.15">
      <c r="A144" t="s">
        <v>72</v>
      </c>
      <c r="B144" t="s">
        <v>2751</v>
      </c>
      <c r="C144" t="s">
        <v>74</v>
      </c>
      <c r="D144" t="s">
        <v>74</v>
      </c>
      <c r="E144" t="s">
        <v>74</v>
      </c>
      <c r="F144" t="s">
        <v>2752</v>
      </c>
      <c r="G144" t="s">
        <v>74</v>
      </c>
      <c r="H144" t="s">
        <v>74</v>
      </c>
      <c r="I144" t="s">
        <v>2753</v>
      </c>
      <c r="J144" t="s">
        <v>2754</v>
      </c>
      <c r="K144" t="s">
        <v>74</v>
      </c>
      <c r="L144" t="s">
        <v>74</v>
      </c>
      <c r="M144" t="s">
        <v>200</v>
      </c>
      <c r="N144" t="s">
        <v>79</v>
      </c>
      <c r="O144" t="s">
        <v>74</v>
      </c>
      <c r="P144" t="s">
        <v>74</v>
      </c>
      <c r="Q144" t="s">
        <v>74</v>
      </c>
      <c r="R144" t="s">
        <v>74</v>
      </c>
      <c r="S144" t="s">
        <v>74</v>
      </c>
      <c r="T144" t="s">
        <v>2755</v>
      </c>
      <c r="U144" t="s">
        <v>2756</v>
      </c>
      <c r="V144" t="s">
        <v>2757</v>
      </c>
      <c r="W144" t="s">
        <v>2758</v>
      </c>
      <c r="X144" t="s">
        <v>2759</v>
      </c>
      <c r="Y144" t="s">
        <v>2760</v>
      </c>
      <c r="Z144" t="s">
        <v>2761</v>
      </c>
      <c r="AA144" t="s">
        <v>2762</v>
      </c>
      <c r="AB144" t="s">
        <v>2763</v>
      </c>
      <c r="AC144" t="s">
        <v>2764</v>
      </c>
      <c r="AD144" t="s">
        <v>2765</v>
      </c>
      <c r="AE144" t="s">
        <v>2766</v>
      </c>
      <c r="AF144" t="s">
        <v>74</v>
      </c>
      <c r="AG144">
        <v>102</v>
      </c>
      <c r="AH144">
        <v>25</v>
      </c>
      <c r="AI144">
        <v>27</v>
      </c>
      <c r="AJ144">
        <v>1</v>
      </c>
      <c r="AK144">
        <v>31</v>
      </c>
      <c r="AL144" t="s">
        <v>380</v>
      </c>
      <c r="AM144" t="s">
        <v>381</v>
      </c>
      <c r="AN144" t="s">
        <v>382</v>
      </c>
      <c r="AO144" t="s">
        <v>2767</v>
      </c>
      <c r="AP144" t="s">
        <v>2768</v>
      </c>
      <c r="AQ144" t="s">
        <v>74</v>
      </c>
      <c r="AR144" t="s">
        <v>2769</v>
      </c>
      <c r="AS144" t="s">
        <v>2770</v>
      </c>
      <c r="AT144" t="s">
        <v>74</v>
      </c>
      <c r="AU144">
        <v>2016</v>
      </c>
      <c r="AV144">
        <v>43</v>
      </c>
      <c r="AW144">
        <v>11</v>
      </c>
      <c r="AX144" t="s">
        <v>74</v>
      </c>
      <c r="AY144" t="s">
        <v>74</v>
      </c>
      <c r="AZ144" t="s">
        <v>74</v>
      </c>
      <c r="BA144" t="s">
        <v>74</v>
      </c>
      <c r="BB144">
        <v>1003</v>
      </c>
      <c r="BC144">
        <v>1015</v>
      </c>
      <c r="BD144" t="s">
        <v>74</v>
      </c>
      <c r="BE144" t="s">
        <v>2771</v>
      </c>
      <c r="BF144" t="str">
        <f>HYPERLINK("http://dx.doi.org/10.1071/FP16135","http://dx.doi.org/10.1071/FP16135")</f>
        <v>http://dx.doi.org/10.1071/FP16135</v>
      </c>
      <c r="BG144" t="s">
        <v>74</v>
      </c>
      <c r="BH144" t="s">
        <v>74</v>
      </c>
      <c r="BI144">
        <v>13</v>
      </c>
      <c r="BJ144" t="s">
        <v>1276</v>
      </c>
      <c r="BK144" t="s">
        <v>264</v>
      </c>
      <c r="BL144" t="s">
        <v>1276</v>
      </c>
      <c r="BM144" t="s">
        <v>2772</v>
      </c>
      <c r="BN144">
        <v>32480522</v>
      </c>
      <c r="BO144" t="s">
        <v>74</v>
      </c>
      <c r="BP144" t="s">
        <v>74</v>
      </c>
      <c r="BQ144" t="s">
        <v>74</v>
      </c>
      <c r="BR144" t="s">
        <v>100</v>
      </c>
      <c r="BS144" t="s">
        <v>2773</v>
      </c>
      <c r="BT144" t="str">
        <f>HYPERLINK("https%3A%2F%2Fwww.webofscience.com%2Fwos%2Fwoscc%2Ffull-record%2FWOS:000386369300001","View Full Record in Web of Science")</f>
        <v>View Full Record in Web of Science</v>
      </c>
    </row>
    <row r="145" spans="1:72" x14ac:dyDescent="0.15">
      <c r="A145" t="s">
        <v>72</v>
      </c>
      <c r="B145" t="s">
        <v>2774</v>
      </c>
      <c r="C145" t="s">
        <v>74</v>
      </c>
      <c r="D145" t="s">
        <v>74</v>
      </c>
      <c r="E145" t="s">
        <v>74</v>
      </c>
      <c r="F145" t="s">
        <v>2775</v>
      </c>
      <c r="G145" t="s">
        <v>74</v>
      </c>
      <c r="H145" t="s">
        <v>74</v>
      </c>
      <c r="I145" t="s">
        <v>2776</v>
      </c>
      <c r="J145" t="s">
        <v>2777</v>
      </c>
      <c r="K145" t="s">
        <v>74</v>
      </c>
      <c r="L145" t="s">
        <v>74</v>
      </c>
      <c r="M145" t="s">
        <v>200</v>
      </c>
      <c r="N145" t="s">
        <v>79</v>
      </c>
      <c r="O145" t="s">
        <v>74</v>
      </c>
      <c r="P145" t="s">
        <v>74</v>
      </c>
      <c r="Q145" t="s">
        <v>74</v>
      </c>
      <c r="R145" t="s">
        <v>74</v>
      </c>
      <c r="S145" t="s">
        <v>74</v>
      </c>
      <c r="T145" t="s">
        <v>2778</v>
      </c>
      <c r="U145" t="s">
        <v>2779</v>
      </c>
      <c r="V145" t="s">
        <v>2780</v>
      </c>
      <c r="W145" t="s">
        <v>2781</v>
      </c>
      <c r="X145" t="s">
        <v>968</v>
      </c>
      <c r="Y145" t="s">
        <v>2782</v>
      </c>
      <c r="Z145" t="s">
        <v>2783</v>
      </c>
      <c r="AA145" t="s">
        <v>74</v>
      </c>
      <c r="AB145" t="s">
        <v>2784</v>
      </c>
      <c r="AC145" t="s">
        <v>2785</v>
      </c>
      <c r="AD145" t="s">
        <v>2786</v>
      </c>
      <c r="AE145" t="s">
        <v>2787</v>
      </c>
      <c r="AF145" t="s">
        <v>74</v>
      </c>
      <c r="AG145">
        <v>21</v>
      </c>
      <c r="AH145">
        <v>7</v>
      </c>
      <c r="AI145">
        <v>7</v>
      </c>
      <c r="AJ145">
        <v>2</v>
      </c>
      <c r="AK145">
        <v>19</v>
      </c>
      <c r="AL145" t="s">
        <v>2263</v>
      </c>
      <c r="AM145" t="s">
        <v>2264</v>
      </c>
      <c r="AN145" t="s">
        <v>2265</v>
      </c>
      <c r="AO145" t="s">
        <v>2788</v>
      </c>
      <c r="AP145" t="s">
        <v>2789</v>
      </c>
      <c r="AQ145" t="s">
        <v>74</v>
      </c>
      <c r="AR145" t="s">
        <v>2790</v>
      </c>
      <c r="AS145" t="s">
        <v>2791</v>
      </c>
      <c r="AT145" t="s">
        <v>74</v>
      </c>
      <c r="AU145">
        <v>2016</v>
      </c>
      <c r="AV145">
        <v>46</v>
      </c>
      <c r="AW145">
        <v>8</v>
      </c>
      <c r="AX145" t="s">
        <v>74</v>
      </c>
      <c r="AY145" t="s">
        <v>74</v>
      </c>
      <c r="AZ145" t="s">
        <v>74</v>
      </c>
      <c r="BA145" t="s">
        <v>74</v>
      </c>
      <c r="BB145">
        <v>764</v>
      </c>
      <c r="BC145">
        <v>771</v>
      </c>
      <c r="BD145" t="s">
        <v>74</v>
      </c>
      <c r="BE145" t="s">
        <v>2792</v>
      </c>
      <c r="BF145" t="str">
        <f>HYPERLINK("http://dx.doi.org/10.1080/10826068.2015.1135459","http://dx.doi.org/10.1080/10826068.2015.1135459")</f>
        <v>http://dx.doi.org/10.1080/10826068.2015.1135459</v>
      </c>
      <c r="BG145" t="s">
        <v>74</v>
      </c>
      <c r="BH145" t="s">
        <v>74</v>
      </c>
      <c r="BI145">
        <v>8</v>
      </c>
      <c r="BJ145" t="s">
        <v>2793</v>
      </c>
      <c r="BK145" t="s">
        <v>264</v>
      </c>
      <c r="BL145" t="s">
        <v>2794</v>
      </c>
      <c r="BM145" t="s">
        <v>2795</v>
      </c>
      <c r="BN145">
        <v>26795587</v>
      </c>
      <c r="BO145" t="s">
        <v>74</v>
      </c>
      <c r="BP145" t="s">
        <v>74</v>
      </c>
      <c r="BQ145" t="s">
        <v>74</v>
      </c>
      <c r="BR145" t="s">
        <v>100</v>
      </c>
      <c r="BS145" t="s">
        <v>2796</v>
      </c>
      <c r="BT145" t="str">
        <f>HYPERLINK("https%3A%2F%2Fwww.webofscience.com%2Fwos%2Fwoscc%2Ffull-record%2FWOS:000386336000003","View Full Record in Web of Science")</f>
        <v>View Full Record in Web of Science</v>
      </c>
    </row>
    <row r="146" spans="1:72" x14ac:dyDescent="0.15">
      <c r="A146" t="s">
        <v>72</v>
      </c>
      <c r="B146" t="s">
        <v>2797</v>
      </c>
      <c r="C146" t="s">
        <v>74</v>
      </c>
      <c r="D146" t="s">
        <v>74</v>
      </c>
      <c r="E146" t="s">
        <v>74</v>
      </c>
      <c r="F146" t="s">
        <v>2798</v>
      </c>
      <c r="G146" t="s">
        <v>74</v>
      </c>
      <c r="H146" t="s">
        <v>74</v>
      </c>
      <c r="I146" t="s">
        <v>2799</v>
      </c>
      <c r="J146" t="s">
        <v>2800</v>
      </c>
      <c r="K146" t="s">
        <v>74</v>
      </c>
      <c r="L146" t="s">
        <v>74</v>
      </c>
      <c r="M146" t="s">
        <v>200</v>
      </c>
      <c r="N146" t="s">
        <v>79</v>
      </c>
      <c r="O146" t="s">
        <v>74</v>
      </c>
      <c r="P146" t="s">
        <v>74</v>
      </c>
      <c r="Q146" t="s">
        <v>74</v>
      </c>
      <c r="R146" t="s">
        <v>74</v>
      </c>
      <c r="S146" t="s">
        <v>74</v>
      </c>
      <c r="T146" t="s">
        <v>2801</v>
      </c>
      <c r="U146" t="s">
        <v>2802</v>
      </c>
      <c r="V146" t="s">
        <v>2803</v>
      </c>
      <c r="W146" t="s">
        <v>2804</v>
      </c>
      <c r="X146" t="s">
        <v>2805</v>
      </c>
      <c r="Y146" t="s">
        <v>2806</v>
      </c>
      <c r="Z146" t="s">
        <v>2807</v>
      </c>
      <c r="AA146" t="s">
        <v>2808</v>
      </c>
      <c r="AB146" t="s">
        <v>2809</v>
      </c>
      <c r="AC146" t="s">
        <v>2810</v>
      </c>
      <c r="AD146" t="s">
        <v>2811</v>
      </c>
      <c r="AE146" t="s">
        <v>2812</v>
      </c>
      <c r="AF146" t="s">
        <v>74</v>
      </c>
      <c r="AG146">
        <v>48</v>
      </c>
      <c r="AH146">
        <v>8</v>
      </c>
      <c r="AI146">
        <v>9</v>
      </c>
      <c r="AJ146">
        <v>1</v>
      </c>
      <c r="AK146">
        <v>13</v>
      </c>
      <c r="AL146" t="s">
        <v>502</v>
      </c>
      <c r="AM146" t="s">
        <v>503</v>
      </c>
      <c r="AN146" t="s">
        <v>504</v>
      </c>
      <c r="AO146" t="s">
        <v>2813</v>
      </c>
      <c r="AP146" t="s">
        <v>2814</v>
      </c>
      <c r="AQ146" t="s">
        <v>74</v>
      </c>
      <c r="AR146" t="s">
        <v>2815</v>
      </c>
      <c r="AS146" t="s">
        <v>2816</v>
      </c>
      <c r="AT146" t="s">
        <v>74</v>
      </c>
      <c r="AU146">
        <v>2016</v>
      </c>
      <c r="AV146">
        <v>63</v>
      </c>
      <c r="AW146">
        <v>4</v>
      </c>
      <c r="AX146" t="s">
        <v>74</v>
      </c>
      <c r="AY146" t="s">
        <v>74</v>
      </c>
      <c r="AZ146" t="s">
        <v>74</v>
      </c>
      <c r="BA146" t="s">
        <v>74</v>
      </c>
      <c r="BB146">
        <v>379</v>
      </c>
      <c r="BC146">
        <v>392</v>
      </c>
      <c r="BD146" t="s">
        <v>74</v>
      </c>
      <c r="BE146" t="s">
        <v>2817</v>
      </c>
      <c r="BF146" t="str">
        <f>HYPERLINK("http://dx.doi.org/10.1080/08120099.2016.1221857","http://dx.doi.org/10.1080/08120099.2016.1221857")</f>
        <v>http://dx.doi.org/10.1080/08120099.2016.1221857</v>
      </c>
      <c r="BG146" t="s">
        <v>74</v>
      </c>
      <c r="BH146" t="s">
        <v>74</v>
      </c>
      <c r="BI146">
        <v>14</v>
      </c>
      <c r="BJ146" t="s">
        <v>95</v>
      </c>
      <c r="BK146" t="s">
        <v>264</v>
      </c>
      <c r="BL146" t="s">
        <v>97</v>
      </c>
      <c r="BM146" t="s">
        <v>2818</v>
      </c>
      <c r="BN146" t="s">
        <v>74</v>
      </c>
      <c r="BO146" t="s">
        <v>403</v>
      </c>
      <c r="BP146" t="s">
        <v>74</v>
      </c>
      <c r="BQ146" t="s">
        <v>74</v>
      </c>
      <c r="BR146" t="s">
        <v>100</v>
      </c>
      <c r="BS146" t="s">
        <v>2819</v>
      </c>
      <c r="BT146" t="str">
        <f>HYPERLINK("https%3A%2F%2Fwww.webofscience.com%2Fwos%2Fwoscc%2Ffull-record%2FWOS:000385369300002","View Full Record in Web of Science")</f>
        <v>View Full Record in Web of Science</v>
      </c>
    </row>
    <row r="147" spans="1:72" x14ac:dyDescent="0.15">
      <c r="A147" t="s">
        <v>267</v>
      </c>
      <c r="B147" t="s">
        <v>2820</v>
      </c>
      <c r="C147" t="s">
        <v>74</v>
      </c>
      <c r="D147" t="s">
        <v>2821</v>
      </c>
      <c r="E147" t="s">
        <v>74</v>
      </c>
      <c r="F147" t="s">
        <v>2822</v>
      </c>
      <c r="G147" t="s">
        <v>74</v>
      </c>
      <c r="H147" t="s">
        <v>74</v>
      </c>
      <c r="I147" t="s">
        <v>2823</v>
      </c>
      <c r="J147" t="s">
        <v>2824</v>
      </c>
      <c r="K147" t="s">
        <v>74</v>
      </c>
      <c r="L147" t="s">
        <v>74</v>
      </c>
      <c r="M147" t="s">
        <v>200</v>
      </c>
      <c r="N147" t="s">
        <v>273</v>
      </c>
      <c r="O147" t="s">
        <v>2825</v>
      </c>
      <c r="P147" t="s">
        <v>2826</v>
      </c>
      <c r="Q147" t="s">
        <v>2827</v>
      </c>
      <c r="R147" t="s">
        <v>74</v>
      </c>
      <c r="S147" t="s">
        <v>74</v>
      </c>
      <c r="T147" t="s">
        <v>2828</v>
      </c>
      <c r="U147" t="s">
        <v>2829</v>
      </c>
      <c r="V147" t="s">
        <v>2830</v>
      </c>
      <c r="W147" t="s">
        <v>2831</v>
      </c>
      <c r="X147" t="s">
        <v>2832</v>
      </c>
      <c r="Y147" t="s">
        <v>2833</v>
      </c>
      <c r="Z147" t="s">
        <v>2834</v>
      </c>
      <c r="AA147" t="s">
        <v>2835</v>
      </c>
      <c r="AB147" t="s">
        <v>2836</v>
      </c>
      <c r="AC147" t="s">
        <v>74</v>
      </c>
      <c r="AD147" t="s">
        <v>74</v>
      </c>
      <c r="AE147" t="s">
        <v>74</v>
      </c>
      <c r="AF147" t="s">
        <v>74</v>
      </c>
      <c r="AG147">
        <v>29</v>
      </c>
      <c r="AH147">
        <v>8</v>
      </c>
      <c r="AI147">
        <v>11</v>
      </c>
      <c r="AJ147">
        <v>0</v>
      </c>
      <c r="AK147">
        <v>8</v>
      </c>
      <c r="AL147" t="s">
        <v>2220</v>
      </c>
      <c r="AM147" t="s">
        <v>394</v>
      </c>
      <c r="AN147" t="s">
        <v>395</v>
      </c>
      <c r="AO147" t="s">
        <v>74</v>
      </c>
      <c r="AP147" t="s">
        <v>74</v>
      </c>
      <c r="AQ147" t="s">
        <v>2837</v>
      </c>
      <c r="AR147" t="s">
        <v>74</v>
      </c>
      <c r="AS147" t="s">
        <v>74</v>
      </c>
      <c r="AT147" t="s">
        <v>74</v>
      </c>
      <c r="AU147">
        <v>2016</v>
      </c>
      <c r="AV147" t="s">
        <v>74</v>
      </c>
      <c r="AW147" t="s">
        <v>74</v>
      </c>
      <c r="AX147" t="s">
        <v>74</v>
      </c>
      <c r="AY147" t="s">
        <v>74</v>
      </c>
      <c r="AZ147" t="s">
        <v>74</v>
      </c>
      <c r="BA147" t="s">
        <v>74</v>
      </c>
      <c r="BB147">
        <v>237</v>
      </c>
      <c r="BC147">
        <v>248</v>
      </c>
      <c r="BD147" t="s">
        <v>74</v>
      </c>
      <c r="BE147" t="s">
        <v>2838</v>
      </c>
      <c r="BF147" t="str">
        <f>HYPERLINK("http://dx.doi.org/10.1007/978-3-319-24987-2_19","http://dx.doi.org/10.1007/978-3-319-24987-2_19")</f>
        <v>http://dx.doi.org/10.1007/978-3-319-24987-2_19</v>
      </c>
      <c r="BG147" t="s">
        <v>74</v>
      </c>
      <c r="BH147" t="s">
        <v>74</v>
      </c>
      <c r="BI147">
        <v>12</v>
      </c>
      <c r="BJ147" t="s">
        <v>2839</v>
      </c>
      <c r="BK147" t="s">
        <v>293</v>
      </c>
      <c r="BL147" t="s">
        <v>2840</v>
      </c>
      <c r="BM147" t="s">
        <v>2841</v>
      </c>
      <c r="BN147" t="s">
        <v>74</v>
      </c>
      <c r="BO147" t="s">
        <v>74</v>
      </c>
      <c r="BP147" t="s">
        <v>74</v>
      </c>
      <c r="BQ147" t="s">
        <v>74</v>
      </c>
      <c r="BR147" t="s">
        <v>100</v>
      </c>
      <c r="BS147" t="s">
        <v>2842</v>
      </c>
      <c r="BT147" t="str">
        <f>HYPERLINK("https%3A%2F%2Fwww.webofscience.com%2Fwos%2Fwoscc%2Ffull-record%2FWOS:000385789300020","View Full Record in Web of Science")</f>
        <v>View Full Record in Web of Science</v>
      </c>
    </row>
    <row r="148" spans="1:72" x14ac:dyDescent="0.15">
      <c r="A148" t="s">
        <v>267</v>
      </c>
      <c r="B148" t="s">
        <v>2843</v>
      </c>
      <c r="C148" t="s">
        <v>74</v>
      </c>
      <c r="D148" t="s">
        <v>2844</v>
      </c>
      <c r="E148" t="s">
        <v>74</v>
      </c>
      <c r="F148" t="s">
        <v>2845</v>
      </c>
      <c r="G148" t="s">
        <v>74</v>
      </c>
      <c r="H148" t="s">
        <v>74</v>
      </c>
      <c r="I148" t="s">
        <v>2846</v>
      </c>
      <c r="J148" t="s">
        <v>2847</v>
      </c>
      <c r="K148" t="s">
        <v>1053</v>
      </c>
      <c r="L148" t="s">
        <v>74</v>
      </c>
      <c r="M148" t="s">
        <v>200</v>
      </c>
      <c r="N148" t="s">
        <v>273</v>
      </c>
      <c r="O148" t="s">
        <v>2848</v>
      </c>
      <c r="P148" t="s">
        <v>1979</v>
      </c>
      <c r="Q148" t="s">
        <v>1980</v>
      </c>
      <c r="R148" t="s">
        <v>74</v>
      </c>
      <c r="S148" t="s">
        <v>1981</v>
      </c>
      <c r="T148" t="s">
        <v>2849</v>
      </c>
      <c r="U148" t="s">
        <v>2850</v>
      </c>
      <c r="V148" t="s">
        <v>2851</v>
      </c>
      <c r="W148" t="s">
        <v>2852</v>
      </c>
      <c r="X148" t="s">
        <v>2853</v>
      </c>
      <c r="Y148" t="s">
        <v>2854</v>
      </c>
      <c r="Z148" t="s">
        <v>74</v>
      </c>
      <c r="AA148" t="s">
        <v>2855</v>
      </c>
      <c r="AB148" t="s">
        <v>2856</v>
      </c>
      <c r="AC148" t="s">
        <v>74</v>
      </c>
      <c r="AD148" t="s">
        <v>74</v>
      </c>
      <c r="AE148" t="s">
        <v>74</v>
      </c>
      <c r="AF148" t="s">
        <v>74</v>
      </c>
      <c r="AG148">
        <v>24</v>
      </c>
      <c r="AH148">
        <v>8</v>
      </c>
      <c r="AI148">
        <v>8</v>
      </c>
      <c r="AJ148">
        <v>0</v>
      </c>
      <c r="AK148">
        <v>6</v>
      </c>
      <c r="AL148" t="s">
        <v>1067</v>
      </c>
      <c r="AM148" t="s">
        <v>1068</v>
      </c>
      <c r="AN148" t="s">
        <v>1069</v>
      </c>
      <c r="AO148" t="s">
        <v>1070</v>
      </c>
      <c r="AP148" t="s">
        <v>1107</v>
      </c>
      <c r="AQ148" t="s">
        <v>2857</v>
      </c>
      <c r="AR148" t="s">
        <v>1072</v>
      </c>
      <c r="AS148" t="s">
        <v>74</v>
      </c>
      <c r="AT148" t="s">
        <v>74</v>
      </c>
      <c r="AU148">
        <v>2016</v>
      </c>
      <c r="AV148">
        <v>9881</v>
      </c>
      <c r="AW148" t="s">
        <v>74</v>
      </c>
      <c r="AX148" t="s">
        <v>74</v>
      </c>
      <c r="AY148" t="s">
        <v>74</v>
      </c>
      <c r="AZ148" t="s">
        <v>74</v>
      </c>
      <c r="BA148" t="s">
        <v>74</v>
      </c>
      <c r="BB148" t="s">
        <v>74</v>
      </c>
      <c r="BC148" t="s">
        <v>74</v>
      </c>
      <c r="BD148" t="s">
        <v>2858</v>
      </c>
      <c r="BE148" t="s">
        <v>2859</v>
      </c>
      <c r="BF148" t="str">
        <f>HYPERLINK("http://dx.doi.org/10.1117/12.2224320","http://dx.doi.org/10.1117/12.2224320")</f>
        <v>http://dx.doi.org/10.1117/12.2224320</v>
      </c>
      <c r="BG148" t="s">
        <v>74</v>
      </c>
      <c r="BH148" t="s">
        <v>74</v>
      </c>
      <c r="BI148">
        <v>12</v>
      </c>
      <c r="BJ148" t="s">
        <v>2860</v>
      </c>
      <c r="BK148" t="s">
        <v>293</v>
      </c>
      <c r="BL148" t="s">
        <v>2861</v>
      </c>
      <c r="BM148" t="s">
        <v>2862</v>
      </c>
      <c r="BN148" t="s">
        <v>74</v>
      </c>
      <c r="BO148" t="s">
        <v>74</v>
      </c>
      <c r="BP148" t="s">
        <v>74</v>
      </c>
      <c r="BQ148" t="s">
        <v>74</v>
      </c>
      <c r="BR148" t="s">
        <v>100</v>
      </c>
      <c r="BS148" t="s">
        <v>2863</v>
      </c>
      <c r="BT148" t="str">
        <f>HYPERLINK("https%3A%2F%2Fwww.webofscience.com%2Fwos%2Fwoscc%2Ffull-record%2FWOS:000385792900029","View Full Record in Web of Science")</f>
        <v>View Full Record in Web of Science</v>
      </c>
    </row>
    <row r="149" spans="1:72" x14ac:dyDescent="0.15">
      <c r="A149" t="s">
        <v>72</v>
      </c>
      <c r="B149" t="s">
        <v>2864</v>
      </c>
      <c r="C149" t="s">
        <v>74</v>
      </c>
      <c r="D149" t="s">
        <v>74</v>
      </c>
      <c r="E149" t="s">
        <v>74</v>
      </c>
      <c r="F149" t="s">
        <v>2865</v>
      </c>
      <c r="G149" t="s">
        <v>74</v>
      </c>
      <c r="H149" t="s">
        <v>74</v>
      </c>
      <c r="I149" t="s">
        <v>2866</v>
      </c>
      <c r="J149" t="s">
        <v>2867</v>
      </c>
      <c r="K149" t="s">
        <v>74</v>
      </c>
      <c r="L149" t="s">
        <v>74</v>
      </c>
      <c r="M149" t="s">
        <v>200</v>
      </c>
      <c r="N149" t="s">
        <v>79</v>
      </c>
      <c r="O149" t="s">
        <v>74</v>
      </c>
      <c r="P149" t="s">
        <v>74</v>
      </c>
      <c r="Q149" t="s">
        <v>74</v>
      </c>
      <c r="R149" t="s">
        <v>74</v>
      </c>
      <c r="S149" t="s">
        <v>74</v>
      </c>
      <c r="T149" t="s">
        <v>2868</v>
      </c>
      <c r="U149" t="s">
        <v>2869</v>
      </c>
      <c r="V149" t="s">
        <v>2870</v>
      </c>
      <c r="W149" t="s">
        <v>2871</v>
      </c>
      <c r="X149" t="s">
        <v>2872</v>
      </c>
      <c r="Y149" t="s">
        <v>2873</v>
      </c>
      <c r="Z149" t="s">
        <v>74</v>
      </c>
      <c r="AA149" t="s">
        <v>2874</v>
      </c>
      <c r="AB149" t="s">
        <v>2875</v>
      </c>
      <c r="AC149" t="s">
        <v>2876</v>
      </c>
      <c r="AD149" t="s">
        <v>2877</v>
      </c>
      <c r="AE149" t="s">
        <v>2878</v>
      </c>
      <c r="AF149" t="s">
        <v>74</v>
      </c>
      <c r="AG149">
        <v>77</v>
      </c>
      <c r="AH149">
        <v>11</v>
      </c>
      <c r="AI149">
        <v>11</v>
      </c>
      <c r="AJ149">
        <v>4</v>
      </c>
      <c r="AK149">
        <v>26</v>
      </c>
      <c r="AL149" t="s">
        <v>2879</v>
      </c>
      <c r="AM149" t="s">
        <v>2880</v>
      </c>
      <c r="AN149" t="s">
        <v>2881</v>
      </c>
      <c r="AO149" t="s">
        <v>2882</v>
      </c>
      <c r="AP149" t="s">
        <v>74</v>
      </c>
      <c r="AQ149" t="s">
        <v>74</v>
      </c>
      <c r="AR149" t="s">
        <v>2883</v>
      </c>
      <c r="AS149" t="s">
        <v>2884</v>
      </c>
      <c r="AT149" t="s">
        <v>74</v>
      </c>
      <c r="AU149">
        <v>2016</v>
      </c>
      <c r="AV149">
        <v>21</v>
      </c>
      <c r="AW149">
        <v>3</v>
      </c>
      <c r="AX149" t="s">
        <v>74</v>
      </c>
      <c r="AY149" t="s">
        <v>74</v>
      </c>
      <c r="AZ149" t="s">
        <v>74</v>
      </c>
      <c r="BA149" t="s">
        <v>74</v>
      </c>
      <c r="BB149" t="s">
        <v>74</v>
      </c>
      <c r="BC149" t="s">
        <v>74</v>
      </c>
      <c r="BD149">
        <v>39</v>
      </c>
      <c r="BE149" t="s">
        <v>2885</v>
      </c>
      <c r="BF149" t="str">
        <f>HYPERLINK("http://dx.doi.org/10.5751/ES-08171-210339","http://dx.doi.org/10.5751/ES-08171-210339")</f>
        <v>http://dx.doi.org/10.5751/ES-08171-210339</v>
      </c>
      <c r="BG149" t="s">
        <v>74</v>
      </c>
      <c r="BH149" t="s">
        <v>74</v>
      </c>
      <c r="BI149">
        <v>14</v>
      </c>
      <c r="BJ149" t="s">
        <v>2886</v>
      </c>
      <c r="BK149" t="s">
        <v>710</v>
      </c>
      <c r="BL149" t="s">
        <v>2887</v>
      </c>
      <c r="BM149" t="s">
        <v>2888</v>
      </c>
      <c r="BN149" t="s">
        <v>74</v>
      </c>
      <c r="BO149" t="s">
        <v>2889</v>
      </c>
      <c r="BP149" t="s">
        <v>74</v>
      </c>
      <c r="BQ149" t="s">
        <v>74</v>
      </c>
      <c r="BR149" t="s">
        <v>100</v>
      </c>
      <c r="BS149" t="s">
        <v>2890</v>
      </c>
      <c r="BT149" t="str">
        <f>HYPERLINK("https%3A%2F%2Fwww.webofscience.com%2Fwos%2Fwoscc%2Ffull-record%2FWOS:000385720400001","View Full Record in Web of Science")</f>
        <v>View Full Record in Web of Science</v>
      </c>
    </row>
    <row r="150" spans="1:72" x14ac:dyDescent="0.15">
      <c r="A150" t="s">
        <v>72</v>
      </c>
      <c r="B150" t="s">
        <v>2891</v>
      </c>
      <c r="C150" t="s">
        <v>74</v>
      </c>
      <c r="D150" t="s">
        <v>74</v>
      </c>
      <c r="E150" t="s">
        <v>74</v>
      </c>
      <c r="F150" t="s">
        <v>2892</v>
      </c>
      <c r="G150" t="s">
        <v>74</v>
      </c>
      <c r="H150" t="s">
        <v>74</v>
      </c>
      <c r="I150" t="s">
        <v>2893</v>
      </c>
      <c r="J150" t="s">
        <v>2894</v>
      </c>
      <c r="K150" t="s">
        <v>74</v>
      </c>
      <c r="L150" t="s">
        <v>74</v>
      </c>
      <c r="M150" t="s">
        <v>200</v>
      </c>
      <c r="N150" t="s">
        <v>2895</v>
      </c>
      <c r="O150" t="s">
        <v>74</v>
      </c>
      <c r="P150" t="s">
        <v>74</v>
      </c>
      <c r="Q150" t="s">
        <v>74</v>
      </c>
      <c r="R150" t="s">
        <v>74</v>
      </c>
      <c r="S150" t="s">
        <v>74</v>
      </c>
      <c r="T150" t="s">
        <v>74</v>
      </c>
      <c r="U150" t="s">
        <v>74</v>
      </c>
      <c r="V150" t="s">
        <v>74</v>
      </c>
      <c r="W150" t="s">
        <v>2896</v>
      </c>
      <c r="X150" t="s">
        <v>2897</v>
      </c>
      <c r="Y150" t="s">
        <v>2898</v>
      </c>
      <c r="Z150" t="s">
        <v>74</v>
      </c>
      <c r="AA150" t="s">
        <v>74</v>
      </c>
      <c r="AB150" t="s">
        <v>74</v>
      </c>
      <c r="AC150" t="s">
        <v>74</v>
      </c>
      <c r="AD150" t="s">
        <v>74</v>
      </c>
      <c r="AE150" t="s">
        <v>74</v>
      </c>
      <c r="AF150" t="s">
        <v>74</v>
      </c>
      <c r="AG150">
        <v>1</v>
      </c>
      <c r="AH150">
        <v>0</v>
      </c>
      <c r="AI150">
        <v>0</v>
      </c>
      <c r="AJ150">
        <v>0</v>
      </c>
      <c r="AK150">
        <v>12</v>
      </c>
      <c r="AL150" t="s">
        <v>2899</v>
      </c>
      <c r="AM150" t="s">
        <v>503</v>
      </c>
      <c r="AN150" t="s">
        <v>2900</v>
      </c>
      <c r="AO150" t="s">
        <v>2901</v>
      </c>
      <c r="AP150" t="s">
        <v>2902</v>
      </c>
      <c r="AQ150" t="s">
        <v>74</v>
      </c>
      <c r="AR150" t="s">
        <v>2894</v>
      </c>
      <c r="AS150" t="s">
        <v>2903</v>
      </c>
      <c r="AT150" t="s">
        <v>74</v>
      </c>
      <c r="AU150">
        <v>2016</v>
      </c>
      <c r="AV150">
        <v>21</v>
      </c>
      <c r="AW150">
        <v>4</v>
      </c>
      <c r="AX150" t="s">
        <v>74</v>
      </c>
      <c r="AY150" t="s">
        <v>74</v>
      </c>
      <c r="AZ150" t="s">
        <v>74</v>
      </c>
      <c r="BA150" t="s">
        <v>74</v>
      </c>
      <c r="BB150">
        <v>990</v>
      </c>
      <c r="BC150">
        <v>994</v>
      </c>
      <c r="BD150" t="s">
        <v>74</v>
      </c>
      <c r="BE150" t="s">
        <v>74</v>
      </c>
      <c r="BF150" t="s">
        <v>74</v>
      </c>
      <c r="BG150" t="s">
        <v>74</v>
      </c>
      <c r="BH150" t="s">
        <v>74</v>
      </c>
      <c r="BI150">
        <v>5</v>
      </c>
      <c r="BJ150" t="s">
        <v>2904</v>
      </c>
      <c r="BK150" t="s">
        <v>1208</v>
      </c>
      <c r="BL150" t="s">
        <v>2905</v>
      </c>
      <c r="BM150" t="s">
        <v>2906</v>
      </c>
      <c r="BN150" t="s">
        <v>74</v>
      </c>
      <c r="BO150" t="s">
        <v>74</v>
      </c>
      <c r="BP150" t="s">
        <v>74</v>
      </c>
      <c r="BQ150" t="s">
        <v>74</v>
      </c>
      <c r="BR150" t="s">
        <v>100</v>
      </c>
      <c r="BS150" t="s">
        <v>2907</v>
      </c>
      <c r="BT150" t="str">
        <f>HYPERLINK("https%3A%2F%2Fwww.webofscience.com%2Fwos%2Fwoscc%2Ffull-record%2FWOS:000385622700013","View Full Record in Web of Science")</f>
        <v>View Full Record in Web of Science</v>
      </c>
    </row>
    <row r="151" spans="1:72" x14ac:dyDescent="0.15">
      <c r="A151" t="s">
        <v>267</v>
      </c>
      <c r="B151" t="s">
        <v>2908</v>
      </c>
      <c r="C151" t="s">
        <v>74</v>
      </c>
      <c r="D151" t="s">
        <v>2909</v>
      </c>
      <c r="E151" t="s">
        <v>74</v>
      </c>
      <c r="F151" t="s">
        <v>2910</v>
      </c>
      <c r="G151" t="s">
        <v>74</v>
      </c>
      <c r="H151" t="s">
        <v>74</v>
      </c>
      <c r="I151" t="s">
        <v>2911</v>
      </c>
      <c r="J151" t="s">
        <v>2912</v>
      </c>
      <c r="K151" t="s">
        <v>1053</v>
      </c>
      <c r="L151" t="s">
        <v>74</v>
      </c>
      <c r="M151" t="s">
        <v>200</v>
      </c>
      <c r="N151" t="s">
        <v>273</v>
      </c>
      <c r="O151" t="s">
        <v>2913</v>
      </c>
      <c r="P151" t="s">
        <v>2914</v>
      </c>
      <c r="Q151" t="s">
        <v>1129</v>
      </c>
      <c r="R151" t="s">
        <v>74</v>
      </c>
      <c r="S151" t="s">
        <v>74</v>
      </c>
      <c r="T151" t="s">
        <v>2915</v>
      </c>
      <c r="U151" t="s">
        <v>74</v>
      </c>
      <c r="V151" t="s">
        <v>2916</v>
      </c>
      <c r="W151" t="s">
        <v>2917</v>
      </c>
      <c r="X151" t="s">
        <v>2918</v>
      </c>
      <c r="Y151" t="s">
        <v>2919</v>
      </c>
      <c r="Z151" t="s">
        <v>2920</v>
      </c>
      <c r="AA151" t="s">
        <v>2921</v>
      </c>
      <c r="AB151" t="s">
        <v>74</v>
      </c>
      <c r="AC151" t="s">
        <v>74</v>
      </c>
      <c r="AD151" t="s">
        <v>74</v>
      </c>
      <c r="AE151" t="s">
        <v>74</v>
      </c>
      <c r="AF151" t="s">
        <v>74</v>
      </c>
      <c r="AG151">
        <v>11</v>
      </c>
      <c r="AH151">
        <v>1</v>
      </c>
      <c r="AI151">
        <v>1</v>
      </c>
      <c r="AJ151">
        <v>0</v>
      </c>
      <c r="AK151">
        <v>14</v>
      </c>
      <c r="AL151" t="s">
        <v>1067</v>
      </c>
      <c r="AM151" t="s">
        <v>1068</v>
      </c>
      <c r="AN151" t="s">
        <v>1069</v>
      </c>
      <c r="AO151" t="s">
        <v>1070</v>
      </c>
      <c r="AP151" t="s">
        <v>1107</v>
      </c>
      <c r="AQ151" t="s">
        <v>2922</v>
      </c>
      <c r="AR151" t="s">
        <v>1072</v>
      </c>
      <c r="AS151" t="s">
        <v>74</v>
      </c>
      <c r="AT151" t="s">
        <v>74</v>
      </c>
      <c r="AU151">
        <v>2016</v>
      </c>
      <c r="AV151">
        <v>9915</v>
      </c>
      <c r="AW151" t="s">
        <v>74</v>
      </c>
      <c r="AX151">
        <v>1</v>
      </c>
      <c r="AY151" t="s">
        <v>74</v>
      </c>
      <c r="AZ151" t="s">
        <v>74</v>
      </c>
      <c r="BA151" t="s">
        <v>74</v>
      </c>
      <c r="BB151" t="s">
        <v>74</v>
      </c>
      <c r="BC151" t="s">
        <v>74</v>
      </c>
      <c r="BD151" t="s">
        <v>2923</v>
      </c>
      <c r="BE151" t="s">
        <v>2924</v>
      </c>
      <c r="BF151" t="str">
        <f>HYPERLINK("http://dx.doi.org/10.1117/12.2228408","http://dx.doi.org/10.1117/12.2228408")</f>
        <v>http://dx.doi.org/10.1117/12.2228408</v>
      </c>
      <c r="BG151" t="s">
        <v>74</v>
      </c>
      <c r="BH151" t="s">
        <v>74</v>
      </c>
      <c r="BI151">
        <v>8</v>
      </c>
      <c r="BJ151" t="s">
        <v>2925</v>
      </c>
      <c r="BK151" t="s">
        <v>293</v>
      </c>
      <c r="BL151" t="s">
        <v>2925</v>
      </c>
      <c r="BM151" t="s">
        <v>2926</v>
      </c>
      <c r="BN151" t="s">
        <v>74</v>
      </c>
      <c r="BO151" t="s">
        <v>74</v>
      </c>
      <c r="BP151" t="s">
        <v>74</v>
      </c>
      <c r="BQ151" t="s">
        <v>74</v>
      </c>
      <c r="BR151" t="s">
        <v>100</v>
      </c>
      <c r="BS151" t="s">
        <v>2927</v>
      </c>
      <c r="BT151" t="str">
        <f>HYPERLINK("https%3A%2F%2Fwww.webofscience.com%2Fwos%2Fwoscc%2Ffull-record%2FWOS:000385793400046","View Full Record in Web of Science")</f>
        <v>View Full Record in Web of Science</v>
      </c>
    </row>
    <row r="152" spans="1:72" x14ac:dyDescent="0.15">
      <c r="A152" t="s">
        <v>267</v>
      </c>
      <c r="B152" t="s">
        <v>2928</v>
      </c>
      <c r="C152" t="s">
        <v>74</v>
      </c>
      <c r="D152" t="s">
        <v>2909</v>
      </c>
      <c r="E152" t="s">
        <v>74</v>
      </c>
      <c r="F152" t="s">
        <v>2929</v>
      </c>
      <c r="G152" t="s">
        <v>74</v>
      </c>
      <c r="H152" t="s">
        <v>74</v>
      </c>
      <c r="I152" t="s">
        <v>2930</v>
      </c>
      <c r="J152" t="s">
        <v>2912</v>
      </c>
      <c r="K152" t="s">
        <v>1053</v>
      </c>
      <c r="L152" t="s">
        <v>74</v>
      </c>
      <c r="M152" t="s">
        <v>200</v>
      </c>
      <c r="N152" t="s">
        <v>273</v>
      </c>
      <c r="O152" t="s">
        <v>2913</v>
      </c>
      <c r="P152" t="s">
        <v>2914</v>
      </c>
      <c r="Q152" t="s">
        <v>1129</v>
      </c>
      <c r="R152" t="s">
        <v>74</v>
      </c>
      <c r="S152" t="s">
        <v>74</v>
      </c>
      <c r="T152" t="s">
        <v>2931</v>
      </c>
      <c r="U152" t="s">
        <v>1947</v>
      </c>
      <c r="V152" t="s">
        <v>2932</v>
      </c>
      <c r="W152" t="s">
        <v>2933</v>
      </c>
      <c r="X152" t="s">
        <v>2934</v>
      </c>
      <c r="Y152" t="s">
        <v>2935</v>
      </c>
      <c r="Z152" t="s">
        <v>2920</v>
      </c>
      <c r="AA152" t="s">
        <v>2936</v>
      </c>
      <c r="AB152" t="s">
        <v>2937</v>
      </c>
      <c r="AC152" t="s">
        <v>74</v>
      </c>
      <c r="AD152" t="s">
        <v>74</v>
      </c>
      <c r="AE152" t="s">
        <v>74</v>
      </c>
      <c r="AF152" t="s">
        <v>74</v>
      </c>
      <c r="AG152">
        <v>11</v>
      </c>
      <c r="AH152">
        <v>2</v>
      </c>
      <c r="AI152">
        <v>2</v>
      </c>
      <c r="AJ152">
        <v>0</v>
      </c>
      <c r="AK152">
        <v>5</v>
      </c>
      <c r="AL152" t="s">
        <v>1067</v>
      </c>
      <c r="AM152" t="s">
        <v>1068</v>
      </c>
      <c r="AN152" t="s">
        <v>1069</v>
      </c>
      <c r="AO152" t="s">
        <v>1070</v>
      </c>
      <c r="AP152" t="s">
        <v>1107</v>
      </c>
      <c r="AQ152" t="s">
        <v>2922</v>
      </c>
      <c r="AR152" t="s">
        <v>1072</v>
      </c>
      <c r="AS152" t="s">
        <v>74</v>
      </c>
      <c r="AT152" t="s">
        <v>74</v>
      </c>
      <c r="AU152">
        <v>2016</v>
      </c>
      <c r="AV152">
        <v>9915</v>
      </c>
      <c r="AW152" t="s">
        <v>74</v>
      </c>
      <c r="AX152">
        <v>1</v>
      </c>
      <c r="AY152" t="s">
        <v>74</v>
      </c>
      <c r="AZ152" t="s">
        <v>74</v>
      </c>
      <c r="BA152" t="s">
        <v>74</v>
      </c>
      <c r="BB152" t="s">
        <v>74</v>
      </c>
      <c r="BC152" t="s">
        <v>74</v>
      </c>
      <c r="BD152" t="s">
        <v>2938</v>
      </c>
      <c r="BE152" t="s">
        <v>2939</v>
      </c>
      <c r="BF152" t="str">
        <f>HYPERLINK("http://dx.doi.org/10.1117/12.2230756","http://dx.doi.org/10.1117/12.2230756")</f>
        <v>http://dx.doi.org/10.1117/12.2230756</v>
      </c>
      <c r="BG152" t="s">
        <v>74</v>
      </c>
      <c r="BH152" t="s">
        <v>74</v>
      </c>
      <c r="BI152">
        <v>8</v>
      </c>
      <c r="BJ152" t="s">
        <v>2925</v>
      </c>
      <c r="BK152" t="s">
        <v>293</v>
      </c>
      <c r="BL152" t="s">
        <v>2925</v>
      </c>
      <c r="BM152" t="s">
        <v>2926</v>
      </c>
      <c r="BN152" t="s">
        <v>74</v>
      </c>
      <c r="BO152" t="s">
        <v>74</v>
      </c>
      <c r="BP152" t="s">
        <v>74</v>
      </c>
      <c r="BQ152" t="s">
        <v>74</v>
      </c>
      <c r="BR152" t="s">
        <v>100</v>
      </c>
      <c r="BS152" t="s">
        <v>2940</v>
      </c>
      <c r="BT152" t="str">
        <f>HYPERLINK("https%3A%2F%2Fwww.webofscience.com%2Fwos%2Fwoscc%2Ffull-record%2FWOS:000385793400047","View Full Record in Web of Science")</f>
        <v>View Full Record in Web of Science</v>
      </c>
    </row>
    <row r="153" spans="1:72" x14ac:dyDescent="0.15">
      <c r="A153" t="s">
        <v>72</v>
      </c>
      <c r="B153" t="s">
        <v>2941</v>
      </c>
      <c r="C153" t="s">
        <v>74</v>
      </c>
      <c r="D153" t="s">
        <v>74</v>
      </c>
      <c r="E153" t="s">
        <v>74</v>
      </c>
      <c r="F153" t="s">
        <v>2942</v>
      </c>
      <c r="G153" t="s">
        <v>74</v>
      </c>
      <c r="H153" t="s">
        <v>74</v>
      </c>
      <c r="I153" t="s">
        <v>2943</v>
      </c>
      <c r="J153" t="s">
        <v>2944</v>
      </c>
      <c r="K153" t="s">
        <v>74</v>
      </c>
      <c r="L153" t="s">
        <v>74</v>
      </c>
      <c r="M153" t="s">
        <v>200</v>
      </c>
      <c r="N153" t="s">
        <v>1639</v>
      </c>
      <c r="O153" t="s">
        <v>2945</v>
      </c>
      <c r="P153" t="s">
        <v>2946</v>
      </c>
      <c r="Q153" t="s">
        <v>2947</v>
      </c>
      <c r="R153" t="s">
        <v>74</v>
      </c>
      <c r="S153" t="s">
        <v>74</v>
      </c>
      <c r="T153" t="s">
        <v>2948</v>
      </c>
      <c r="U153" t="s">
        <v>2949</v>
      </c>
      <c r="V153" t="s">
        <v>2950</v>
      </c>
      <c r="W153" t="s">
        <v>2951</v>
      </c>
      <c r="X153" t="s">
        <v>2952</v>
      </c>
      <c r="Y153" t="s">
        <v>2953</v>
      </c>
      <c r="Z153" t="s">
        <v>2954</v>
      </c>
      <c r="AA153" t="s">
        <v>2955</v>
      </c>
      <c r="AB153" t="s">
        <v>2956</v>
      </c>
      <c r="AC153" t="s">
        <v>74</v>
      </c>
      <c r="AD153" t="s">
        <v>74</v>
      </c>
      <c r="AE153" t="s">
        <v>74</v>
      </c>
      <c r="AF153" t="s">
        <v>74</v>
      </c>
      <c r="AG153">
        <v>46</v>
      </c>
      <c r="AH153">
        <v>75</v>
      </c>
      <c r="AI153">
        <v>86</v>
      </c>
      <c r="AJ153">
        <v>2</v>
      </c>
      <c r="AK153">
        <v>26</v>
      </c>
      <c r="AL153" t="s">
        <v>2239</v>
      </c>
      <c r="AM153" t="s">
        <v>2240</v>
      </c>
      <c r="AN153" t="s">
        <v>2241</v>
      </c>
      <c r="AO153" t="s">
        <v>2957</v>
      </c>
      <c r="AP153" t="s">
        <v>2958</v>
      </c>
      <c r="AQ153" t="s">
        <v>74</v>
      </c>
      <c r="AR153" t="s">
        <v>2959</v>
      </c>
      <c r="AS153" t="s">
        <v>2960</v>
      </c>
      <c r="AT153" t="s">
        <v>74</v>
      </c>
      <c r="AU153">
        <v>2016</v>
      </c>
      <c r="AV153">
        <v>57</v>
      </c>
      <c r="AW153">
        <v>71</v>
      </c>
      <c r="AX153" t="s">
        <v>74</v>
      </c>
      <c r="AY153" t="s">
        <v>74</v>
      </c>
      <c r="AZ153" t="s">
        <v>74</v>
      </c>
      <c r="BA153" t="s">
        <v>74</v>
      </c>
      <c r="BB153">
        <v>273</v>
      </c>
      <c r="BC153">
        <v>281</v>
      </c>
      <c r="BD153" t="s">
        <v>74</v>
      </c>
      <c r="BE153" t="s">
        <v>2961</v>
      </c>
      <c r="BF153" t="str">
        <f>HYPERLINK("http://dx.doi.org/10.3189/2016AoG71A024","http://dx.doi.org/10.3189/2016AoG71A024")</f>
        <v>http://dx.doi.org/10.3189/2016AoG71A024</v>
      </c>
      <c r="BG153" t="s">
        <v>74</v>
      </c>
      <c r="BH153" t="s">
        <v>74</v>
      </c>
      <c r="BI153">
        <v>9</v>
      </c>
      <c r="BJ153" t="s">
        <v>2247</v>
      </c>
      <c r="BK153" t="s">
        <v>1661</v>
      </c>
      <c r="BL153" t="s">
        <v>2248</v>
      </c>
      <c r="BM153" t="s">
        <v>2962</v>
      </c>
      <c r="BN153" t="s">
        <v>74</v>
      </c>
      <c r="BO153" t="s">
        <v>99</v>
      </c>
      <c r="BP153" t="s">
        <v>74</v>
      </c>
      <c r="BQ153" t="s">
        <v>74</v>
      </c>
      <c r="BR153" t="s">
        <v>100</v>
      </c>
      <c r="BS153" t="s">
        <v>2963</v>
      </c>
      <c r="BT153" t="str">
        <f>HYPERLINK("https%3A%2F%2Fwww.webofscience.com%2Fwos%2Fwoscc%2Ffull-record%2FWOS:000384891500028","View Full Record in Web of Science")</f>
        <v>View Full Record in Web of Science</v>
      </c>
    </row>
    <row r="154" spans="1:72" x14ac:dyDescent="0.15">
      <c r="A154" t="s">
        <v>72</v>
      </c>
      <c r="B154" t="s">
        <v>2964</v>
      </c>
      <c r="C154" t="s">
        <v>74</v>
      </c>
      <c r="D154" t="s">
        <v>74</v>
      </c>
      <c r="E154" t="s">
        <v>74</v>
      </c>
      <c r="F154" t="s">
        <v>2965</v>
      </c>
      <c r="G154" t="s">
        <v>74</v>
      </c>
      <c r="H154" t="s">
        <v>74</v>
      </c>
      <c r="I154" t="s">
        <v>2966</v>
      </c>
      <c r="J154" t="s">
        <v>2967</v>
      </c>
      <c r="K154" t="s">
        <v>74</v>
      </c>
      <c r="L154" t="s">
        <v>74</v>
      </c>
      <c r="M154" t="s">
        <v>200</v>
      </c>
      <c r="N154" t="s">
        <v>79</v>
      </c>
      <c r="O154" t="s">
        <v>74</v>
      </c>
      <c r="P154" t="s">
        <v>74</v>
      </c>
      <c r="Q154" t="s">
        <v>74</v>
      </c>
      <c r="R154" t="s">
        <v>74</v>
      </c>
      <c r="S154" t="s">
        <v>74</v>
      </c>
      <c r="T154" t="s">
        <v>2968</v>
      </c>
      <c r="U154" t="s">
        <v>2969</v>
      </c>
      <c r="V154" t="s">
        <v>2970</v>
      </c>
      <c r="W154" t="s">
        <v>2971</v>
      </c>
      <c r="X154" t="s">
        <v>2972</v>
      </c>
      <c r="Y154" t="s">
        <v>2973</v>
      </c>
      <c r="Z154" t="s">
        <v>2974</v>
      </c>
      <c r="AA154" t="s">
        <v>2975</v>
      </c>
      <c r="AB154" t="s">
        <v>2976</v>
      </c>
      <c r="AC154" t="s">
        <v>74</v>
      </c>
      <c r="AD154" t="s">
        <v>74</v>
      </c>
      <c r="AE154" t="s">
        <v>74</v>
      </c>
      <c r="AF154" t="s">
        <v>74</v>
      </c>
      <c r="AG154">
        <v>68</v>
      </c>
      <c r="AH154">
        <v>6</v>
      </c>
      <c r="AI154">
        <v>6</v>
      </c>
      <c r="AJ154">
        <v>0</v>
      </c>
      <c r="AK154">
        <v>23</v>
      </c>
      <c r="AL154" t="s">
        <v>2977</v>
      </c>
      <c r="AM154" t="s">
        <v>2978</v>
      </c>
      <c r="AN154" t="s">
        <v>2979</v>
      </c>
      <c r="AO154" t="s">
        <v>2980</v>
      </c>
      <c r="AP154" t="s">
        <v>2981</v>
      </c>
      <c r="AQ154" t="s">
        <v>74</v>
      </c>
      <c r="AR154" t="s">
        <v>2982</v>
      </c>
      <c r="AS154" t="s">
        <v>2983</v>
      </c>
      <c r="AT154" t="s">
        <v>74</v>
      </c>
      <c r="AU154">
        <v>2016</v>
      </c>
      <c r="AV154">
        <v>37</v>
      </c>
      <c r="AW154">
        <v>3</v>
      </c>
      <c r="AX154" t="s">
        <v>74</v>
      </c>
      <c r="AY154" t="s">
        <v>74</v>
      </c>
      <c r="AZ154" t="s">
        <v>74</v>
      </c>
      <c r="BA154" t="s">
        <v>74</v>
      </c>
      <c r="BB154">
        <v>444</v>
      </c>
      <c r="BC154">
        <v>458</v>
      </c>
      <c r="BD154" t="s">
        <v>74</v>
      </c>
      <c r="BE154" t="s">
        <v>2984</v>
      </c>
      <c r="BF154" t="str">
        <f>HYPERLINK("http://dx.doi.org/10.1163/22941932-20160146","http://dx.doi.org/10.1163/22941932-20160146")</f>
        <v>http://dx.doi.org/10.1163/22941932-20160146</v>
      </c>
      <c r="BG154" t="s">
        <v>74</v>
      </c>
      <c r="BH154" t="s">
        <v>74</v>
      </c>
      <c r="BI154">
        <v>15</v>
      </c>
      <c r="BJ154" t="s">
        <v>2985</v>
      </c>
      <c r="BK154" t="s">
        <v>264</v>
      </c>
      <c r="BL154" t="s">
        <v>2985</v>
      </c>
      <c r="BM154" t="s">
        <v>2986</v>
      </c>
      <c r="BN154" t="s">
        <v>74</v>
      </c>
      <c r="BO154" t="s">
        <v>2987</v>
      </c>
      <c r="BP154" t="s">
        <v>74</v>
      </c>
      <c r="BQ154" t="s">
        <v>74</v>
      </c>
      <c r="BR154" t="s">
        <v>100</v>
      </c>
      <c r="BS154" t="s">
        <v>2988</v>
      </c>
      <c r="BT154" t="str">
        <f>HYPERLINK("https%3A%2F%2Fwww.webofscience.com%2Fwos%2Fwoscc%2Ffull-record%2FWOS:000384902400007","View Full Record in Web of Science")</f>
        <v>View Full Record in Web of Science</v>
      </c>
    </row>
    <row r="155" spans="1:72" x14ac:dyDescent="0.15">
      <c r="A155" t="s">
        <v>72</v>
      </c>
      <c r="B155" t="s">
        <v>2989</v>
      </c>
      <c r="C155" t="s">
        <v>74</v>
      </c>
      <c r="D155" t="s">
        <v>74</v>
      </c>
      <c r="E155" t="s">
        <v>74</v>
      </c>
      <c r="F155" t="s">
        <v>2990</v>
      </c>
      <c r="G155" t="s">
        <v>74</v>
      </c>
      <c r="H155" t="s">
        <v>74</v>
      </c>
      <c r="I155" t="s">
        <v>2991</v>
      </c>
      <c r="J155" t="s">
        <v>2992</v>
      </c>
      <c r="K155" t="s">
        <v>74</v>
      </c>
      <c r="L155" t="s">
        <v>74</v>
      </c>
      <c r="M155" t="s">
        <v>200</v>
      </c>
      <c r="N155" t="s">
        <v>79</v>
      </c>
      <c r="O155" t="s">
        <v>74</v>
      </c>
      <c r="P155" t="s">
        <v>74</v>
      </c>
      <c r="Q155" t="s">
        <v>74</v>
      </c>
      <c r="R155" t="s">
        <v>74</v>
      </c>
      <c r="S155" t="s">
        <v>74</v>
      </c>
      <c r="T155" t="s">
        <v>74</v>
      </c>
      <c r="U155" t="s">
        <v>2993</v>
      </c>
      <c r="V155" t="s">
        <v>2994</v>
      </c>
      <c r="W155" t="s">
        <v>2995</v>
      </c>
      <c r="X155" t="s">
        <v>2996</v>
      </c>
      <c r="Y155" t="s">
        <v>2997</v>
      </c>
      <c r="Z155" t="s">
        <v>2998</v>
      </c>
      <c r="AA155" t="s">
        <v>2999</v>
      </c>
      <c r="AB155" t="s">
        <v>3000</v>
      </c>
      <c r="AC155" t="s">
        <v>3001</v>
      </c>
      <c r="AD155" t="s">
        <v>3002</v>
      </c>
      <c r="AE155" t="s">
        <v>3003</v>
      </c>
      <c r="AF155" t="s">
        <v>74</v>
      </c>
      <c r="AG155">
        <v>59</v>
      </c>
      <c r="AH155">
        <v>8</v>
      </c>
      <c r="AI155">
        <v>8</v>
      </c>
      <c r="AJ155">
        <v>5</v>
      </c>
      <c r="AK155">
        <v>34</v>
      </c>
      <c r="AL155" t="s">
        <v>3004</v>
      </c>
      <c r="AM155" t="s">
        <v>2100</v>
      </c>
      <c r="AN155" t="s">
        <v>3005</v>
      </c>
      <c r="AO155" t="s">
        <v>3006</v>
      </c>
      <c r="AP155" t="s">
        <v>74</v>
      </c>
      <c r="AQ155" t="s">
        <v>74</v>
      </c>
      <c r="AR155" t="s">
        <v>2992</v>
      </c>
      <c r="AS155" t="s">
        <v>3007</v>
      </c>
      <c r="AT155" t="s">
        <v>74</v>
      </c>
      <c r="AU155">
        <v>2016</v>
      </c>
      <c r="AV155">
        <v>6</v>
      </c>
      <c r="AW155">
        <v>7</v>
      </c>
      <c r="AX155" t="s">
        <v>74</v>
      </c>
      <c r="AY155" t="s">
        <v>74</v>
      </c>
      <c r="AZ155" t="s">
        <v>74</v>
      </c>
      <c r="BA155" t="s">
        <v>74</v>
      </c>
      <c r="BB155" t="s">
        <v>74</v>
      </c>
      <c r="BC155" t="s">
        <v>74</v>
      </c>
      <c r="BD155" t="s">
        <v>3008</v>
      </c>
      <c r="BE155" t="s">
        <v>3009</v>
      </c>
      <c r="BF155" t="str">
        <f>HYPERLINK("http://dx.doi.org/10.1136/bmjopen-2016-011790","http://dx.doi.org/10.1136/bmjopen-2016-011790")</f>
        <v>http://dx.doi.org/10.1136/bmjopen-2016-011790</v>
      </c>
      <c r="BG155" t="s">
        <v>74</v>
      </c>
      <c r="BH155" t="s">
        <v>74</v>
      </c>
      <c r="BI155">
        <v>10</v>
      </c>
      <c r="BJ155" t="s">
        <v>3010</v>
      </c>
      <c r="BK155" t="s">
        <v>710</v>
      </c>
      <c r="BL155" t="s">
        <v>3011</v>
      </c>
      <c r="BM155" t="s">
        <v>3012</v>
      </c>
      <c r="BN155">
        <v>27401364</v>
      </c>
      <c r="BO155" t="s">
        <v>523</v>
      </c>
      <c r="BP155" t="s">
        <v>74</v>
      </c>
      <c r="BQ155" t="s">
        <v>74</v>
      </c>
      <c r="BR155" t="s">
        <v>100</v>
      </c>
      <c r="BS155" t="s">
        <v>3013</v>
      </c>
      <c r="BT155" t="str">
        <f>HYPERLINK("https%3A%2F%2Fwww.webofscience.com%2Fwos%2Fwoscc%2Ffull-record%2FWOS:000382252100130","View Full Record in Web of Science")</f>
        <v>View Full Record in Web of Science</v>
      </c>
    </row>
    <row r="156" spans="1:72" x14ac:dyDescent="0.15">
      <c r="A156" t="s">
        <v>72</v>
      </c>
      <c r="B156" t="s">
        <v>3014</v>
      </c>
      <c r="C156" t="s">
        <v>74</v>
      </c>
      <c r="D156" t="s">
        <v>74</v>
      </c>
      <c r="E156" t="s">
        <v>74</v>
      </c>
      <c r="F156" t="s">
        <v>3015</v>
      </c>
      <c r="G156" t="s">
        <v>74</v>
      </c>
      <c r="H156" t="s">
        <v>74</v>
      </c>
      <c r="I156" t="s">
        <v>3016</v>
      </c>
      <c r="J156" t="s">
        <v>3017</v>
      </c>
      <c r="K156" t="s">
        <v>74</v>
      </c>
      <c r="L156" t="s">
        <v>74</v>
      </c>
      <c r="M156" t="s">
        <v>200</v>
      </c>
      <c r="N156" t="s">
        <v>79</v>
      </c>
      <c r="O156" t="s">
        <v>74</v>
      </c>
      <c r="P156" t="s">
        <v>74</v>
      </c>
      <c r="Q156" t="s">
        <v>74</v>
      </c>
      <c r="R156" t="s">
        <v>74</v>
      </c>
      <c r="S156" t="s">
        <v>74</v>
      </c>
      <c r="T156" t="s">
        <v>3018</v>
      </c>
      <c r="U156" t="s">
        <v>3019</v>
      </c>
      <c r="V156" t="s">
        <v>3020</v>
      </c>
      <c r="W156" t="s">
        <v>3021</v>
      </c>
      <c r="X156" t="s">
        <v>3022</v>
      </c>
      <c r="Y156" t="s">
        <v>3023</v>
      </c>
      <c r="Z156" t="s">
        <v>3024</v>
      </c>
      <c r="AA156" t="s">
        <v>3025</v>
      </c>
      <c r="AB156" t="s">
        <v>3026</v>
      </c>
      <c r="AC156" t="s">
        <v>3027</v>
      </c>
      <c r="AD156" t="s">
        <v>3027</v>
      </c>
      <c r="AE156" t="s">
        <v>3028</v>
      </c>
      <c r="AF156" t="s">
        <v>74</v>
      </c>
      <c r="AG156">
        <v>55</v>
      </c>
      <c r="AH156">
        <v>13</v>
      </c>
      <c r="AI156">
        <v>13</v>
      </c>
      <c r="AJ156">
        <v>0</v>
      </c>
      <c r="AK156">
        <v>22</v>
      </c>
      <c r="AL156" t="s">
        <v>3029</v>
      </c>
      <c r="AM156" t="s">
        <v>3030</v>
      </c>
      <c r="AN156" t="s">
        <v>3031</v>
      </c>
      <c r="AO156" t="s">
        <v>3032</v>
      </c>
      <c r="AP156" t="s">
        <v>3033</v>
      </c>
      <c r="AQ156" t="s">
        <v>74</v>
      </c>
      <c r="AR156" t="s">
        <v>3034</v>
      </c>
      <c r="AS156" t="s">
        <v>3035</v>
      </c>
      <c r="AT156" t="s">
        <v>74</v>
      </c>
      <c r="AU156">
        <v>2016</v>
      </c>
      <c r="AV156">
        <v>17</v>
      </c>
      <c r="AW156">
        <v>1</v>
      </c>
      <c r="AX156" t="s">
        <v>74</v>
      </c>
      <c r="AY156" t="s">
        <v>74</v>
      </c>
      <c r="AZ156" t="s">
        <v>74</v>
      </c>
      <c r="BA156" t="s">
        <v>74</v>
      </c>
      <c r="BB156">
        <v>21</v>
      </c>
      <c r="BC156">
        <v>34</v>
      </c>
      <c r="BD156" t="s">
        <v>74</v>
      </c>
      <c r="BE156" t="s">
        <v>74</v>
      </c>
      <c r="BF156" t="s">
        <v>74</v>
      </c>
      <c r="BG156" t="s">
        <v>74</v>
      </c>
      <c r="BH156" t="s">
        <v>74</v>
      </c>
      <c r="BI156">
        <v>14</v>
      </c>
      <c r="BJ156" t="s">
        <v>3036</v>
      </c>
      <c r="BK156" t="s">
        <v>264</v>
      </c>
      <c r="BL156" t="s">
        <v>3037</v>
      </c>
      <c r="BM156" t="s">
        <v>3038</v>
      </c>
      <c r="BN156" t="s">
        <v>74</v>
      </c>
      <c r="BO156" t="s">
        <v>74</v>
      </c>
      <c r="BP156" t="s">
        <v>74</v>
      </c>
      <c r="BQ156" t="s">
        <v>74</v>
      </c>
      <c r="BR156" t="s">
        <v>100</v>
      </c>
      <c r="BS156" t="s">
        <v>3039</v>
      </c>
      <c r="BT156" t="str">
        <f>HYPERLINK("https%3A%2F%2Fwww.webofscience.com%2Fwos%2Fwoscc%2Ffull-record%2FWOS:000384803400002","View Full Record in Web of Science")</f>
        <v>View Full Record in Web of Science</v>
      </c>
    </row>
    <row r="157" spans="1:72" x14ac:dyDescent="0.15">
      <c r="A157" t="s">
        <v>72</v>
      </c>
      <c r="B157" t="s">
        <v>3040</v>
      </c>
      <c r="C157" t="s">
        <v>74</v>
      </c>
      <c r="D157" t="s">
        <v>74</v>
      </c>
      <c r="E157" t="s">
        <v>74</v>
      </c>
      <c r="F157" t="s">
        <v>3041</v>
      </c>
      <c r="G157" t="s">
        <v>74</v>
      </c>
      <c r="H157" t="s">
        <v>74</v>
      </c>
      <c r="I157" t="s">
        <v>3042</v>
      </c>
      <c r="J157" t="s">
        <v>3043</v>
      </c>
      <c r="K157" t="s">
        <v>74</v>
      </c>
      <c r="L157" t="s">
        <v>74</v>
      </c>
      <c r="M157" t="s">
        <v>200</v>
      </c>
      <c r="N157" t="s">
        <v>79</v>
      </c>
      <c r="O157" t="s">
        <v>74</v>
      </c>
      <c r="P157" t="s">
        <v>74</v>
      </c>
      <c r="Q157" t="s">
        <v>74</v>
      </c>
      <c r="R157" t="s">
        <v>74</v>
      </c>
      <c r="S157" t="s">
        <v>74</v>
      </c>
      <c r="T157" t="s">
        <v>3044</v>
      </c>
      <c r="U157" t="s">
        <v>3045</v>
      </c>
      <c r="V157" t="s">
        <v>3046</v>
      </c>
      <c r="W157" t="s">
        <v>3047</v>
      </c>
      <c r="X157" t="s">
        <v>3048</v>
      </c>
      <c r="Y157" t="s">
        <v>3049</v>
      </c>
      <c r="Z157" t="s">
        <v>3050</v>
      </c>
      <c r="AA157" t="s">
        <v>3051</v>
      </c>
      <c r="AB157" t="s">
        <v>74</v>
      </c>
      <c r="AC157" t="s">
        <v>3052</v>
      </c>
      <c r="AD157" t="s">
        <v>3053</v>
      </c>
      <c r="AE157" t="s">
        <v>3054</v>
      </c>
      <c r="AF157" t="s">
        <v>74</v>
      </c>
      <c r="AG157">
        <v>93</v>
      </c>
      <c r="AH157">
        <v>3</v>
      </c>
      <c r="AI157">
        <v>3</v>
      </c>
      <c r="AJ157">
        <v>0</v>
      </c>
      <c r="AK157">
        <v>11</v>
      </c>
      <c r="AL157" t="s">
        <v>380</v>
      </c>
      <c r="AM157" t="s">
        <v>381</v>
      </c>
      <c r="AN157" t="s">
        <v>382</v>
      </c>
      <c r="AO157" t="s">
        <v>3055</v>
      </c>
      <c r="AP157" t="s">
        <v>3056</v>
      </c>
      <c r="AQ157" t="s">
        <v>74</v>
      </c>
      <c r="AR157" t="s">
        <v>3057</v>
      </c>
      <c r="AS157" t="s">
        <v>3058</v>
      </c>
      <c r="AT157" t="s">
        <v>74</v>
      </c>
      <c r="AU157">
        <v>2016</v>
      </c>
      <c r="AV157">
        <v>67</v>
      </c>
      <c r="AW157">
        <v>10</v>
      </c>
      <c r="AX157" t="s">
        <v>74</v>
      </c>
      <c r="AY157" t="s">
        <v>74</v>
      </c>
      <c r="AZ157" t="s">
        <v>74</v>
      </c>
      <c r="BA157" t="s">
        <v>74</v>
      </c>
      <c r="BB157">
        <v>1546</v>
      </c>
      <c r="BC157">
        <v>1561</v>
      </c>
      <c r="BD157" t="s">
        <v>74</v>
      </c>
      <c r="BE157" t="s">
        <v>3059</v>
      </c>
      <c r="BF157" t="str">
        <f>HYPERLINK("http://dx.doi.org/10.1071/MF15176","http://dx.doi.org/10.1071/MF15176")</f>
        <v>http://dx.doi.org/10.1071/MF15176</v>
      </c>
      <c r="BG157" t="s">
        <v>74</v>
      </c>
      <c r="BH157" t="s">
        <v>74</v>
      </c>
      <c r="BI157">
        <v>16</v>
      </c>
      <c r="BJ157" t="s">
        <v>3060</v>
      </c>
      <c r="BK157" t="s">
        <v>264</v>
      </c>
      <c r="BL157" t="s">
        <v>3061</v>
      </c>
      <c r="BM157" t="s">
        <v>3062</v>
      </c>
      <c r="BN157" t="s">
        <v>74</v>
      </c>
      <c r="BO157" t="s">
        <v>74</v>
      </c>
      <c r="BP157" t="s">
        <v>74</v>
      </c>
      <c r="BQ157" t="s">
        <v>74</v>
      </c>
      <c r="BR157" t="s">
        <v>100</v>
      </c>
      <c r="BS157" t="s">
        <v>3063</v>
      </c>
      <c r="BT157" t="str">
        <f>HYPERLINK("https%3A%2F%2Fwww.webofscience.com%2Fwos%2Fwoscc%2Ffull-record%2FWOS:000384453700014","View Full Record in Web of Science")</f>
        <v>View Full Record in Web of Science</v>
      </c>
    </row>
    <row r="158" spans="1:72" x14ac:dyDescent="0.15">
      <c r="A158" t="s">
        <v>72</v>
      </c>
      <c r="B158" t="s">
        <v>3064</v>
      </c>
      <c r="C158" t="s">
        <v>74</v>
      </c>
      <c r="D158" t="s">
        <v>74</v>
      </c>
      <c r="E158" t="s">
        <v>74</v>
      </c>
      <c r="F158" t="s">
        <v>3065</v>
      </c>
      <c r="G158" t="s">
        <v>74</v>
      </c>
      <c r="H158" t="s">
        <v>74</v>
      </c>
      <c r="I158" t="s">
        <v>3066</v>
      </c>
      <c r="J158" t="s">
        <v>3067</v>
      </c>
      <c r="K158" t="s">
        <v>74</v>
      </c>
      <c r="L158" t="s">
        <v>74</v>
      </c>
      <c r="M158" t="s">
        <v>200</v>
      </c>
      <c r="N158" t="s">
        <v>79</v>
      </c>
      <c r="O158" t="s">
        <v>74</v>
      </c>
      <c r="P158" t="s">
        <v>74</v>
      </c>
      <c r="Q158" t="s">
        <v>74</v>
      </c>
      <c r="R158" t="s">
        <v>74</v>
      </c>
      <c r="S158" t="s">
        <v>74</v>
      </c>
      <c r="T158" t="s">
        <v>3068</v>
      </c>
      <c r="U158" t="s">
        <v>3069</v>
      </c>
      <c r="V158" t="s">
        <v>3070</v>
      </c>
      <c r="W158" t="s">
        <v>3071</v>
      </c>
      <c r="X158" t="s">
        <v>3072</v>
      </c>
      <c r="Y158" t="s">
        <v>3073</v>
      </c>
      <c r="Z158" t="s">
        <v>3074</v>
      </c>
      <c r="AA158" t="s">
        <v>3075</v>
      </c>
      <c r="AB158" t="s">
        <v>3076</v>
      </c>
      <c r="AC158" t="s">
        <v>74</v>
      </c>
      <c r="AD158" t="s">
        <v>74</v>
      </c>
      <c r="AE158" t="s">
        <v>74</v>
      </c>
      <c r="AF158" t="s">
        <v>74</v>
      </c>
      <c r="AG158">
        <v>32</v>
      </c>
      <c r="AH158">
        <v>18</v>
      </c>
      <c r="AI158">
        <v>19</v>
      </c>
      <c r="AJ158">
        <v>0</v>
      </c>
      <c r="AK158">
        <v>7</v>
      </c>
      <c r="AL158" t="s">
        <v>3077</v>
      </c>
      <c r="AM158" t="s">
        <v>3078</v>
      </c>
      <c r="AN158" t="s">
        <v>3079</v>
      </c>
      <c r="AO158" t="s">
        <v>3080</v>
      </c>
      <c r="AP158" t="s">
        <v>3081</v>
      </c>
      <c r="AQ158" t="s">
        <v>74</v>
      </c>
      <c r="AR158" t="s">
        <v>3082</v>
      </c>
      <c r="AS158" t="s">
        <v>3083</v>
      </c>
      <c r="AT158" t="s">
        <v>74</v>
      </c>
      <c r="AU158">
        <v>2016</v>
      </c>
      <c r="AV158">
        <v>42</v>
      </c>
      <c r="AW158">
        <v>2</v>
      </c>
      <c r="AX158" t="s">
        <v>74</v>
      </c>
      <c r="AY158" t="s">
        <v>74</v>
      </c>
      <c r="AZ158" t="s">
        <v>74</v>
      </c>
      <c r="BA158" t="s">
        <v>74</v>
      </c>
      <c r="BB158">
        <v>457</v>
      </c>
      <c r="BC158">
        <v>474</v>
      </c>
      <c r="BD158" t="s">
        <v>74</v>
      </c>
      <c r="BE158" t="s">
        <v>3084</v>
      </c>
      <c r="BF158" t="str">
        <f>HYPERLINK("http://dx.doi.org/10.18172/cig.2915","http://dx.doi.org/10.18172/cig.2915")</f>
        <v>http://dx.doi.org/10.18172/cig.2915</v>
      </c>
      <c r="BG158" t="s">
        <v>74</v>
      </c>
      <c r="BH158" t="s">
        <v>74</v>
      </c>
      <c r="BI158">
        <v>18</v>
      </c>
      <c r="BJ158" t="s">
        <v>2747</v>
      </c>
      <c r="BK158" t="s">
        <v>96</v>
      </c>
      <c r="BL158" t="s">
        <v>2748</v>
      </c>
      <c r="BM158" t="s">
        <v>3085</v>
      </c>
      <c r="BN158" t="s">
        <v>74</v>
      </c>
      <c r="BO158" t="s">
        <v>2134</v>
      </c>
      <c r="BP158" t="s">
        <v>74</v>
      </c>
      <c r="BQ158" t="s">
        <v>74</v>
      </c>
      <c r="BR158" t="s">
        <v>100</v>
      </c>
      <c r="BS158" t="s">
        <v>3086</v>
      </c>
      <c r="BT158" t="str">
        <f>HYPERLINK("https%3A%2F%2Fwww.webofscience.com%2Fwos%2Fwoscc%2Ffull-record%2FWOS:000384226300009","View Full Record in Web of Science")</f>
        <v>View Full Record in Web of Science</v>
      </c>
    </row>
    <row r="159" spans="1:72" x14ac:dyDescent="0.15">
      <c r="A159" t="s">
        <v>72</v>
      </c>
      <c r="B159" t="s">
        <v>3087</v>
      </c>
      <c r="C159" t="s">
        <v>74</v>
      </c>
      <c r="D159" t="s">
        <v>74</v>
      </c>
      <c r="E159" t="s">
        <v>74</v>
      </c>
      <c r="F159" t="s">
        <v>3088</v>
      </c>
      <c r="G159" t="s">
        <v>74</v>
      </c>
      <c r="H159" t="s">
        <v>74</v>
      </c>
      <c r="I159" t="s">
        <v>3089</v>
      </c>
      <c r="J159" t="s">
        <v>3067</v>
      </c>
      <c r="K159" t="s">
        <v>74</v>
      </c>
      <c r="L159" t="s">
        <v>74</v>
      </c>
      <c r="M159" t="s">
        <v>200</v>
      </c>
      <c r="N159" t="s">
        <v>79</v>
      </c>
      <c r="O159" t="s">
        <v>74</v>
      </c>
      <c r="P159" t="s">
        <v>74</v>
      </c>
      <c r="Q159" t="s">
        <v>74</v>
      </c>
      <c r="R159" t="s">
        <v>74</v>
      </c>
      <c r="S159" t="s">
        <v>74</v>
      </c>
      <c r="T159" t="s">
        <v>3090</v>
      </c>
      <c r="U159" t="s">
        <v>3091</v>
      </c>
      <c r="V159" t="s">
        <v>3092</v>
      </c>
      <c r="W159" t="s">
        <v>3093</v>
      </c>
      <c r="X159" t="s">
        <v>3094</v>
      </c>
      <c r="Y159" t="s">
        <v>3095</v>
      </c>
      <c r="Z159" t="s">
        <v>3096</v>
      </c>
      <c r="AA159" t="s">
        <v>3097</v>
      </c>
      <c r="AB159" t="s">
        <v>3098</v>
      </c>
      <c r="AC159" t="s">
        <v>74</v>
      </c>
      <c r="AD159" t="s">
        <v>74</v>
      </c>
      <c r="AE159" t="s">
        <v>74</v>
      </c>
      <c r="AF159" t="s">
        <v>74</v>
      </c>
      <c r="AG159">
        <v>69</v>
      </c>
      <c r="AH159">
        <v>8</v>
      </c>
      <c r="AI159">
        <v>9</v>
      </c>
      <c r="AJ159">
        <v>0</v>
      </c>
      <c r="AK159">
        <v>7</v>
      </c>
      <c r="AL159" t="s">
        <v>3077</v>
      </c>
      <c r="AM159" t="s">
        <v>3078</v>
      </c>
      <c r="AN159" t="s">
        <v>3079</v>
      </c>
      <c r="AO159" t="s">
        <v>3080</v>
      </c>
      <c r="AP159" t="s">
        <v>3081</v>
      </c>
      <c r="AQ159" t="s">
        <v>74</v>
      </c>
      <c r="AR159" t="s">
        <v>3082</v>
      </c>
      <c r="AS159" t="s">
        <v>3083</v>
      </c>
      <c r="AT159" t="s">
        <v>74</v>
      </c>
      <c r="AU159">
        <v>2016</v>
      </c>
      <c r="AV159">
        <v>42</v>
      </c>
      <c r="AW159">
        <v>2</v>
      </c>
      <c r="AX159" t="s">
        <v>74</v>
      </c>
      <c r="AY159" t="s">
        <v>74</v>
      </c>
      <c r="AZ159" t="s">
        <v>74</v>
      </c>
      <c r="BA159" t="s">
        <v>74</v>
      </c>
      <c r="BB159">
        <v>475</v>
      </c>
      <c r="BC159">
        <v>495</v>
      </c>
      <c r="BD159" t="s">
        <v>74</v>
      </c>
      <c r="BE159" t="s">
        <v>3099</v>
      </c>
      <c r="BF159" t="str">
        <f>HYPERLINK("http://dx.doi.org/10.18172/cig.2917","http://dx.doi.org/10.18172/cig.2917")</f>
        <v>http://dx.doi.org/10.18172/cig.2917</v>
      </c>
      <c r="BG159" t="s">
        <v>74</v>
      </c>
      <c r="BH159" t="s">
        <v>74</v>
      </c>
      <c r="BI159">
        <v>21</v>
      </c>
      <c r="BJ159" t="s">
        <v>2747</v>
      </c>
      <c r="BK159" t="s">
        <v>96</v>
      </c>
      <c r="BL159" t="s">
        <v>2748</v>
      </c>
      <c r="BM159" t="s">
        <v>3085</v>
      </c>
      <c r="BN159" t="s">
        <v>74</v>
      </c>
      <c r="BO159" t="s">
        <v>2134</v>
      </c>
      <c r="BP159" t="s">
        <v>74</v>
      </c>
      <c r="BQ159" t="s">
        <v>74</v>
      </c>
      <c r="BR159" t="s">
        <v>100</v>
      </c>
      <c r="BS159" t="s">
        <v>3100</v>
      </c>
      <c r="BT159" t="str">
        <f>HYPERLINK("https%3A%2F%2Fwww.webofscience.com%2Fwos%2Fwoscc%2Ffull-record%2FWOS:000384226300010","View Full Record in Web of Science")</f>
        <v>View Full Record in Web of Science</v>
      </c>
    </row>
    <row r="160" spans="1:72" x14ac:dyDescent="0.15">
      <c r="A160" t="s">
        <v>72</v>
      </c>
      <c r="B160" t="s">
        <v>3101</v>
      </c>
      <c r="C160" t="s">
        <v>74</v>
      </c>
      <c r="D160" t="s">
        <v>74</v>
      </c>
      <c r="E160" t="s">
        <v>74</v>
      </c>
      <c r="F160" t="s">
        <v>3102</v>
      </c>
      <c r="G160" t="s">
        <v>74</v>
      </c>
      <c r="H160" t="s">
        <v>74</v>
      </c>
      <c r="I160" t="s">
        <v>3103</v>
      </c>
      <c r="J160" t="s">
        <v>3104</v>
      </c>
      <c r="K160" t="s">
        <v>74</v>
      </c>
      <c r="L160" t="s">
        <v>74</v>
      </c>
      <c r="M160" t="s">
        <v>609</v>
      </c>
      <c r="N160" t="s">
        <v>79</v>
      </c>
      <c r="O160" t="s">
        <v>74</v>
      </c>
      <c r="P160" t="s">
        <v>74</v>
      </c>
      <c r="Q160" t="s">
        <v>74</v>
      </c>
      <c r="R160" t="s">
        <v>74</v>
      </c>
      <c r="S160" t="s">
        <v>74</v>
      </c>
      <c r="T160" t="s">
        <v>3105</v>
      </c>
      <c r="U160" t="s">
        <v>74</v>
      </c>
      <c r="V160" t="s">
        <v>3106</v>
      </c>
      <c r="W160" t="s">
        <v>3107</v>
      </c>
      <c r="X160" t="s">
        <v>3108</v>
      </c>
      <c r="Y160" t="s">
        <v>3109</v>
      </c>
      <c r="Z160" t="s">
        <v>3110</v>
      </c>
      <c r="AA160" t="s">
        <v>74</v>
      </c>
      <c r="AB160" t="s">
        <v>74</v>
      </c>
      <c r="AC160" t="s">
        <v>74</v>
      </c>
      <c r="AD160" t="s">
        <v>74</v>
      </c>
      <c r="AE160" t="s">
        <v>74</v>
      </c>
      <c r="AF160" t="s">
        <v>74</v>
      </c>
      <c r="AG160">
        <v>31</v>
      </c>
      <c r="AH160">
        <v>0</v>
      </c>
      <c r="AI160">
        <v>0</v>
      </c>
      <c r="AJ160">
        <v>0</v>
      </c>
      <c r="AK160">
        <v>2</v>
      </c>
      <c r="AL160" t="s">
        <v>3111</v>
      </c>
      <c r="AM160" t="s">
        <v>3112</v>
      </c>
      <c r="AN160" t="s">
        <v>3113</v>
      </c>
      <c r="AO160" t="s">
        <v>3114</v>
      </c>
      <c r="AP160" t="s">
        <v>74</v>
      </c>
      <c r="AQ160" t="s">
        <v>74</v>
      </c>
      <c r="AR160" t="s">
        <v>3115</v>
      </c>
      <c r="AS160" t="s">
        <v>3116</v>
      </c>
      <c r="AT160" t="s">
        <v>643</v>
      </c>
      <c r="AU160">
        <v>2016</v>
      </c>
      <c r="AV160">
        <v>7</v>
      </c>
      <c r="AW160">
        <v>1</v>
      </c>
      <c r="AX160" t="s">
        <v>74</v>
      </c>
      <c r="AY160" t="s">
        <v>74</v>
      </c>
      <c r="AZ160" t="s">
        <v>74</v>
      </c>
      <c r="BA160" t="s">
        <v>74</v>
      </c>
      <c r="BB160">
        <v>1</v>
      </c>
      <c r="BC160">
        <v>21</v>
      </c>
      <c r="BD160" t="s">
        <v>74</v>
      </c>
      <c r="BE160" t="s">
        <v>74</v>
      </c>
      <c r="BF160" t="s">
        <v>74</v>
      </c>
      <c r="BG160" t="s">
        <v>74</v>
      </c>
      <c r="BH160" t="s">
        <v>74</v>
      </c>
      <c r="BI160">
        <v>21</v>
      </c>
      <c r="BJ160" t="s">
        <v>3117</v>
      </c>
      <c r="BK160" t="s">
        <v>96</v>
      </c>
      <c r="BL160" t="s">
        <v>3117</v>
      </c>
      <c r="BM160" t="s">
        <v>3118</v>
      </c>
      <c r="BN160" t="s">
        <v>74</v>
      </c>
      <c r="BO160" t="s">
        <v>74</v>
      </c>
      <c r="BP160" t="s">
        <v>74</v>
      </c>
      <c r="BQ160" t="s">
        <v>74</v>
      </c>
      <c r="BR160" t="s">
        <v>100</v>
      </c>
      <c r="BS160" t="s">
        <v>3119</v>
      </c>
      <c r="BT160" t="str">
        <f>HYPERLINK("https%3A%2F%2Fwww.webofscience.com%2Fwos%2Fwoscc%2Ffull-record%2FWOS:000382983500001","View Full Record in Web of Science")</f>
        <v>View Full Record in Web of Science</v>
      </c>
    </row>
    <row r="161" spans="1:72" x14ac:dyDescent="0.15">
      <c r="A161" t="s">
        <v>267</v>
      </c>
      <c r="B161" t="s">
        <v>3120</v>
      </c>
      <c r="C161" t="s">
        <v>74</v>
      </c>
      <c r="D161" t="s">
        <v>3121</v>
      </c>
      <c r="E161" t="s">
        <v>74</v>
      </c>
      <c r="F161" t="s">
        <v>3122</v>
      </c>
      <c r="G161" t="s">
        <v>74</v>
      </c>
      <c r="H161" t="s">
        <v>74</v>
      </c>
      <c r="I161" t="s">
        <v>3123</v>
      </c>
      <c r="J161" t="s">
        <v>3124</v>
      </c>
      <c r="K161" t="s">
        <v>3125</v>
      </c>
      <c r="L161" t="s">
        <v>74</v>
      </c>
      <c r="M161" t="s">
        <v>3126</v>
      </c>
      <c r="N161" t="s">
        <v>273</v>
      </c>
      <c r="O161" t="s">
        <v>3127</v>
      </c>
      <c r="P161" t="s">
        <v>3128</v>
      </c>
      <c r="Q161" t="s">
        <v>3129</v>
      </c>
      <c r="R161" t="s">
        <v>74</v>
      </c>
      <c r="S161" t="s">
        <v>74</v>
      </c>
      <c r="T161" t="s">
        <v>3130</v>
      </c>
      <c r="U161" t="s">
        <v>74</v>
      </c>
      <c r="V161" t="s">
        <v>3131</v>
      </c>
      <c r="W161" t="s">
        <v>3132</v>
      </c>
      <c r="X161" t="s">
        <v>3133</v>
      </c>
      <c r="Y161" t="s">
        <v>3134</v>
      </c>
      <c r="Z161" t="s">
        <v>3135</v>
      </c>
      <c r="AA161" t="s">
        <v>3136</v>
      </c>
      <c r="AB161" t="s">
        <v>3137</v>
      </c>
      <c r="AC161" t="s">
        <v>74</v>
      </c>
      <c r="AD161" t="s">
        <v>74</v>
      </c>
      <c r="AE161" t="s">
        <v>74</v>
      </c>
      <c r="AF161" t="s">
        <v>74</v>
      </c>
      <c r="AG161">
        <v>17</v>
      </c>
      <c r="AH161">
        <v>0</v>
      </c>
      <c r="AI161">
        <v>0</v>
      </c>
      <c r="AJ161">
        <v>0</v>
      </c>
      <c r="AK161">
        <v>1</v>
      </c>
      <c r="AL161" t="s">
        <v>269</v>
      </c>
      <c r="AM161" t="s">
        <v>289</v>
      </c>
      <c r="AN161" t="s">
        <v>290</v>
      </c>
      <c r="AO161" t="s">
        <v>3138</v>
      </c>
      <c r="AP161" t="s">
        <v>74</v>
      </c>
      <c r="AQ161" t="s">
        <v>3139</v>
      </c>
      <c r="AR161" t="s">
        <v>3140</v>
      </c>
      <c r="AS161" t="s">
        <v>74</v>
      </c>
      <c r="AT161" t="s">
        <v>74</v>
      </c>
      <c r="AU161">
        <v>2016</v>
      </c>
      <c r="AV161" t="s">
        <v>74</v>
      </c>
      <c r="AW161" t="s">
        <v>74</v>
      </c>
      <c r="AX161" t="s">
        <v>74</v>
      </c>
      <c r="AY161" t="s">
        <v>74</v>
      </c>
      <c r="AZ161" t="s">
        <v>74</v>
      </c>
      <c r="BA161" t="s">
        <v>74</v>
      </c>
      <c r="BB161" t="s">
        <v>74</v>
      </c>
      <c r="BC161" t="s">
        <v>74</v>
      </c>
      <c r="BD161" t="s">
        <v>74</v>
      </c>
      <c r="BE161" t="s">
        <v>74</v>
      </c>
      <c r="BF161" t="s">
        <v>74</v>
      </c>
      <c r="BG161" t="s">
        <v>74</v>
      </c>
      <c r="BH161" t="s">
        <v>74</v>
      </c>
      <c r="BI161">
        <v>6</v>
      </c>
      <c r="BJ161" t="s">
        <v>3141</v>
      </c>
      <c r="BK161" t="s">
        <v>293</v>
      </c>
      <c r="BL161" t="s">
        <v>1537</v>
      </c>
      <c r="BM161" t="s">
        <v>3142</v>
      </c>
      <c r="BN161" t="s">
        <v>74</v>
      </c>
      <c r="BO161" t="s">
        <v>74</v>
      </c>
      <c r="BP161" t="s">
        <v>74</v>
      </c>
      <c r="BQ161" t="s">
        <v>74</v>
      </c>
      <c r="BR161" t="s">
        <v>100</v>
      </c>
      <c r="BS161" t="s">
        <v>3143</v>
      </c>
      <c r="BT161" t="str">
        <f>HYPERLINK("https%3A%2F%2Fwww.webofscience.com%2Fwos%2Fwoscc%2Ffull-record%2FWOS:000382923300192","View Full Record in Web of Science")</f>
        <v>View Full Record in Web of Science</v>
      </c>
    </row>
    <row r="162" spans="1:72" x14ac:dyDescent="0.15">
      <c r="A162" t="s">
        <v>72</v>
      </c>
      <c r="B162" t="s">
        <v>3144</v>
      </c>
      <c r="C162" t="s">
        <v>74</v>
      </c>
      <c r="D162" t="s">
        <v>74</v>
      </c>
      <c r="E162" t="s">
        <v>74</v>
      </c>
      <c r="F162" t="s">
        <v>3145</v>
      </c>
      <c r="G162" t="s">
        <v>74</v>
      </c>
      <c r="H162" t="s">
        <v>74</v>
      </c>
      <c r="I162" t="s">
        <v>3146</v>
      </c>
      <c r="J162" t="s">
        <v>2524</v>
      </c>
      <c r="K162" t="s">
        <v>74</v>
      </c>
      <c r="L162" t="s">
        <v>74</v>
      </c>
      <c r="M162" t="s">
        <v>200</v>
      </c>
      <c r="N162" t="s">
        <v>79</v>
      </c>
      <c r="O162" t="s">
        <v>74</v>
      </c>
      <c r="P162" t="s">
        <v>74</v>
      </c>
      <c r="Q162" t="s">
        <v>74</v>
      </c>
      <c r="R162" t="s">
        <v>74</v>
      </c>
      <c r="S162" t="s">
        <v>74</v>
      </c>
      <c r="T162" t="s">
        <v>3147</v>
      </c>
      <c r="U162" t="s">
        <v>3148</v>
      </c>
      <c r="V162" t="s">
        <v>3149</v>
      </c>
      <c r="W162" t="s">
        <v>3150</v>
      </c>
      <c r="X162" t="s">
        <v>3151</v>
      </c>
      <c r="Y162" t="s">
        <v>3152</v>
      </c>
      <c r="Z162" t="s">
        <v>3153</v>
      </c>
      <c r="AA162" t="s">
        <v>3154</v>
      </c>
      <c r="AB162" t="s">
        <v>3155</v>
      </c>
      <c r="AC162" t="s">
        <v>3156</v>
      </c>
      <c r="AD162" t="s">
        <v>3157</v>
      </c>
      <c r="AE162" t="s">
        <v>3158</v>
      </c>
      <c r="AF162" t="s">
        <v>74</v>
      </c>
      <c r="AG162">
        <v>47</v>
      </c>
      <c r="AH162">
        <v>8</v>
      </c>
      <c r="AI162">
        <v>9</v>
      </c>
      <c r="AJ162">
        <v>0</v>
      </c>
      <c r="AK162">
        <v>3</v>
      </c>
      <c r="AL162" t="s">
        <v>502</v>
      </c>
      <c r="AM162" t="s">
        <v>503</v>
      </c>
      <c r="AN162" t="s">
        <v>504</v>
      </c>
      <c r="AO162" t="s">
        <v>2537</v>
      </c>
      <c r="AP162" t="s">
        <v>2538</v>
      </c>
      <c r="AQ162" t="s">
        <v>74</v>
      </c>
      <c r="AR162" t="s">
        <v>2524</v>
      </c>
      <c r="AS162" t="s">
        <v>2539</v>
      </c>
      <c r="AT162" t="s">
        <v>74</v>
      </c>
      <c r="AU162">
        <v>2016</v>
      </c>
      <c r="AV162">
        <v>40</v>
      </c>
      <c r="AW162">
        <v>3</v>
      </c>
      <c r="AX162" t="s">
        <v>74</v>
      </c>
      <c r="AY162" t="s">
        <v>74</v>
      </c>
      <c r="AZ162" t="s">
        <v>74</v>
      </c>
      <c r="BA162" t="s">
        <v>74</v>
      </c>
      <c r="BB162">
        <v>373</v>
      </c>
      <c r="BC162">
        <v>382</v>
      </c>
      <c r="BD162" t="s">
        <v>74</v>
      </c>
      <c r="BE162" t="s">
        <v>3159</v>
      </c>
      <c r="BF162" t="str">
        <f>HYPERLINK("http://dx.doi.org/10.1080/03115518.2016.1144994","http://dx.doi.org/10.1080/03115518.2016.1144994")</f>
        <v>http://dx.doi.org/10.1080/03115518.2016.1144994</v>
      </c>
      <c r="BG162" t="s">
        <v>74</v>
      </c>
      <c r="BH162" t="s">
        <v>74</v>
      </c>
      <c r="BI162">
        <v>10</v>
      </c>
      <c r="BJ162" t="s">
        <v>2542</v>
      </c>
      <c r="BK162" t="s">
        <v>264</v>
      </c>
      <c r="BL162" t="s">
        <v>2542</v>
      </c>
      <c r="BM162" t="s">
        <v>3160</v>
      </c>
      <c r="BN162" t="s">
        <v>74</v>
      </c>
      <c r="BO162" t="s">
        <v>74</v>
      </c>
      <c r="BP162" t="s">
        <v>74</v>
      </c>
      <c r="BQ162" t="s">
        <v>74</v>
      </c>
      <c r="BR162" t="s">
        <v>100</v>
      </c>
      <c r="BS162" t="s">
        <v>3161</v>
      </c>
      <c r="BT162" t="str">
        <f>HYPERLINK("https%3A%2F%2Fwww.webofscience.com%2Fwos%2Fwoscc%2Ffull-record%2FWOS:000383904200006","View Full Record in Web of Science")</f>
        <v>View Full Record in Web of Science</v>
      </c>
    </row>
    <row r="163" spans="1:72" x14ac:dyDescent="0.15">
      <c r="A163" t="s">
        <v>72</v>
      </c>
      <c r="B163" t="s">
        <v>3162</v>
      </c>
      <c r="C163" t="s">
        <v>74</v>
      </c>
      <c r="D163" t="s">
        <v>74</v>
      </c>
      <c r="E163" t="s">
        <v>74</v>
      </c>
      <c r="F163" t="s">
        <v>3163</v>
      </c>
      <c r="G163" t="s">
        <v>74</v>
      </c>
      <c r="H163" t="s">
        <v>74</v>
      </c>
      <c r="I163" t="s">
        <v>3164</v>
      </c>
      <c r="J163" t="s">
        <v>3165</v>
      </c>
      <c r="K163" t="s">
        <v>74</v>
      </c>
      <c r="L163" t="s">
        <v>74</v>
      </c>
      <c r="M163" t="s">
        <v>3166</v>
      </c>
      <c r="N163" t="s">
        <v>79</v>
      </c>
      <c r="O163" t="s">
        <v>74</v>
      </c>
      <c r="P163" t="s">
        <v>74</v>
      </c>
      <c r="Q163" t="s">
        <v>74</v>
      </c>
      <c r="R163" t="s">
        <v>74</v>
      </c>
      <c r="S163" t="s">
        <v>74</v>
      </c>
      <c r="T163" t="s">
        <v>74</v>
      </c>
      <c r="U163" t="s">
        <v>3167</v>
      </c>
      <c r="V163" t="s">
        <v>3168</v>
      </c>
      <c r="W163" t="s">
        <v>3169</v>
      </c>
      <c r="X163" t="s">
        <v>3170</v>
      </c>
      <c r="Y163" t="s">
        <v>3171</v>
      </c>
      <c r="Z163" t="s">
        <v>3172</v>
      </c>
      <c r="AA163" t="s">
        <v>3173</v>
      </c>
      <c r="AB163" t="s">
        <v>74</v>
      </c>
      <c r="AC163" t="s">
        <v>74</v>
      </c>
      <c r="AD163" t="s">
        <v>74</v>
      </c>
      <c r="AE163" t="s">
        <v>74</v>
      </c>
      <c r="AF163" t="s">
        <v>74</v>
      </c>
      <c r="AG163">
        <v>51</v>
      </c>
      <c r="AH163">
        <v>3</v>
      </c>
      <c r="AI163">
        <v>3</v>
      </c>
      <c r="AJ163">
        <v>1</v>
      </c>
      <c r="AK163">
        <v>12</v>
      </c>
      <c r="AL163" t="s">
        <v>3174</v>
      </c>
      <c r="AM163" t="s">
        <v>3175</v>
      </c>
      <c r="AN163" t="s">
        <v>3176</v>
      </c>
      <c r="AO163" t="s">
        <v>3177</v>
      </c>
      <c r="AP163" t="s">
        <v>3178</v>
      </c>
      <c r="AQ163" t="s">
        <v>74</v>
      </c>
      <c r="AR163" t="s">
        <v>3179</v>
      </c>
      <c r="AS163" t="s">
        <v>3180</v>
      </c>
      <c r="AT163" t="s">
        <v>74</v>
      </c>
      <c r="AU163">
        <v>2016</v>
      </c>
      <c r="AV163">
        <v>82</v>
      </c>
      <c r="AW163">
        <v>4</v>
      </c>
      <c r="AX163" t="s">
        <v>74</v>
      </c>
      <c r="AY163" t="s">
        <v>74</v>
      </c>
      <c r="AZ163" t="s">
        <v>74</v>
      </c>
      <c r="BA163" t="s">
        <v>74</v>
      </c>
      <c r="BB163">
        <v>587</v>
      </c>
      <c r="BC163">
        <v>600</v>
      </c>
      <c r="BD163" t="s">
        <v>74</v>
      </c>
      <c r="BE163" t="s">
        <v>3181</v>
      </c>
      <c r="BF163" t="str">
        <f>HYPERLINK("http://dx.doi.org/10.2331/suisan.15-00039","http://dx.doi.org/10.2331/suisan.15-00039")</f>
        <v>http://dx.doi.org/10.2331/suisan.15-00039</v>
      </c>
      <c r="BG163" t="s">
        <v>74</v>
      </c>
      <c r="BH163" t="s">
        <v>74</v>
      </c>
      <c r="BI163">
        <v>14</v>
      </c>
      <c r="BJ163" t="s">
        <v>263</v>
      </c>
      <c r="BK163" t="s">
        <v>264</v>
      </c>
      <c r="BL163" t="s">
        <v>263</v>
      </c>
      <c r="BM163" t="s">
        <v>3182</v>
      </c>
      <c r="BN163" t="s">
        <v>74</v>
      </c>
      <c r="BO163" t="s">
        <v>3183</v>
      </c>
      <c r="BP163" t="s">
        <v>74</v>
      </c>
      <c r="BQ163" t="s">
        <v>74</v>
      </c>
      <c r="BR163" t="s">
        <v>100</v>
      </c>
      <c r="BS163" t="s">
        <v>3184</v>
      </c>
      <c r="BT163" t="str">
        <f>HYPERLINK("https%3A%2F%2Fwww.webofscience.com%2Fwos%2Fwoscc%2Ffull-record%2FWOS:000383788600020","View Full Record in Web of Science")</f>
        <v>View Full Record in Web of Science</v>
      </c>
    </row>
    <row r="164" spans="1:72" x14ac:dyDescent="0.15">
      <c r="A164" t="s">
        <v>72</v>
      </c>
      <c r="B164" t="s">
        <v>3185</v>
      </c>
      <c r="C164" t="s">
        <v>74</v>
      </c>
      <c r="D164" t="s">
        <v>74</v>
      </c>
      <c r="E164" t="s">
        <v>74</v>
      </c>
      <c r="F164" t="s">
        <v>3186</v>
      </c>
      <c r="G164" t="s">
        <v>74</v>
      </c>
      <c r="H164" t="s">
        <v>74</v>
      </c>
      <c r="I164" t="s">
        <v>3187</v>
      </c>
      <c r="J164" t="s">
        <v>2619</v>
      </c>
      <c r="K164" t="s">
        <v>74</v>
      </c>
      <c r="L164" t="s">
        <v>74</v>
      </c>
      <c r="M164" t="s">
        <v>200</v>
      </c>
      <c r="N164" t="s">
        <v>79</v>
      </c>
      <c r="O164" t="s">
        <v>74</v>
      </c>
      <c r="P164" t="s">
        <v>74</v>
      </c>
      <c r="Q164" t="s">
        <v>74</v>
      </c>
      <c r="R164" t="s">
        <v>74</v>
      </c>
      <c r="S164" t="s">
        <v>74</v>
      </c>
      <c r="T164" t="s">
        <v>3188</v>
      </c>
      <c r="U164" t="s">
        <v>3189</v>
      </c>
      <c r="V164" t="s">
        <v>3190</v>
      </c>
      <c r="W164" t="s">
        <v>3191</v>
      </c>
      <c r="X164" t="s">
        <v>3192</v>
      </c>
      <c r="Y164" t="s">
        <v>3193</v>
      </c>
      <c r="Z164" t="s">
        <v>3194</v>
      </c>
      <c r="AA164" t="s">
        <v>74</v>
      </c>
      <c r="AB164" t="s">
        <v>3195</v>
      </c>
      <c r="AC164" t="s">
        <v>3196</v>
      </c>
      <c r="AD164" t="s">
        <v>3197</v>
      </c>
      <c r="AE164" t="s">
        <v>3198</v>
      </c>
      <c r="AF164" t="s">
        <v>74</v>
      </c>
      <c r="AG164">
        <v>75</v>
      </c>
      <c r="AH164">
        <v>9</v>
      </c>
      <c r="AI164">
        <v>11</v>
      </c>
      <c r="AJ164">
        <v>2</v>
      </c>
      <c r="AK164">
        <v>13</v>
      </c>
      <c r="AL164" t="s">
        <v>2655</v>
      </c>
      <c r="AM164" t="s">
        <v>2656</v>
      </c>
      <c r="AN164" t="s">
        <v>2657</v>
      </c>
      <c r="AO164" t="s">
        <v>2632</v>
      </c>
      <c r="AP164" t="s">
        <v>2633</v>
      </c>
      <c r="AQ164" t="s">
        <v>74</v>
      </c>
      <c r="AR164" t="s">
        <v>2634</v>
      </c>
      <c r="AS164" t="s">
        <v>2635</v>
      </c>
      <c r="AT164" t="s">
        <v>74</v>
      </c>
      <c r="AU164">
        <v>2016</v>
      </c>
      <c r="AV164">
        <v>35</v>
      </c>
      <c r="AW164" t="s">
        <v>74</v>
      </c>
      <c r="AX164" t="s">
        <v>74</v>
      </c>
      <c r="AY164" t="s">
        <v>74</v>
      </c>
      <c r="AZ164" t="s">
        <v>74</v>
      </c>
      <c r="BA164" t="s">
        <v>74</v>
      </c>
      <c r="BB164" t="s">
        <v>74</v>
      </c>
      <c r="BC164" t="s">
        <v>74</v>
      </c>
      <c r="BD164">
        <v>25284</v>
      </c>
      <c r="BE164" t="s">
        <v>3199</v>
      </c>
      <c r="BF164" t="str">
        <f>HYPERLINK("http://dx.doi.org/10.3402/polar.v35.25284","http://dx.doi.org/10.3402/polar.v35.25284")</f>
        <v>http://dx.doi.org/10.3402/polar.v35.25284</v>
      </c>
      <c r="BG164" t="s">
        <v>74</v>
      </c>
      <c r="BH164" t="s">
        <v>74</v>
      </c>
      <c r="BI164">
        <v>15</v>
      </c>
      <c r="BJ164" t="s">
        <v>2637</v>
      </c>
      <c r="BK164" t="s">
        <v>264</v>
      </c>
      <c r="BL164" t="s">
        <v>2638</v>
      </c>
      <c r="BM164" t="s">
        <v>3200</v>
      </c>
      <c r="BN164" t="s">
        <v>74</v>
      </c>
      <c r="BO164" t="s">
        <v>99</v>
      </c>
      <c r="BP164" t="s">
        <v>74</v>
      </c>
      <c r="BQ164" t="s">
        <v>74</v>
      </c>
      <c r="BR164" t="s">
        <v>100</v>
      </c>
      <c r="BS164" t="s">
        <v>3201</v>
      </c>
      <c r="BT164" t="str">
        <f>HYPERLINK("https%3A%2F%2Fwww.webofscience.com%2Fwos%2Fwoscc%2Ffull-record%2FWOS:000383586600001","View Full Record in Web of Science")</f>
        <v>View Full Record in Web of Science</v>
      </c>
    </row>
    <row r="165" spans="1:72" x14ac:dyDescent="0.15">
      <c r="A165" t="s">
        <v>72</v>
      </c>
      <c r="B165" t="s">
        <v>3202</v>
      </c>
      <c r="C165" t="s">
        <v>74</v>
      </c>
      <c r="D165" t="s">
        <v>74</v>
      </c>
      <c r="E165" t="s">
        <v>74</v>
      </c>
      <c r="F165" t="s">
        <v>3203</v>
      </c>
      <c r="G165" t="s">
        <v>74</v>
      </c>
      <c r="H165" t="s">
        <v>74</v>
      </c>
      <c r="I165" t="s">
        <v>3204</v>
      </c>
      <c r="J165" t="s">
        <v>3205</v>
      </c>
      <c r="K165" t="s">
        <v>74</v>
      </c>
      <c r="L165" t="s">
        <v>74</v>
      </c>
      <c r="M165" t="s">
        <v>609</v>
      </c>
      <c r="N165" t="s">
        <v>79</v>
      </c>
      <c r="O165" t="s">
        <v>74</v>
      </c>
      <c r="P165" t="s">
        <v>74</v>
      </c>
      <c r="Q165" t="s">
        <v>74</v>
      </c>
      <c r="R165" t="s">
        <v>74</v>
      </c>
      <c r="S165" t="s">
        <v>74</v>
      </c>
      <c r="T165" t="s">
        <v>3206</v>
      </c>
      <c r="U165" t="s">
        <v>3207</v>
      </c>
      <c r="V165" t="s">
        <v>3208</v>
      </c>
      <c r="W165" t="s">
        <v>3209</v>
      </c>
      <c r="X165" t="s">
        <v>3210</v>
      </c>
      <c r="Y165" t="s">
        <v>3211</v>
      </c>
      <c r="Z165" t="s">
        <v>3212</v>
      </c>
      <c r="AA165" t="s">
        <v>74</v>
      </c>
      <c r="AB165" t="s">
        <v>74</v>
      </c>
      <c r="AC165" t="s">
        <v>74</v>
      </c>
      <c r="AD165" t="s">
        <v>74</v>
      </c>
      <c r="AE165" t="s">
        <v>74</v>
      </c>
      <c r="AF165" t="s">
        <v>74</v>
      </c>
      <c r="AG165">
        <v>42</v>
      </c>
      <c r="AH165">
        <v>1</v>
      </c>
      <c r="AI165">
        <v>1</v>
      </c>
      <c r="AJ165">
        <v>0</v>
      </c>
      <c r="AK165">
        <v>11</v>
      </c>
      <c r="AL165" t="s">
        <v>3213</v>
      </c>
      <c r="AM165" t="s">
        <v>3214</v>
      </c>
      <c r="AN165" t="s">
        <v>3215</v>
      </c>
      <c r="AO165" t="s">
        <v>3216</v>
      </c>
      <c r="AP165" t="s">
        <v>3217</v>
      </c>
      <c r="AQ165" t="s">
        <v>74</v>
      </c>
      <c r="AR165" t="s">
        <v>3218</v>
      </c>
      <c r="AS165" t="s">
        <v>3219</v>
      </c>
      <c r="AT165" t="s">
        <v>74</v>
      </c>
      <c r="AU165">
        <v>2016</v>
      </c>
      <c r="AV165">
        <v>9</v>
      </c>
      <c r="AW165" t="s">
        <v>74</v>
      </c>
      <c r="AX165" t="s">
        <v>74</v>
      </c>
      <c r="AY165" t="s">
        <v>74</v>
      </c>
      <c r="AZ165" t="s">
        <v>74</v>
      </c>
      <c r="BA165" t="s">
        <v>74</v>
      </c>
      <c r="BB165">
        <v>81</v>
      </c>
      <c r="BC165">
        <v>112</v>
      </c>
      <c r="BD165" t="s">
        <v>74</v>
      </c>
      <c r="BE165" t="s">
        <v>3220</v>
      </c>
      <c r="BF165" t="str">
        <f>HYPERLINK("http://dx.doi.org/10.12804/acdi9.1.2016.03","http://dx.doi.org/10.12804/acdi9.1.2016.03")</f>
        <v>http://dx.doi.org/10.12804/acdi9.1.2016.03</v>
      </c>
      <c r="BG165" t="s">
        <v>74</v>
      </c>
      <c r="BH165" t="s">
        <v>74</v>
      </c>
      <c r="BI165">
        <v>32</v>
      </c>
      <c r="BJ165" t="s">
        <v>334</v>
      </c>
      <c r="BK165" t="s">
        <v>96</v>
      </c>
      <c r="BL165" t="s">
        <v>335</v>
      </c>
      <c r="BM165" t="s">
        <v>3221</v>
      </c>
      <c r="BN165" t="s">
        <v>74</v>
      </c>
      <c r="BO165" t="s">
        <v>2134</v>
      </c>
      <c r="BP165" t="s">
        <v>74</v>
      </c>
      <c r="BQ165" t="s">
        <v>74</v>
      </c>
      <c r="BR165" t="s">
        <v>100</v>
      </c>
      <c r="BS165" t="s">
        <v>3222</v>
      </c>
      <c r="BT165" t="str">
        <f>HYPERLINK("https%3A%2F%2Fwww.webofscience.com%2Fwos%2Fwoscc%2Ffull-record%2FWOS:000382761300003","View Full Record in Web of Science")</f>
        <v>View Full Record in Web of Science</v>
      </c>
    </row>
    <row r="166" spans="1:72" x14ac:dyDescent="0.15">
      <c r="A166" t="s">
        <v>72</v>
      </c>
      <c r="B166" t="s">
        <v>3223</v>
      </c>
      <c r="C166" t="s">
        <v>74</v>
      </c>
      <c r="D166" t="s">
        <v>74</v>
      </c>
      <c r="E166" t="s">
        <v>74</v>
      </c>
      <c r="F166" t="s">
        <v>3224</v>
      </c>
      <c r="G166" t="s">
        <v>74</v>
      </c>
      <c r="H166" t="s">
        <v>74</v>
      </c>
      <c r="I166" t="s">
        <v>3225</v>
      </c>
      <c r="J166" t="s">
        <v>3226</v>
      </c>
      <c r="K166" t="s">
        <v>74</v>
      </c>
      <c r="L166" t="s">
        <v>74</v>
      </c>
      <c r="M166" t="s">
        <v>200</v>
      </c>
      <c r="N166" t="s">
        <v>79</v>
      </c>
      <c r="O166" t="s">
        <v>74</v>
      </c>
      <c r="P166" t="s">
        <v>74</v>
      </c>
      <c r="Q166" t="s">
        <v>74</v>
      </c>
      <c r="R166" t="s">
        <v>74</v>
      </c>
      <c r="S166" t="s">
        <v>74</v>
      </c>
      <c r="T166" t="s">
        <v>74</v>
      </c>
      <c r="U166" t="s">
        <v>3227</v>
      </c>
      <c r="V166" t="s">
        <v>3228</v>
      </c>
      <c r="W166" t="s">
        <v>3229</v>
      </c>
      <c r="X166" t="s">
        <v>3230</v>
      </c>
      <c r="Y166" t="s">
        <v>3231</v>
      </c>
      <c r="Z166" t="s">
        <v>3232</v>
      </c>
      <c r="AA166" t="s">
        <v>3233</v>
      </c>
      <c r="AB166" t="s">
        <v>3234</v>
      </c>
      <c r="AC166" t="s">
        <v>3235</v>
      </c>
      <c r="AD166" t="s">
        <v>3236</v>
      </c>
      <c r="AE166" t="s">
        <v>3237</v>
      </c>
      <c r="AF166" t="s">
        <v>74</v>
      </c>
      <c r="AG166">
        <v>72</v>
      </c>
      <c r="AH166">
        <v>58</v>
      </c>
      <c r="AI166">
        <v>62</v>
      </c>
      <c r="AJ166">
        <v>1</v>
      </c>
      <c r="AK166">
        <v>11</v>
      </c>
      <c r="AL166" t="s">
        <v>358</v>
      </c>
      <c r="AM166" t="s">
        <v>359</v>
      </c>
      <c r="AN166" t="s">
        <v>3238</v>
      </c>
      <c r="AO166" t="s">
        <v>3239</v>
      </c>
      <c r="AP166" t="s">
        <v>3240</v>
      </c>
      <c r="AQ166" t="s">
        <v>74</v>
      </c>
      <c r="AR166" t="s">
        <v>3241</v>
      </c>
      <c r="AS166" t="s">
        <v>3242</v>
      </c>
      <c r="AT166" t="s">
        <v>74</v>
      </c>
      <c r="AU166">
        <v>2016</v>
      </c>
      <c r="AV166">
        <v>16</v>
      </c>
      <c r="AW166">
        <v>14</v>
      </c>
      <c r="AX166" t="s">
        <v>74</v>
      </c>
      <c r="AY166" t="s">
        <v>74</v>
      </c>
      <c r="AZ166" t="s">
        <v>74</v>
      </c>
      <c r="BA166" t="s">
        <v>74</v>
      </c>
      <c r="BB166">
        <v>9381</v>
      </c>
      <c r="BC166">
        <v>9397</v>
      </c>
      <c r="BD166" t="s">
        <v>74</v>
      </c>
      <c r="BE166" t="s">
        <v>3243</v>
      </c>
      <c r="BF166" t="str">
        <f>HYPERLINK("http://dx.doi.org/10.5194/acp-16-9381-2016","http://dx.doi.org/10.5194/acp-16-9381-2016")</f>
        <v>http://dx.doi.org/10.5194/acp-16-9381-2016</v>
      </c>
      <c r="BG166" t="s">
        <v>74</v>
      </c>
      <c r="BH166" t="s">
        <v>74</v>
      </c>
      <c r="BI166">
        <v>17</v>
      </c>
      <c r="BJ166" t="s">
        <v>3244</v>
      </c>
      <c r="BK166" t="s">
        <v>264</v>
      </c>
      <c r="BL166" t="s">
        <v>3245</v>
      </c>
      <c r="BM166" t="s">
        <v>3246</v>
      </c>
      <c r="BN166" t="s">
        <v>74</v>
      </c>
      <c r="BO166" t="s">
        <v>369</v>
      </c>
      <c r="BP166" t="s">
        <v>74</v>
      </c>
      <c r="BQ166" t="s">
        <v>74</v>
      </c>
      <c r="BR166" t="s">
        <v>100</v>
      </c>
      <c r="BS166" t="s">
        <v>3247</v>
      </c>
      <c r="BT166" t="str">
        <f>HYPERLINK("https%3A%2F%2Fwww.webofscience.com%2Fwos%2Fwoscc%2Ffull-record%2FWOS:000381213300034","View Full Record in Web of Science")</f>
        <v>View Full Record in Web of Science</v>
      </c>
    </row>
    <row r="167" spans="1:72" x14ac:dyDescent="0.15">
      <c r="A167" t="s">
        <v>72</v>
      </c>
      <c r="B167" t="s">
        <v>3248</v>
      </c>
      <c r="C167" t="s">
        <v>74</v>
      </c>
      <c r="D167" t="s">
        <v>74</v>
      </c>
      <c r="E167" t="s">
        <v>74</v>
      </c>
      <c r="F167" t="s">
        <v>3249</v>
      </c>
      <c r="G167" t="s">
        <v>74</v>
      </c>
      <c r="H167" t="s">
        <v>74</v>
      </c>
      <c r="I167" t="s">
        <v>3250</v>
      </c>
      <c r="J167" t="s">
        <v>2588</v>
      </c>
      <c r="K167" t="s">
        <v>74</v>
      </c>
      <c r="L167" t="s">
        <v>74</v>
      </c>
      <c r="M167" t="s">
        <v>200</v>
      </c>
      <c r="N167" t="s">
        <v>1639</v>
      </c>
      <c r="O167" t="s">
        <v>3251</v>
      </c>
      <c r="P167" t="s">
        <v>3252</v>
      </c>
      <c r="Q167" t="s">
        <v>3253</v>
      </c>
      <c r="R167" t="s">
        <v>74</v>
      </c>
      <c r="S167" t="s">
        <v>3254</v>
      </c>
      <c r="T167" t="s">
        <v>3255</v>
      </c>
      <c r="U167" t="s">
        <v>3256</v>
      </c>
      <c r="V167" t="s">
        <v>3257</v>
      </c>
      <c r="W167" t="s">
        <v>3258</v>
      </c>
      <c r="X167" t="s">
        <v>3259</v>
      </c>
      <c r="Y167" t="s">
        <v>3260</v>
      </c>
      <c r="Z167" t="s">
        <v>3261</v>
      </c>
      <c r="AA167" t="s">
        <v>3262</v>
      </c>
      <c r="AB167" t="s">
        <v>3263</v>
      </c>
      <c r="AC167" t="s">
        <v>3264</v>
      </c>
      <c r="AD167" t="s">
        <v>3265</v>
      </c>
      <c r="AE167" t="s">
        <v>3266</v>
      </c>
      <c r="AF167" t="s">
        <v>74</v>
      </c>
      <c r="AG167">
        <v>37</v>
      </c>
      <c r="AH167">
        <v>13</v>
      </c>
      <c r="AI167">
        <v>14</v>
      </c>
      <c r="AJ167">
        <v>0</v>
      </c>
      <c r="AK167">
        <v>19</v>
      </c>
      <c r="AL167" t="s">
        <v>2263</v>
      </c>
      <c r="AM167" t="s">
        <v>2264</v>
      </c>
      <c r="AN167" t="s">
        <v>2265</v>
      </c>
      <c r="AO167" t="s">
        <v>2596</v>
      </c>
      <c r="AP167" t="s">
        <v>2597</v>
      </c>
      <c r="AQ167" t="s">
        <v>74</v>
      </c>
      <c r="AR167" t="s">
        <v>2598</v>
      </c>
      <c r="AS167" t="s">
        <v>2599</v>
      </c>
      <c r="AT167" t="s">
        <v>74</v>
      </c>
      <c r="AU167">
        <v>2016</v>
      </c>
      <c r="AV167">
        <v>47</v>
      </c>
      <c r="AW167">
        <v>3</v>
      </c>
      <c r="AX167" t="s">
        <v>74</v>
      </c>
      <c r="AY167" t="s">
        <v>74</v>
      </c>
      <c r="AZ167" t="s">
        <v>74</v>
      </c>
      <c r="BA167" t="s">
        <v>74</v>
      </c>
      <c r="BB167">
        <v>221</v>
      </c>
      <c r="BC167">
        <v>232</v>
      </c>
      <c r="BD167" t="s">
        <v>74</v>
      </c>
      <c r="BE167" t="s">
        <v>3267</v>
      </c>
      <c r="BF167" t="str">
        <f>HYPERLINK("http://dx.doi.org/10.1080/00908320.2016.1194090","http://dx.doi.org/10.1080/00908320.2016.1194090")</f>
        <v>http://dx.doi.org/10.1080/00908320.2016.1194090</v>
      </c>
      <c r="BG167" t="s">
        <v>74</v>
      </c>
      <c r="BH167" t="s">
        <v>74</v>
      </c>
      <c r="BI167">
        <v>12</v>
      </c>
      <c r="BJ167" t="s">
        <v>2601</v>
      </c>
      <c r="BK167" t="s">
        <v>3268</v>
      </c>
      <c r="BL167" t="s">
        <v>2602</v>
      </c>
      <c r="BM167" t="s">
        <v>3269</v>
      </c>
      <c r="BN167" t="s">
        <v>74</v>
      </c>
      <c r="BO167" t="s">
        <v>74</v>
      </c>
      <c r="BP167" t="s">
        <v>74</v>
      </c>
      <c r="BQ167" t="s">
        <v>74</v>
      </c>
      <c r="BR167" t="s">
        <v>100</v>
      </c>
      <c r="BS167" t="s">
        <v>3270</v>
      </c>
      <c r="BT167" t="str">
        <f>HYPERLINK("https%3A%2F%2Fwww.webofscience.com%2Fwos%2Fwoscc%2Ffull-record%2FWOS:000382753400002","View Full Record in Web of Science")</f>
        <v>View Full Record in Web of Science</v>
      </c>
    </row>
    <row r="168" spans="1:72" x14ac:dyDescent="0.15">
      <c r="A168" t="s">
        <v>72</v>
      </c>
      <c r="B168" t="s">
        <v>3271</v>
      </c>
      <c r="C168" t="s">
        <v>74</v>
      </c>
      <c r="D168" t="s">
        <v>74</v>
      </c>
      <c r="E168" t="s">
        <v>74</v>
      </c>
      <c r="F168" t="s">
        <v>3272</v>
      </c>
      <c r="G168" t="s">
        <v>74</v>
      </c>
      <c r="H168" t="s">
        <v>74</v>
      </c>
      <c r="I168" t="s">
        <v>3273</v>
      </c>
      <c r="J168" t="s">
        <v>2588</v>
      </c>
      <c r="K168" t="s">
        <v>74</v>
      </c>
      <c r="L168" t="s">
        <v>74</v>
      </c>
      <c r="M168" t="s">
        <v>200</v>
      </c>
      <c r="N168" t="s">
        <v>1639</v>
      </c>
      <c r="O168" t="s">
        <v>3251</v>
      </c>
      <c r="P168" t="s">
        <v>3252</v>
      </c>
      <c r="Q168" t="s">
        <v>3253</v>
      </c>
      <c r="R168" t="s">
        <v>74</v>
      </c>
      <c r="S168" t="s">
        <v>3254</v>
      </c>
      <c r="T168" t="s">
        <v>3274</v>
      </c>
      <c r="U168" t="s">
        <v>3275</v>
      </c>
      <c r="V168" t="s">
        <v>3276</v>
      </c>
      <c r="W168" t="s">
        <v>3277</v>
      </c>
      <c r="X168" t="s">
        <v>3278</v>
      </c>
      <c r="Y168" t="s">
        <v>3279</v>
      </c>
      <c r="Z168" t="s">
        <v>3280</v>
      </c>
      <c r="AA168" t="s">
        <v>3281</v>
      </c>
      <c r="AB168" t="s">
        <v>3282</v>
      </c>
      <c r="AC168" t="s">
        <v>3283</v>
      </c>
      <c r="AD168" t="s">
        <v>3284</v>
      </c>
      <c r="AE168" t="s">
        <v>3285</v>
      </c>
      <c r="AF168" t="s">
        <v>74</v>
      </c>
      <c r="AG168">
        <v>43</v>
      </c>
      <c r="AH168">
        <v>6</v>
      </c>
      <c r="AI168">
        <v>6</v>
      </c>
      <c r="AJ168">
        <v>2</v>
      </c>
      <c r="AK168">
        <v>14</v>
      </c>
      <c r="AL168" t="s">
        <v>2263</v>
      </c>
      <c r="AM168" t="s">
        <v>2264</v>
      </c>
      <c r="AN168" t="s">
        <v>2265</v>
      </c>
      <c r="AO168" t="s">
        <v>2596</v>
      </c>
      <c r="AP168" t="s">
        <v>2597</v>
      </c>
      <c r="AQ168" t="s">
        <v>74</v>
      </c>
      <c r="AR168" t="s">
        <v>2598</v>
      </c>
      <c r="AS168" t="s">
        <v>2599</v>
      </c>
      <c r="AT168" t="s">
        <v>74</v>
      </c>
      <c r="AU168">
        <v>2016</v>
      </c>
      <c r="AV168">
        <v>47</v>
      </c>
      <c r="AW168">
        <v>3</v>
      </c>
      <c r="AX168" t="s">
        <v>74</v>
      </c>
      <c r="AY168" t="s">
        <v>74</v>
      </c>
      <c r="AZ168" t="s">
        <v>74</v>
      </c>
      <c r="BA168" t="s">
        <v>74</v>
      </c>
      <c r="BB168">
        <v>233</v>
      </c>
      <c r="BC168">
        <v>254</v>
      </c>
      <c r="BD168" t="s">
        <v>74</v>
      </c>
      <c r="BE168" t="s">
        <v>3286</v>
      </c>
      <c r="BF168" t="str">
        <f>HYPERLINK("http://dx.doi.org/10.1080/00908320.2016.1194092","http://dx.doi.org/10.1080/00908320.2016.1194092")</f>
        <v>http://dx.doi.org/10.1080/00908320.2016.1194092</v>
      </c>
      <c r="BG168" t="s">
        <v>74</v>
      </c>
      <c r="BH168" t="s">
        <v>74</v>
      </c>
      <c r="BI168">
        <v>22</v>
      </c>
      <c r="BJ168" t="s">
        <v>2601</v>
      </c>
      <c r="BK168" t="s">
        <v>3268</v>
      </c>
      <c r="BL168" t="s">
        <v>2602</v>
      </c>
      <c r="BM168" t="s">
        <v>3269</v>
      </c>
      <c r="BN168" t="s">
        <v>74</v>
      </c>
      <c r="BO168" t="s">
        <v>486</v>
      </c>
      <c r="BP168" t="s">
        <v>74</v>
      </c>
      <c r="BQ168" t="s">
        <v>74</v>
      </c>
      <c r="BR168" t="s">
        <v>100</v>
      </c>
      <c r="BS168" t="s">
        <v>3287</v>
      </c>
      <c r="BT168" t="str">
        <f>HYPERLINK("https%3A%2F%2Fwww.webofscience.com%2Fwos%2Fwoscc%2Ffull-record%2FWOS:000382753400003","View Full Record in Web of Science")</f>
        <v>View Full Record in Web of Science</v>
      </c>
    </row>
    <row r="169" spans="1:72" x14ac:dyDescent="0.15">
      <c r="A169" t="s">
        <v>72</v>
      </c>
      <c r="B169" t="s">
        <v>3288</v>
      </c>
      <c r="C169" t="s">
        <v>74</v>
      </c>
      <c r="D169" t="s">
        <v>74</v>
      </c>
      <c r="E169" t="s">
        <v>74</v>
      </c>
      <c r="F169" t="s">
        <v>3289</v>
      </c>
      <c r="G169" t="s">
        <v>74</v>
      </c>
      <c r="H169" t="s">
        <v>74</v>
      </c>
      <c r="I169" t="s">
        <v>3290</v>
      </c>
      <c r="J169" t="s">
        <v>2588</v>
      </c>
      <c r="K169" t="s">
        <v>74</v>
      </c>
      <c r="L169" t="s">
        <v>74</v>
      </c>
      <c r="M169" t="s">
        <v>200</v>
      </c>
      <c r="N169" t="s">
        <v>1639</v>
      </c>
      <c r="O169" t="s">
        <v>3251</v>
      </c>
      <c r="P169" t="s">
        <v>3252</v>
      </c>
      <c r="Q169" t="s">
        <v>3253</v>
      </c>
      <c r="R169" t="s">
        <v>74</v>
      </c>
      <c r="S169" t="s">
        <v>3254</v>
      </c>
      <c r="T169" t="s">
        <v>3291</v>
      </c>
      <c r="U169" t="s">
        <v>3292</v>
      </c>
      <c r="V169" t="s">
        <v>3293</v>
      </c>
      <c r="W169" t="s">
        <v>3294</v>
      </c>
      <c r="X169" t="s">
        <v>3295</v>
      </c>
      <c r="Y169" t="s">
        <v>3296</v>
      </c>
      <c r="Z169" t="s">
        <v>3297</v>
      </c>
      <c r="AA169" t="s">
        <v>3298</v>
      </c>
      <c r="AB169" t="s">
        <v>3299</v>
      </c>
      <c r="AC169" t="s">
        <v>3300</v>
      </c>
      <c r="AD169" t="s">
        <v>3300</v>
      </c>
      <c r="AE169" t="s">
        <v>3301</v>
      </c>
      <c r="AF169" t="s">
        <v>74</v>
      </c>
      <c r="AG169">
        <v>47</v>
      </c>
      <c r="AH169">
        <v>2</v>
      </c>
      <c r="AI169">
        <v>2</v>
      </c>
      <c r="AJ169">
        <v>2</v>
      </c>
      <c r="AK169">
        <v>19</v>
      </c>
      <c r="AL169" t="s">
        <v>2263</v>
      </c>
      <c r="AM169" t="s">
        <v>2264</v>
      </c>
      <c r="AN169" t="s">
        <v>2265</v>
      </c>
      <c r="AO169" t="s">
        <v>2596</v>
      </c>
      <c r="AP169" t="s">
        <v>2597</v>
      </c>
      <c r="AQ169" t="s">
        <v>74</v>
      </c>
      <c r="AR169" t="s">
        <v>2598</v>
      </c>
      <c r="AS169" t="s">
        <v>2599</v>
      </c>
      <c r="AT169" t="s">
        <v>74</v>
      </c>
      <c r="AU169">
        <v>2016</v>
      </c>
      <c r="AV169">
        <v>47</v>
      </c>
      <c r="AW169">
        <v>3</v>
      </c>
      <c r="AX169" t="s">
        <v>74</v>
      </c>
      <c r="AY169" t="s">
        <v>74</v>
      </c>
      <c r="AZ169" t="s">
        <v>74</v>
      </c>
      <c r="BA169" t="s">
        <v>74</v>
      </c>
      <c r="BB169">
        <v>255</v>
      </c>
      <c r="BC169">
        <v>271</v>
      </c>
      <c r="BD169" t="s">
        <v>74</v>
      </c>
      <c r="BE169" t="s">
        <v>3302</v>
      </c>
      <c r="BF169" t="str">
        <f>HYPERLINK("http://dx.doi.org/10.1080/00908320.2016.1194094","http://dx.doi.org/10.1080/00908320.2016.1194094")</f>
        <v>http://dx.doi.org/10.1080/00908320.2016.1194094</v>
      </c>
      <c r="BG169" t="s">
        <v>74</v>
      </c>
      <c r="BH169" t="s">
        <v>74</v>
      </c>
      <c r="BI169">
        <v>17</v>
      </c>
      <c r="BJ169" t="s">
        <v>2601</v>
      </c>
      <c r="BK169" t="s">
        <v>3268</v>
      </c>
      <c r="BL169" t="s">
        <v>2602</v>
      </c>
      <c r="BM169" t="s">
        <v>3269</v>
      </c>
      <c r="BN169" t="s">
        <v>74</v>
      </c>
      <c r="BO169" t="s">
        <v>486</v>
      </c>
      <c r="BP169" t="s">
        <v>74</v>
      </c>
      <c r="BQ169" t="s">
        <v>74</v>
      </c>
      <c r="BR169" t="s">
        <v>100</v>
      </c>
      <c r="BS169" t="s">
        <v>3303</v>
      </c>
      <c r="BT169" t="str">
        <f>HYPERLINK("https%3A%2F%2Fwww.webofscience.com%2Fwos%2Fwoscc%2Ffull-record%2FWOS:000382753400004","View Full Record in Web of Science")</f>
        <v>View Full Record in Web of Science</v>
      </c>
    </row>
    <row r="170" spans="1:72" x14ac:dyDescent="0.15">
      <c r="A170" t="s">
        <v>72</v>
      </c>
      <c r="B170" t="s">
        <v>3304</v>
      </c>
      <c r="C170" t="s">
        <v>74</v>
      </c>
      <c r="D170" t="s">
        <v>74</v>
      </c>
      <c r="E170" t="s">
        <v>74</v>
      </c>
      <c r="F170" t="s">
        <v>3305</v>
      </c>
      <c r="G170" t="s">
        <v>74</v>
      </c>
      <c r="H170" t="s">
        <v>74</v>
      </c>
      <c r="I170" t="s">
        <v>3306</v>
      </c>
      <c r="J170" t="s">
        <v>3307</v>
      </c>
      <c r="K170" t="s">
        <v>74</v>
      </c>
      <c r="L170" t="s">
        <v>74</v>
      </c>
      <c r="M170" t="s">
        <v>200</v>
      </c>
      <c r="N170" t="s">
        <v>79</v>
      </c>
      <c r="O170" t="s">
        <v>74</v>
      </c>
      <c r="P170" t="s">
        <v>74</v>
      </c>
      <c r="Q170" t="s">
        <v>74</v>
      </c>
      <c r="R170" t="s">
        <v>74</v>
      </c>
      <c r="S170" t="s">
        <v>74</v>
      </c>
      <c r="T170" t="s">
        <v>3308</v>
      </c>
      <c r="U170" t="s">
        <v>3309</v>
      </c>
      <c r="V170" t="s">
        <v>3310</v>
      </c>
      <c r="W170" t="s">
        <v>3311</v>
      </c>
      <c r="X170" t="s">
        <v>74</v>
      </c>
      <c r="Y170" t="s">
        <v>3312</v>
      </c>
      <c r="Z170" t="s">
        <v>3313</v>
      </c>
      <c r="AA170" t="s">
        <v>74</v>
      </c>
      <c r="AB170" t="s">
        <v>74</v>
      </c>
      <c r="AC170" t="s">
        <v>74</v>
      </c>
      <c r="AD170" t="s">
        <v>74</v>
      </c>
      <c r="AE170" t="s">
        <v>74</v>
      </c>
      <c r="AF170" t="s">
        <v>74</v>
      </c>
      <c r="AG170">
        <v>26</v>
      </c>
      <c r="AH170">
        <v>3</v>
      </c>
      <c r="AI170">
        <v>3</v>
      </c>
      <c r="AJ170">
        <v>0</v>
      </c>
      <c r="AK170">
        <v>7</v>
      </c>
      <c r="AL170" t="s">
        <v>3314</v>
      </c>
      <c r="AM170" t="s">
        <v>3315</v>
      </c>
      <c r="AN170" t="s">
        <v>3316</v>
      </c>
      <c r="AO170" t="s">
        <v>3317</v>
      </c>
      <c r="AP170" t="s">
        <v>3318</v>
      </c>
      <c r="AQ170" t="s">
        <v>74</v>
      </c>
      <c r="AR170" t="s">
        <v>3319</v>
      </c>
      <c r="AS170" t="s">
        <v>3320</v>
      </c>
      <c r="AT170" t="s">
        <v>74</v>
      </c>
      <c r="AU170">
        <v>2016</v>
      </c>
      <c r="AV170">
        <v>38</v>
      </c>
      <c r="AW170">
        <v>2</v>
      </c>
      <c r="AX170" t="s">
        <v>74</v>
      </c>
      <c r="AY170" t="s">
        <v>74</v>
      </c>
      <c r="AZ170" t="s">
        <v>74</v>
      </c>
      <c r="BA170" t="s">
        <v>74</v>
      </c>
      <c r="BB170">
        <v>279</v>
      </c>
      <c r="BC170">
        <v>284</v>
      </c>
      <c r="BD170" t="s">
        <v>74</v>
      </c>
      <c r="BE170" t="s">
        <v>3321</v>
      </c>
      <c r="BF170" t="str">
        <f>HYPERLINK("http://dx.doi.org/10.2989/1814232X.2016.1182590","http://dx.doi.org/10.2989/1814232X.2016.1182590")</f>
        <v>http://dx.doi.org/10.2989/1814232X.2016.1182590</v>
      </c>
      <c r="BG170" t="s">
        <v>74</v>
      </c>
      <c r="BH170" t="s">
        <v>74</v>
      </c>
      <c r="BI170">
        <v>6</v>
      </c>
      <c r="BJ170" t="s">
        <v>1479</v>
      </c>
      <c r="BK170" t="s">
        <v>264</v>
      </c>
      <c r="BL170" t="s">
        <v>1479</v>
      </c>
      <c r="BM170" t="s">
        <v>3322</v>
      </c>
      <c r="BN170" t="s">
        <v>74</v>
      </c>
      <c r="BO170" t="s">
        <v>74</v>
      </c>
      <c r="BP170" t="s">
        <v>74</v>
      </c>
      <c r="BQ170" t="s">
        <v>74</v>
      </c>
      <c r="BR170" t="s">
        <v>100</v>
      </c>
      <c r="BS170" t="s">
        <v>3323</v>
      </c>
      <c r="BT170" t="str">
        <f>HYPERLINK("https%3A%2F%2Fwww.webofscience.com%2Fwos%2Fwoscc%2Ffull-record%2FWOS:000382448900014","View Full Record in Web of Science")</f>
        <v>View Full Record in Web of Science</v>
      </c>
    </row>
    <row r="171" spans="1:72" x14ac:dyDescent="0.15">
      <c r="A171" t="s">
        <v>72</v>
      </c>
      <c r="B171" t="s">
        <v>3324</v>
      </c>
      <c r="C171" t="s">
        <v>74</v>
      </c>
      <c r="D171" t="s">
        <v>74</v>
      </c>
      <c r="E171" t="s">
        <v>74</v>
      </c>
      <c r="F171" t="s">
        <v>3325</v>
      </c>
      <c r="G171" t="s">
        <v>74</v>
      </c>
      <c r="H171" t="s">
        <v>74</v>
      </c>
      <c r="I171" t="s">
        <v>3326</v>
      </c>
      <c r="J171" t="s">
        <v>3226</v>
      </c>
      <c r="K171" t="s">
        <v>74</v>
      </c>
      <c r="L171" t="s">
        <v>74</v>
      </c>
      <c r="M171" t="s">
        <v>200</v>
      </c>
      <c r="N171" t="s">
        <v>79</v>
      </c>
      <c r="O171" t="s">
        <v>74</v>
      </c>
      <c r="P171" t="s">
        <v>74</v>
      </c>
      <c r="Q171" t="s">
        <v>74</v>
      </c>
      <c r="R171" t="s">
        <v>74</v>
      </c>
      <c r="S171" t="s">
        <v>74</v>
      </c>
      <c r="T171" t="s">
        <v>74</v>
      </c>
      <c r="U171" t="s">
        <v>3327</v>
      </c>
      <c r="V171" t="s">
        <v>3328</v>
      </c>
      <c r="W171" t="s">
        <v>3329</v>
      </c>
      <c r="X171" t="s">
        <v>3330</v>
      </c>
      <c r="Y171" t="s">
        <v>3331</v>
      </c>
      <c r="Z171" t="s">
        <v>3332</v>
      </c>
      <c r="AA171" t="s">
        <v>3333</v>
      </c>
      <c r="AB171" t="s">
        <v>3334</v>
      </c>
      <c r="AC171" t="s">
        <v>3335</v>
      </c>
      <c r="AD171" t="s">
        <v>3336</v>
      </c>
      <c r="AE171" t="s">
        <v>3337</v>
      </c>
      <c r="AF171" t="s">
        <v>74</v>
      </c>
      <c r="AG171">
        <v>95</v>
      </c>
      <c r="AH171">
        <v>31</v>
      </c>
      <c r="AI171">
        <v>33</v>
      </c>
      <c r="AJ171">
        <v>1</v>
      </c>
      <c r="AK171">
        <v>30</v>
      </c>
      <c r="AL171" t="s">
        <v>358</v>
      </c>
      <c r="AM171" t="s">
        <v>359</v>
      </c>
      <c r="AN171" t="s">
        <v>3238</v>
      </c>
      <c r="AO171" t="s">
        <v>3239</v>
      </c>
      <c r="AP171" t="s">
        <v>3240</v>
      </c>
      <c r="AQ171" t="s">
        <v>74</v>
      </c>
      <c r="AR171" t="s">
        <v>3241</v>
      </c>
      <c r="AS171" t="s">
        <v>3242</v>
      </c>
      <c r="AT171" t="s">
        <v>74</v>
      </c>
      <c r="AU171">
        <v>2016</v>
      </c>
      <c r="AV171">
        <v>16</v>
      </c>
      <c r="AW171">
        <v>13</v>
      </c>
      <c r="AX171" t="s">
        <v>74</v>
      </c>
      <c r="AY171" t="s">
        <v>74</v>
      </c>
      <c r="AZ171" t="s">
        <v>74</v>
      </c>
      <c r="BA171" t="s">
        <v>74</v>
      </c>
      <c r="BB171">
        <v>8249</v>
      </c>
      <c r="BC171">
        <v>8264</v>
      </c>
      <c r="BD171" t="s">
        <v>74</v>
      </c>
      <c r="BE171" t="s">
        <v>3338</v>
      </c>
      <c r="BF171" t="str">
        <f>HYPERLINK("http://dx.doi.org/10.5194/acp-16-8249-2016","http://dx.doi.org/10.5194/acp-16-8249-2016")</f>
        <v>http://dx.doi.org/10.5194/acp-16-8249-2016</v>
      </c>
      <c r="BG171" t="s">
        <v>74</v>
      </c>
      <c r="BH171" t="s">
        <v>74</v>
      </c>
      <c r="BI171">
        <v>16</v>
      </c>
      <c r="BJ171" t="s">
        <v>3244</v>
      </c>
      <c r="BK171" t="s">
        <v>264</v>
      </c>
      <c r="BL171" t="s">
        <v>3245</v>
      </c>
      <c r="BM171" t="s">
        <v>3339</v>
      </c>
      <c r="BN171" t="s">
        <v>74</v>
      </c>
      <c r="BO171" t="s">
        <v>369</v>
      </c>
      <c r="BP171" t="s">
        <v>74</v>
      </c>
      <c r="BQ171" t="s">
        <v>74</v>
      </c>
      <c r="BR171" t="s">
        <v>100</v>
      </c>
      <c r="BS171" t="s">
        <v>3340</v>
      </c>
      <c r="BT171" t="str">
        <f>HYPERLINK("https%3A%2F%2Fwww.webofscience.com%2Fwos%2Fwoscc%2Ffull-record%2FWOS:000381091400012","View Full Record in Web of Science")</f>
        <v>View Full Record in Web of Science</v>
      </c>
    </row>
    <row r="172" spans="1:72" x14ac:dyDescent="0.15">
      <c r="A172" t="s">
        <v>72</v>
      </c>
      <c r="B172" t="s">
        <v>3341</v>
      </c>
      <c r="C172" t="s">
        <v>74</v>
      </c>
      <c r="D172" t="s">
        <v>74</v>
      </c>
      <c r="E172" t="s">
        <v>74</v>
      </c>
      <c r="F172" t="s">
        <v>3342</v>
      </c>
      <c r="G172" t="s">
        <v>74</v>
      </c>
      <c r="H172" t="s">
        <v>74</v>
      </c>
      <c r="I172" t="s">
        <v>3343</v>
      </c>
      <c r="J172" t="s">
        <v>3226</v>
      </c>
      <c r="K172" t="s">
        <v>74</v>
      </c>
      <c r="L172" t="s">
        <v>74</v>
      </c>
      <c r="M172" t="s">
        <v>200</v>
      </c>
      <c r="N172" t="s">
        <v>79</v>
      </c>
      <c r="O172" t="s">
        <v>74</v>
      </c>
      <c r="P172" t="s">
        <v>74</v>
      </c>
      <c r="Q172" t="s">
        <v>74</v>
      </c>
      <c r="R172" t="s">
        <v>74</v>
      </c>
      <c r="S172" t="s">
        <v>74</v>
      </c>
      <c r="T172" t="s">
        <v>74</v>
      </c>
      <c r="U172" t="s">
        <v>3344</v>
      </c>
      <c r="V172" t="s">
        <v>3345</v>
      </c>
      <c r="W172" t="s">
        <v>3346</v>
      </c>
      <c r="X172" t="s">
        <v>3347</v>
      </c>
      <c r="Y172" t="s">
        <v>3331</v>
      </c>
      <c r="Z172" t="s">
        <v>3332</v>
      </c>
      <c r="AA172" t="s">
        <v>3348</v>
      </c>
      <c r="AB172" t="s">
        <v>3349</v>
      </c>
      <c r="AC172" t="s">
        <v>3350</v>
      </c>
      <c r="AD172" t="s">
        <v>3351</v>
      </c>
      <c r="AE172" t="s">
        <v>3352</v>
      </c>
      <c r="AF172" t="s">
        <v>74</v>
      </c>
      <c r="AG172">
        <v>86</v>
      </c>
      <c r="AH172">
        <v>28</v>
      </c>
      <c r="AI172">
        <v>28</v>
      </c>
      <c r="AJ172">
        <v>3</v>
      </c>
      <c r="AK172">
        <v>22</v>
      </c>
      <c r="AL172" t="s">
        <v>358</v>
      </c>
      <c r="AM172" t="s">
        <v>359</v>
      </c>
      <c r="AN172" t="s">
        <v>3238</v>
      </c>
      <c r="AO172" t="s">
        <v>3239</v>
      </c>
      <c r="AP172" t="s">
        <v>3240</v>
      </c>
      <c r="AQ172" t="s">
        <v>74</v>
      </c>
      <c r="AR172" t="s">
        <v>3241</v>
      </c>
      <c r="AS172" t="s">
        <v>3242</v>
      </c>
      <c r="AT172" t="s">
        <v>74</v>
      </c>
      <c r="AU172">
        <v>2016</v>
      </c>
      <c r="AV172">
        <v>16</v>
      </c>
      <c r="AW172">
        <v>13</v>
      </c>
      <c r="AX172" t="s">
        <v>74</v>
      </c>
      <c r="AY172" t="s">
        <v>74</v>
      </c>
      <c r="AZ172" t="s">
        <v>74</v>
      </c>
      <c r="BA172" t="s">
        <v>74</v>
      </c>
      <c r="BB172">
        <v>8265</v>
      </c>
      <c r="BC172">
        <v>8279</v>
      </c>
      <c r="BD172" t="s">
        <v>74</v>
      </c>
      <c r="BE172" t="s">
        <v>3353</v>
      </c>
      <c r="BF172" t="str">
        <f>HYPERLINK("http://dx.doi.org/10.5194/acp-16-8265-2016","http://dx.doi.org/10.5194/acp-16-8265-2016")</f>
        <v>http://dx.doi.org/10.5194/acp-16-8265-2016</v>
      </c>
      <c r="BG172" t="s">
        <v>74</v>
      </c>
      <c r="BH172" t="s">
        <v>74</v>
      </c>
      <c r="BI172">
        <v>15</v>
      </c>
      <c r="BJ172" t="s">
        <v>3244</v>
      </c>
      <c r="BK172" t="s">
        <v>264</v>
      </c>
      <c r="BL172" t="s">
        <v>3245</v>
      </c>
      <c r="BM172" t="s">
        <v>3339</v>
      </c>
      <c r="BN172" t="s">
        <v>74</v>
      </c>
      <c r="BO172" t="s">
        <v>369</v>
      </c>
      <c r="BP172" t="s">
        <v>74</v>
      </c>
      <c r="BQ172" t="s">
        <v>74</v>
      </c>
      <c r="BR172" t="s">
        <v>100</v>
      </c>
      <c r="BS172" t="s">
        <v>3354</v>
      </c>
      <c r="BT172" t="str">
        <f>HYPERLINK("https%3A%2F%2Fwww.webofscience.com%2Fwos%2Fwoscc%2Ffull-record%2FWOS:000381091400013","View Full Record in Web of Science")</f>
        <v>View Full Record in Web of Science</v>
      </c>
    </row>
    <row r="173" spans="1:72" x14ac:dyDescent="0.15">
      <c r="A173" t="s">
        <v>72</v>
      </c>
      <c r="B173" t="s">
        <v>3355</v>
      </c>
      <c r="C173" t="s">
        <v>74</v>
      </c>
      <c r="D173" t="s">
        <v>74</v>
      </c>
      <c r="E173" t="s">
        <v>74</v>
      </c>
      <c r="F173" t="s">
        <v>3356</v>
      </c>
      <c r="G173" t="s">
        <v>74</v>
      </c>
      <c r="H173" t="s">
        <v>74</v>
      </c>
      <c r="I173" t="s">
        <v>3357</v>
      </c>
      <c r="J173" t="s">
        <v>3358</v>
      </c>
      <c r="K173" t="s">
        <v>74</v>
      </c>
      <c r="L173" t="s">
        <v>74</v>
      </c>
      <c r="M173" t="s">
        <v>200</v>
      </c>
      <c r="N173" t="s">
        <v>79</v>
      </c>
      <c r="O173" t="s">
        <v>74</v>
      </c>
      <c r="P173" t="s">
        <v>74</v>
      </c>
      <c r="Q173" t="s">
        <v>74</v>
      </c>
      <c r="R173" t="s">
        <v>74</v>
      </c>
      <c r="S173" t="s">
        <v>74</v>
      </c>
      <c r="T173" t="s">
        <v>3359</v>
      </c>
      <c r="U173" t="s">
        <v>3360</v>
      </c>
      <c r="V173" t="s">
        <v>3361</v>
      </c>
      <c r="W173" t="s">
        <v>3362</v>
      </c>
      <c r="X173" t="s">
        <v>3363</v>
      </c>
      <c r="Y173" t="s">
        <v>3364</v>
      </c>
      <c r="Z173" t="s">
        <v>3365</v>
      </c>
      <c r="AA173" t="s">
        <v>74</v>
      </c>
      <c r="AB173" t="s">
        <v>74</v>
      </c>
      <c r="AC173" t="s">
        <v>3366</v>
      </c>
      <c r="AD173" t="s">
        <v>3367</v>
      </c>
      <c r="AE173" t="s">
        <v>3368</v>
      </c>
      <c r="AF173" t="s">
        <v>74</v>
      </c>
      <c r="AG173">
        <v>28</v>
      </c>
      <c r="AH173">
        <v>6</v>
      </c>
      <c r="AI173">
        <v>6</v>
      </c>
      <c r="AJ173">
        <v>0</v>
      </c>
      <c r="AK173">
        <v>17</v>
      </c>
      <c r="AL173" t="s">
        <v>502</v>
      </c>
      <c r="AM173" t="s">
        <v>503</v>
      </c>
      <c r="AN173" t="s">
        <v>504</v>
      </c>
      <c r="AO173" t="s">
        <v>3369</v>
      </c>
      <c r="AP173" t="s">
        <v>3370</v>
      </c>
      <c r="AQ173" t="s">
        <v>74</v>
      </c>
      <c r="AR173" t="s">
        <v>3371</v>
      </c>
      <c r="AS173" t="s">
        <v>3372</v>
      </c>
      <c r="AT173" t="s">
        <v>74</v>
      </c>
      <c r="AU173">
        <v>2016</v>
      </c>
      <c r="AV173">
        <v>31</v>
      </c>
      <c r="AW173">
        <v>2</v>
      </c>
      <c r="AX173" t="s">
        <v>74</v>
      </c>
      <c r="AY173" t="s">
        <v>74</v>
      </c>
      <c r="AZ173" t="s">
        <v>74</v>
      </c>
      <c r="BA173" t="s">
        <v>74</v>
      </c>
      <c r="BB173">
        <v>161</v>
      </c>
      <c r="BC173">
        <v>168</v>
      </c>
      <c r="BD173" t="s">
        <v>74</v>
      </c>
      <c r="BE173" t="s">
        <v>3373</v>
      </c>
      <c r="BF173" t="str">
        <f>HYPERLINK("http://dx.doi.org/10.1080/0269249X.2016.1182075","http://dx.doi.org/10.1080/0269249X.2016.1182075")</f>
        <v>http://dx.doi.org/10.1080/0269249X.2016.1182075</v>
      </c>
      <c r="BG173" t="s">
        <v>74</v>
      </c>
      <c r="BH173" t="s">
        <v>74</v>
      </c>
      <c r="BI173">
        <v>8</v>
      </c>
      <c r="BJ173" t="s">
        <v>1479</v>
      </c>
      <c r="BK173" t="s">
        <v>264</v>
      </c>
      <c r="BL173" t="s">
        <v>1479</v>
      </c>
      <c r="BM173" t="s">
        <v>3374</v>
      </c>
      <c r="BN173" t="s">
        <v>74</v>
      </c>
      <c r="BO173" t="s">
        <v>74</v>
      </c>
      <c r="BP173" t="s">
        <v>74</v>
      </c>
      <c r="BQ173" t="s">
        <v>74</v>
      </c>
      <c r="BR173" t="s">
        <v>100</v>
      </c>
      <c r="BS173" t="s">
        <v>3375</v>
      </c>
      <c r="BT173" t="str">
        <f>HYPERLINK("https%3A%2F%2Fwww.webofscience.com%2Fwos%2Fwoscc%2Ffull-record%2FWOS:000382233300005","View Full Record in Web of Science")</f>
        <v>View Full Record in Web of Science</v>
      </c>
    </row>
    <row r="174" spans="1:72" x14ac:dyDescent="0.15">
      <c r="A174" t="s">
        <v>72</v>
      </c>
      <c r="B174" t="s">
        <v>3376</v>
      </c>
      <c r="C174" t="s">
        <v>74</v>
      </c>
      <c r="D174" t="s">
        <v>74</v>
      </c>
      <c r="E174" t="s">
        <v>74</v>
      </c>
      <c r="F174" t="s">
        <v>3377</v>
      </c>
      <c r="G174" t="s">
        <v>74</v>
      </c>
      <c r="H174" t="s">
        <v>74</v>
      </c>
      <c r="I174" t="s">
        <v>3378</v>
      </c>
      <c r="J174" t="s">
        <v>3379</v>
      </c>
      <c r="K174" t="s">
        <v>74</v>
      </c>
      <c r="L174" t="s">
        <v>74</v>
      </c>
      <c r="M174" t="s">
        <v>609</v>
      </c>
      <c r="N174" t="s">
        <v>79</v>
      </c>
      <c r="O174" t="s">
        <v>74</v>
      </c>
      <c r="P174" t="s">
        <v>74</v>
      </c>
      <c r="Q174" t="s">
        <v>74</v>
      </c>
      <c r="R174" t="s">
        <v>74</v>
      </c>
      <c r="S174" t="s">
        <v>74</v>
      </c>
      <c r="T174" t="s">
        <v>3380</v>
      </c>
      <c r="U174" t="s">
        <v>3381</v>
      </c>
      <c r="V174" t="s">
        <v>3382</v>
      </c>
      <c r="W174" t="s">
        <v>3383</v>
      </c>
      <c r="X174" t="s">
        <v>3384</v>
      </c>
      <c r="Y174" t="s">
        <v>3385</v>
      </c>
      <c r="Z174" t="s">
        <v>3386</v>
      </c>
      <c r="AA174" t="s">
        <v>74</v>
      </c>
      <c r="AB174" t="s">
        <v>74</v>
      </c>
      <c r="AC174" t="s">
        <v>74</v>
      </c>
      <c r="AD174" t="s">
        <v>74</v>
      </c>
      <c r="AE174" t="s">
        <v>74</v>
      </c>
      <c r="AF174" t="s">
        <v>74</v>
      </c>
      <c r="AG174">
        <v>71</v>
      </c>
      <c r="AH174">
        <v>2</v>
      </c>
      <c r="AI174">
        <v>2</v>
      </c>
      <c r="AJ174">
        <v>0</v>
      </c>
      <c r="AK174">
        <v>22</v>
      </c>
      <c r="AL174" t="s">
        <v>3387</v>
      </c>
      <c r="AM174" t="s">
        <v>3388</v>
      </c>
      <c r="AN174" t="s">
        <v>3389</v>
      </c>
      <c r="AO174" t="s">
        <v>3390</v>
      </c>
      <c r="AP174" t="s">
        <v>3391</v>
      </c>
      <c r="AQ174" t="s">
        <v>74</v>
      </c>
      <c r="AR174" t="s">
        <v>3392</v>
      </c>
      <c r="AS174" t="s">
        <v>3393</v>
      </c>
      <c r="AT174" t="s">
        <v>3394</v>
      </c>
      <c r="AU174">
        <v>2016</v>
      </c>
      <c r="AV174">
        <v>77</v>
      </c>
      <c r="AW174">
        <v>280</v>
      </c>
      <c r="AX174" t="s">
        <v>74</v>
      </c>
      <c r="AY174" t="s">
        <v>74</v>
      </c>
      <c r="AZ174" t="s">
        <v>74</v>
      </c>
      <c r="BA174" t="s">
        <v>74</v>
      </c>
      <c r="BB174">
        <v>241</v>
      </c>
      <c r="BC174">
        <v>273</v>
      </c>
      <c r="BD174" t="s">
        <v>74</v>
      </c>
      <c r="BE174" t="s">
        <v>3395</v>
      </c>
      <c r="BF174" t="str">
        <f>HYPERLINK("http://dx.doi.org/10.3989/estgeogr.201609","http://dx.doi.org/10.3989/estgeogr.201609")</f>
        <v>http://dx.doi.org/10.3989/estgeogr.201609</v>
      </c>
      <c r="BG174" t="s">
        <v>74</v>
      </c>
      <c r="BH174" t="s">
        <v>74</v>
      </c>
      <c r="BI174">
        <v>33</v>
      </c>
      <c r="BJ174" t="s">
        <v>1207</v>
      </c>
      <c r="BK174" t="s">
        <v>96</v>
      </c>
      <c r="BL174" t="s">
        <v>1207</v>
      </c>
      <c r="BM174" t="s">
        <v>3396</v>
      </c>
      <c r="BN174" t="s">
        <v>74</v>
      </c>
      <c r="BO174" t="s">
        <v>2134</v>
      </c>
      <c r="BP174" t="s">
        <v>74</v>
      </c>
      <c r="BQ174" t="s">
        <v>74</v>
      </c>
      <c r="BR174" t="s">
        <v>100</v>
      </c>
      <c r="BS174" t="s">
        <v>3397</v>
      </c>
      <c r="BT174" t="str">
        <f>HYPERLINK("https%3A%2F%2Fwww.webofscience.com%2Fwos%2Fwoscc%2Ffull-record%2FWOS:000382749000009","View Full Record in Web of Science")</f>
        <v>View Full Record in Web of Science</v>
      </c>
    </row>
    <row r="175" spans="1:72" x14ac:dyDescent="0.15">
      <c r="A175" t="s">
        <v>72</v>
      </c>
      <c r="B175" t="s">
        <v>3398</v>
      </c>
      <c r="C175" t="s">
        <v>74</v>
      </c>
      <c r="D175" t="s">
        <v>74</v>
      </c>
      <c r="E175" t="s">
        <v>74</v>
      </c>
      <c r="F175" t="s">
        <v>3399</v>
      </c>
      <c r="G175" t="s">
        <v>74</v>
      </c>
      <c r="H175" t="s">
        <v>74</v>
      </c>
      <c r="I175" t="s">
        <v>3400</v>
      </c>
      <c r="J175" t="s">
        <v>2226</v>
      </c>
      <c r="K175" t="s">
        <v>74</v>
      </c>
      <c r="L175" t="s">
        <v>74</v>
      </c>
      <c r="M175" t="s">
        <v>200</v>
      </c>
      <c r="N175" t="s">
        <v>79</v>
      </c>
      <c r="O175" t="s">
        <v>74</v>
      </c>
      <c r="P175" t="s">
        <v>74</v>
      </c>
      <c r="Q175" t="s">
        <v>74</v>
      </c>
      <c r="R175" t="s">
        <v>74</v>
      </c>
      <c r="S175" t="s">
        <v>74</v>
      </c>
      <c r="T175" t="s">
        <v>3401</v>
      </c>
      <c r="U175" t="s">
        <v>3402</v>
      </c>
      <c r="V175" t="s">
        <v>3403</v>
      </c>
      <c r="W175" t="s">
        <v>3404</v>
      </c>
      <c r="X175" t="s">
        <v>3405</v>
      </c>
      <c r="Y175" t="s">
        <v>3406</v>
      </c>
      <c r="Z175" t="s">
        <v>3407</v>
      </c>
      <c r="AA175" t="s">
        <v>3408</v>
      </c>
      <c r="AB175" t="s">
        <v>3409</v>
      </c>
      <c r="AC175" t="s">
        <v>3410</v>
      </c>
      <c r="AD175" t="s">
        <v>3411</v>
      </c>
      <c r="AE175" t="s">
        <v>3412</v>
      </c>
      <c r="AF175" t="s">
        <v>74</v>
      </c>
      <c r="AG175">
        <v>71</v>
      </c>
      <c r="AH175">
        <v>4</v>
      </c>
      <c r="AI175">
        <v>5</v>
      </c>
      <c r="AJ175">
        <v>1</v>
      </c>
      <c r="AK175">
        <v>30</v>
      </c>
      <c r="AL175" t="s">
        <v>2239</v>
      </c>
      <c r="AM175" t="s">
        <v>2240</v>
      </c>
      <c r="AN175" t="s">
        <v>2241</v>
      </c>
      <c r="AO175" t="s">
        <v>2242</v>
      </c>
      <c r="AP175" t="s">
        <v>2243</v>
      </c>
      <c r="AQ175" t="s">
        <v>74</v>
      </c>
      <c r="AR175" t="s">
        <v>2244</v>
      </c>
      <c r="AS175" t="s">
        <v>2245</v>
      </c>
      <c r="AT175" t="s">
        <v>74</v>
      </c>
      <c r="AU175">
        <v>2016</v>
      </c>
      <c r="AV175">
        <v>62</v>
      </c>
      <c r="AW175">
        <v>233</v>
      </c>
      <c r="AX175" t="s">
        <v>74</v>
      </c>
      <c r="AY175" t="s">
        <v>74</v>
      </c>
      <c r="AZ175" t="s">
        <v>74</v>
      </c>
      <c r="BA175" t="s">
        <v>74</v>
      </c>
      <c r="BB175">
        <v>497</v>
      </c>
      <c r="BC175">
        <v>511</v>
      </c>
      <c r="BD175" t="s">
        <v>74</v>
      </c>
      <c r="BE175" t="s">
        <v>3413</v>
      </c>
      <c r="BF175" t="str">
        <f>HYPERLINK("http://dx.doi.org/10.1017/jog.2016.55","http://dx.doi.org/10.1017/jog.2016.55")</f>
        <v>http://dx.doi.org/10.1017/jog.2016.55</v>
      </c>
      <c r="BG175" t="s">
        <v>74</v>
      </c>
      <c r="BH175" t="s">
        <v>74</v>
      </c>
      <c r="BI175">
        <v>15</v>
      </c>
      <c r="BJ175" t="s">
        <v>2247</v>
      </c>
      <c r="BK175" t="s">
        <v>264</v>
      </c>
      <c r="BL175" t="s">
        <v>2248</v>
      </c>
      <c r="BM175" t="s">
        <v>3414</v>
      </c>
      <c r="BN175" t="s">
        <v>74</v>
      </c>
      <c r="BO175" t="s">
        <v>3415</v>
      </c>
      <c r="BP175" t="s">
        <v>74</v>
      </c>
      <c r="BQ175" t="s">
        <v>74</v>
      </c>
      <c r="BR175" t="s">
        <v>100</v>
      </c>
      <c r="BS175" t="s">
        <v>3416</v>
      </c>
      <c r="BT175" t="str">
        <f>HYPERLINK("https%3A%2F%2Fwww.webofscience.com%2Fwos%2Fwoscc%2Ffull-record%2FWOS:000381452400006","View Full Record in Web of Science")</f>
        <v>View Full Record in Web of Science</v>
      </c>
    </row>
    <row r="176" spans="1:72" x14ac:dyDescent="0.15">
      <c r="A176" t="s">
        <v>72</v>
      </c>
      <c r="B176" t="s">
        <v>3417</v>
      </c>
      <c r="C176" t="s">
        <v>74</v>
      </c>
      <c r="D176" t="s">
        <v>74</v>
      </c>
      <c r="E176" t="s">
        <v>74</v>
      </c>
      <c r="F176" t="s">
        <v>3418</v>
      </c>
      <c r="G176" t="s">
        <v>74</v>
      </c>
      <c r="H176" t="s">
        <v>74</v>
      </c>
      <c r="I176" t="s">
        <v>3419</v>
      </c>
      <c r="J176" t="s">
        <v>2226</v>
      </c>
      <c r="K176" t="s">
        <v>74</v>
      </c>
      <c r="L176" t="s">
        <v>74</v>
      </c>
      <c r="M176" t="s">
        <v>200</v>
      </c>
      <c r="N176" t="s">
        <v>79</v>
      </c>
      <c r="O176" t="s">
        <v>74</v>
      </c>
      <c r="P176" t="s">
        <v>74</v>
      </c>
      <c r="Q176" t="s">
        <v>74</v>
      </c>
      <c r="R176" t="s">
        <v>74</v>
      </c>
      <c r="S176" t="s">
        <v>74</v>
      </c>
      <c r="T176" t="s">
        <v>3420</v>
      </c>
      <c r="U176" t="s">
        <v>3421</v>
      </c>
      <c r="V176" t="s">
        <v>3422</v>
      </c>
      <c r="W176" t="s">
        <v>3423</v>
      </c>
      <c r="X176" t="s">
        <v>3424</v>
      </c>
      <c r="Y176" t="s">
        <v>3425</v>
      </c>
      <c r="Z176" t="s">
        <v>3426</v>
      </c>
      <c r="AA176" t="s">
        <v>74</v>
      </c>
      <c r="AB176" t="s">
        <v>74</v>
      </c>
      <c r="AC176" t="s">
        <v>3427</v>
      </c>
      <c r="AD176" t="s">
        <v>3427</v>
      </c>
      <c r="AE176" t="s">
        <v>3428</v>
      </c>
      <c r="AF176" t="s">
        <v>74</v>
      </c>
      <c r="AG176">
        <v>8</v>
      </c>
      <c r="AH176">
        <v>0</v>
      </c>
      <c r="AI176">
        <v>0</v>
      </c>
      <c r="AJ176">
        <v>0</v>
      </c>
      <c r="AK176">
        <v>1</v>
      </c>
      <c r="AL176" t="s">
        <v>2239</v>
      </c>
      <c r="AM176" t="s">
        <v>2240</v>
      </c>
      <c r="AN176" t="s">
        <v>2241</v>
      </c>
      <c r="AO176" t="s">
        <v>2242</v>
      </c>
      <c r="AP176" t="s">
        <v>2243</v>
      </c>
      <c r="AQ176" t="s">
        <v>74</v>
      </c>
      <c r="AR176" t="s">
        <v>2244</v>
      </c>
      <c r="AS176" t="s">
        <v>2245</v>
      </c>
      <c r="AT176" t="s">
        <v>74</v>
      </c>
      <c r="AU176">
        <v>2016</v>
      </c>
      <c r="AV176">
        <v>62</v>
      </c>
      <c r="AW176">
        <v>233</v>
      </c>
      <c r="AX176" t="s">
        <v>74</v>
      </c>
      <c r="AY176" t="s">
        <v>74</v>
      </c>
      <c r="AZ176" t="s">
        <v>74</v>
      </c>
      <c r="BA176" t="s">
        <v>74</v>
      </c>
      <c r="BB176">
        <v>593</v>
      </c>
      <c r="BC176">
        <v>598</v>
      </c>
      <c r="BD176" t="s">
        <v>74</v>
      </c>
      <c r="BE176" t="s">
        <v>3429</v>
      </c>
      <c r="BF176" t="str">
        <f>HYPERLINK("http://dx.doi.org/10.1017/jog.2016.30","http://dx.doi.org/10.1017/jog.2016.30")</f>
        <v>http://dx.doi.org/10.1017/jog.2016.30</v>
      </c>
      <c r="BG176" t="s">
        <v>74</v>
      </c>
      <c r="BH176" t="s">
        <v>74</v>
      </c>
      <c r="BI176">
        <v>6</v>
      </c>
      <c r="BJ176" t="s">
        <v>2247</v>
      </c>
      <c r="BK176" t="s">
        <v>264</v>
      </c>
      <c r="BL176" t="s">
        <v>2248</v>
      </c>
      <c r="BM176" t="s">
        <v>3414</v>
      </c>
      <c r="BN176" t="s">
        <v>74</v>
      </c>
      <c r="BO176" t="s">
        <v>99</v>
      </c>
      <c r="BP176" t="s">
        <v>74</v>
      </c>
      <c r="BQ176" t="s">
        <v>74</v>
      </c>
      <c r="BR176" t="s">
        <v>100</v>
      </c>
      <c r="BS176" t="s">
        <v>3430</v>
      </c>
      <c r="BT176" t="str">
        <f>HYPERLINK("https%3A%2F%2Fwww.webofscience.com%2Fwos%2Fwoscc%2Ffull-record%2FWOS:000381452400013","View Full Record in Web of Science")</f>
        <v>View Full Record in Web of Science</v>
      </c>
    </row>
    <row r="177" spans="1:72" x14ac:dyDescent="0.15">
      <c r="A177" t="s">
        <v>72</v>
      </c>
      <c r="B177" t="s">
        <v>3431</v>
      </c>
      <c r="C177" t="s">
        <v>74</v>
      </c>
      <c r="D177" t="s">
        <v>74</v>
      </c>
      <c r="E177" t="s">
        <v>74</v>
      </c>
      <c r="F177" t="s">
        <v>3432</v>
      </c>
      <c r="G177" t="s">
        <v>74</v>
      </c>
      <c r="H177" t="s">
        <v>74</v>
      </c>
      <c r="I177" t="s">
        <v>3433</v>
      </c>
      <c r="J177" t="s">
        <v>2226</v>
      </c>
      <c r="K177" t="s">
        <v>74</v>
      </c>
      <c r="L177" t="s">
        <v>74</v>
      </c>
      <c r="M177" t="s">
        <v>200</v>
      </c>
      <c r="N177" t="s">
        <v>3434</v>
      </c>
      <c r="O177" t="s">
        <v>74</v>
      </c>
      <c r="P177" t="s">
        <v>74</v>
      </c>
      <c r="Q177" t="s">
        <v>74</v>
      </c>
      <c r="R177" t="s">
        <v>74</v>
      </c>
      <c r="S177" t="s">
        <v>74</v>
      </c>
      <c r="T177" t="s">
        <v>74</v>
      </c>
      <c r="U177" t="s">
        <v>3435</v>
      </c>
      <c r="V177" t="s">
        <v>74</v>
      </c>
      <c r="W177" t="s">
        <v>3436</v>
      </c>
      <c r="X177" t="s">
        <v>3437</v>
      </c>
      <c r="Y177" t="s">
        <v>3438</v>
      </c>
      <c r="Z177" t="s">
        <v>3439</v>
      </c>
      <c r="AA177" t="s">
        <v>3440</v>
      </c>
      <c r="AB177" t="s">
        <v>3441</v>
      </c>
      <c r="AC177" t="s">
        <v>74</v>
      </c>
      <c r="AD177" t="s">
        <v>74</v>
      </c>
      <c r="AE177" t="s">
        <v>74</v>
      </c>
      <c r="AF177" t="s">
        <v>74</v>
      </c>
      <c r="AG177">
        <v>37</v>
      </c>
      <c r="AH177">
        <v>19</v>
      </c>
      <c r="AI177">
        <v>21</v>
      </c>
      <c r="AJ177">
        <v>0</v>
      </c>
      <c r="AK177">
        <v>11</v>
      </c>
      <c r="AL177" t="s">
        <v>2239</v>
      </c>
      <c r="AM177" t="s">
        <v>2240</v>
      </c>
      <c r="AN177" t="s">
        <v>2241</v>
      </c>
      <c r="AO177" t="s">
        <v>2242</v>
      </c>
      <c r="AP177" t="s">
        <v>2243</v>
      </c>
      <c r="AQ177" t="s">
        <v>74</v>
      </c>
      <c r="AR177" t="s">
        <v>2244</v>
      </c>
      <c r="AS177" t="s">
        <v>2245</v>
      </c>
      <c r="AT177" t="s">
        <v>74</v>
      </c>
      <c r="AU177">
        <v>2016</v>
      </c>
      <c r="AV177">
        <v>62</v>
      </c>
      <c r="AW177">
        <v>233</v>
      </c>
      <c r="AX177" t="s">
        <v>74</v>
      </c>
      <c r="AY177" t="s">
        <v>74</v>
      </c>
      <c r="AZ177" t="s">
        <v>74</v>
      </c>
      <c r="BA177" t="s">
        <v>74</v>
      </c>
      <c r="BB177">
        <v>599</v>
      </c>
      <c r="BC177">
        <v>603</v>
      </c>
      <c r="BD177" t="s">
        <v>74</v>
      </c>
      <c r="BE177" t="s">
        <v>3442</v>
      </c>
      <c r="BF177" t="str">
        <f>HYPERLINK("http://dx.doi.org/10.1017/jog.2016.59","http://dx.doi.org/10.1017/jog.2016.59")</f>
        <v>http://dx.doi.org/10.1017/jog.2016.59</v>
      </c>
      <c r="BG177" t="s">
        <v>74</v>
      </c>
      <c r="BH177" t="s">
        <v>74</v>
      </c>
      <c r="BI177">
        <v>5</v>
      </c>
      <c r="BJ177" t="s">
        <v>2247</v>
      </c>
      <c r="BK177" t="s">
        <v>264</v>
      </c>
      <c r="BL177" t="s">
        <v>2248</v>
      </c>
      <c r="BM177" t="s">
        <v>3414</v>
      </c>
      <c r="BN177" t="s">
        <v>74</v>
      </c>
      <c r="BO177" t="s">
        <v>511</v>
      </c>
      <c r="BP177" t="s">
        <v>74</v>
      </c>
      <c r="BQ177" t="s">
        <v>74</v>
      </c>
      <c r="BR177" t="s">
        <v>100</v>
      </c>
      <c r="BS177" t="s">
        <v>3443</v>
      </c>
      <c r="BT177" t="str">
        <f>HYPERLINK("https%3A%2F%2Fwww.webofscience.com%2Fwos%2Fwoscc%2Ffull-record%2FWOS:000381452400014","View Full Record in Web of Science")</f>
        <v>View Full Record in Web of Science</v>
      </c>
    </row>
    <row r="178" spans="1:72" x14ac:dyDescent="0.15">
      <c r="A178" t="s">
        <v>72</v>
      </c>
      <c r="B178" t="s">
        <v>3444</v>
      </c>
      <c r="C178" t="s">
        <v>74</v>
      </c>
      <c r="D178" t="s">
        <v>74</v>
      </c>
      <c r="E178" t="s">
        <v>74</v>
      </c>
      <c r="F178" t="s">
        <v>3445</v>
      </c>
      <c r="G178" t="s">
        <v>74</v>
      </c>
      <c r="H178" t="s">
        <v>74</v>
      </c>
      <c r="I178" t="s">
        <v>3446</v>
      </c>
      <c r="J178" t="s">
        <v>2226</v>
      </c>
      <c r="K178" t="s">
        <v>74</v>
      </c>
      <c r="L178" t="s">
        <v>74</v>
      </c>
      <c r="M178" t="s">
        <v>200</v>
      </c>
      <c r="N178" t="s">
        <v>3434</v>
      </c>
      <c r="O178" t="s">
        <v>74</v>
      </c>
      <c r="P178" t="s">
        <v>74</v>
      </c>
      <c r="Q178" t="s">
        <v>74</v>
      </c>
      <c r="R178" t="s">
        <v>74</v>
      </c>
      <c r="S178" t="s">
        <v>74</v>
      </c>
      <c r="T178" t="s">
        <v>74</v>
      </c>
      <c r="U178" t="s">
        <v>3447</v>
      </c>
      <c r="V178" t="s">
        <v>74</v>
      </c>
      <c r="W178" t="s">
        <v>3448</v>
      </c>
      <c r="X178" t="s">
        <v>3449</v>
      </c>
      <c r="Y178" t="s">
        <v>3450</v>
      </c>
      <c r="Z178" t="s">
        <v>3451</v>
      </c>
      <c r="AA178" t="s">
        <v>3452</v>
      </c>
      <c r="AB178" t="s">
        <v>3453</v>
      </c>
      <c r="AC178" t="s">
        <v>74</v>
      </c>
      <c r="AD178" t="s">
        <v>74</v>
      </c>
      <c r="AE178" t="s">
        <v>74</v>
      </c>
      <c r="AF178" t="s">
        <v>74</v>
      </c>
      <c r="AG178">
        <v>11</v>
      </c>
      <c r="AH178">
        <v>7</v>
      </c>
      <c r="AI178">
        <v>7</v>
      </c>
      <c r="AJ178">
        <v>0</v>
      </c>
      <c r="AK178">
        <v>9</v>
      </c>
      <c r="AL178" t="s">
        <v>2239</v>
      </c>
      <c r="AM178" t="s">
        <v>2240</v>
      </c>
      <c r="AN178" t="s">
        <v>2241</v>
      </c>
      <c r="AO178" t="s">
        <v>2242</v>
      </c>
      <c r="AP178" t="s">
        <v>2243</v>
      </c>
      <c r="AQ178" t="s">
        <v>74</v>
      </c>
      <c r="AR178" t="s">
        <v>2244</v>
      </c>
      <c r="AS178" t="s">
        <v>2245</v>
      </c>
      <c r="AT178" t="s">
        <v>74</v>
      </c>
      <c r="AU178">
        <v>2016</v>
      </c>
      <c r="AV178">
        <v>62</v>
      </c>
      <c r="AW178">
        <v>233</v>
      </c>
      <c r="AX178" t="s">
        <v>74</v>
      </c>
      <c r="AY178" t="s">
        <v>74</v>
      </c>
      <c r="AZ178" t="s">
        <v>74</v>
      </c>
      <c r="BA178" t="s">
        <v>74</v>
      </c>
      <c r="BB178">
        <v>604</v>
      </c>
      <c r="BC178">
        <v>606</v>
      </c>
      <c r="BD178" t="s">
        <v>74</v>
      </c>
      <c r="BE178" t="s">
        <v>3454</v>
      </c>
      <c r="BF178" t="str">
        <f>HYPERLINK("http://dx.doi.org/10.1017/jog.2016.60","http://dx.doi.org/10.1017/jog.2016.60")</f>
        <v>http://dx.doi.org/10.1017/jog.2016.60</v>
      </c>
      <c r="BG178" t="s">
        <v>74</v>
      </c>
      <c r="BH178" t="s">
        <v>74</v>
      </c>
      <c r="BI178">
        <v>3</v>
      </c>
      <c r="BJ178" t="s">
        <v>2247</v>
      </c>
      <c r="BK178" t="s">
        <v>264</v>
      </c>
      <c r="BL178" t="s">
        <v>2248</v>
      </c>
      <c r="BM178" t="s">
        <v>3414</v>
      </c>
      <c r="BN178" t="s">
        <v>74</v>
      </c>
      <c r="BO178" t="s">
        <v>523</v>
      </c>
      <c r="BP178" t="s">
        <v>74</v>
      </c>
      <c r="BQ178" t="s">
        <v>74</v>
      </c>
      <c r="BR178" t="s">
        <v>100</v>
      </c>
      <c r="BS178" t="s">
        <v>3455</v>
      </c>
      <c r="BT178" t="str">
        <f>HYPERLINK("https%3A%2F%2Fwww.webofscience.com%2Fwos%2Fwoscc%2Ffull-record%2FWOS:000381452400015","View Full Record in Web of Science")</f>
        <v>View Full Record in Web of Science</v>
      </c>
    </row>
    <row r="179" spans="1:72" x14ac:dyDescent="0.15">
      <c r="A179" t="s">
        <v>72</v>
      </c>
      <c r="B179" t="s">
        <v>3456</v>
      </c>
      <c r="C179" t="s">
        <v>74</v>
      </c>
      <c r="D179" t="s">
        <v>74</v>
      </c>
      <c r="E179" t="s">
        <v>74</v>
      </c>
      <c r="F179" t="s">
        <v>3457</v>
      </c>
      <c r="G179" t="s">
        <v>74</v>
      </c>
      <c r="H179" t="s">
        <v>74</v>
      </c>
      <c r="I179" t="s">
        <v>3458</v>
      </c>
      <c r="J179" t="s">
        <v>3043</v>
      </c>
      <c r="K179" t="s">
        <v>74</v>
      </c>
      <c r="L179" t="s">
        <v>74</v>
      </c>
      <c r="M179" t="s">
        <v>200</v>
      </c>
      <c r="N179" t="s">
        <v>79</v>
      </c>
      <c r="O179" t="s">
        <v>74</v>
      </c>
      <c r="P179" t="s">
        <v>74</v>
      </c>
      <c r="Q179" t="s">
        <v>74</v>
      </c>
      <c r="R179" t="s">
        <v>74</v>
      </c>
      <c r="S179" t="s">
        <v>74</v>
      </c>
      <c r="T179" t="s">
        <v>3459</v>
      </c>
      <c r="U179" t="s">
        <v>3460</v>
      </c>
      <c r="V179" t="s">
        <v>3461</v>
      </c>
      <c r="W179" t="s">
        <v>3462</v>
      </c>
      <c r="X179" t="s">
        <v>3463</v>
      </c>
      <c r="Y179" t="s">
        <v>3464</v>
      </c>
      <c r="Z179" t="s">
        <v>2714</v>
      </c>
      <c r="AA179" t="s">
        <v>3465</v>
      </c>
      <c r="AB179" t="s">
        <v>3466</v>
      </c>
      <c r="AC179" t="s">
        <v>3467</v>
      </c>
      <c r="AD179" t="s">
        <v>3468</v>
      </c>
      <c r="AE179" t="s">
        <v>3469</v>
      </c>
      <c r="AF179" t="s">
        <v>74</v>
      </c>
      <c r="AG179">
        <v>154</v>
      </c>
      <c r="AH179">
        <v>9</v>
      </c>
      <c r="AI179">
        <v>13</v>
      </c>
      <c r="AJ179">
        <v>2</v>
      </c>
      <c r="AK179">
        <v>61</v>
      </c>
      <c r="AL179" t="s">
        <v>380</v>
      </c>
      <c r="AM179" t="s">
        <v>381</v>
      </c>
      <c r="AN179" t="s">
        <v>382</v>
      </c>
      <c r="AO179" t="s">
        <v>3055</v>
      </c>
      <c r="AP179" t="s">
        <v>3056</v>
      </c>
      <c r="AQ179" t="s">
        <v>74</v>
      </c>
      <c r="AR179" t="s">
        <v>3057</v>
      </c>
      <c r="AS179" t="s">
        <v>3058</v>
      </c>
      <c r="AT179" t="s">
        <v>74</v>
      </c>
      <c r="AU179">
        <v>2016</v>
      </c>
      <c r="AV179">
        <v>67</v>
      </c>
      <c r="AW179">
        <v>8</v>
      </c>
      <c r="AX179" t="s">
        <v>74</v>
      </c>
      <c r="AY179" t="s">
        <v>74</v>
      </c>
      <c r="AZ179" t="s">
        <v>74</v>
      </c>
      <c r="BA179" t="s">
        <v>74</v>
      </c>
      <c r="BB179">
        <v>1263</v>
      </c>
      <c r="BC179">
        <v>1278</v>
      </c>
      <c r="BD179" t="s">
        <v>74</v>
      </c>
      <c r="BE179" t="s">
        <v>3470</v>
      </c>
      <c r="BF179" t="str">
        <f>HYPERLINK("http://dx.doi.org/10.1071/MF15013","http://dx.doi.org/10.1071/MF15013")</f>
        <v>http://dx.doi.org/10.1071/MF15013</v>
      </c>
      <c r="BG179" t="s">
        <v>74</v>
      </c>
      <c r="BH179" t="s">
        <v>74</v>
      </c>
      <c r="BI179">
        <v>16</v>
      </c>
      <c r="BJ179" t="s">
        <v>3060</v>
      </c>
      <c r="BK179" t="s">
        <v>264</v>
      </c>
      <c r="BL179" t="s">
        <v>3061</v>
      </c>
      <c r="BM179" t="s">
        <v>3471</v>
      </c>
      <c r="BN179" t="s">
        <v>74</v>
      </c>
      <c r="BO179" t="s">
        <v>74</v>
      </c>
      <c r="BP179" t="s">
        <v>74</v>
      </c>
      <c r="BQ179" t="s">
        <v>74</v>
      </c>
      <c r="BR179" t="s">
        <v>100</v>
      </c>
      <c r="BS179" t="s">
        <v>3472</v>
      </c>
      <c r="BT179" t="str">
        <f>HYPERLINK("https%3A%2F%2Fwww.webofscience.com%2Fwos%2Fwoscc%2Ffull-record%2FWOS:000381479900017","View Full Record in Web of Science")</f>
        <v>View Full Record in Web of Science</v>
      </c>
    </row>
    <row r="180" spans="1:72" x14ac:dyDescent="0.15">
      <c r="A180" t="s">
        <v>219</v>
      </c>
      <c r="B180" t="s">
        <v>3473</v>
      </c>
      <c r="C180" t="s">
        <v>74</v>
      </c>
      <c r="D180" t="s">
        <v>3474</v>
      </c>
      <c r="E180" t="s">
        <v>74</v>
      </c>
      <c r="F180" t="s">
        <v>3475</v>
      </c>
      <c r="G180" t="s">
        <v>74</v>
      </c>
      <c r="H180" t="s">
        <v>74</v>
      </c>
      <c r="I180" t="s">
        <v>3476</v>
      </c>
      <c r="J180" t="s">
        <v>3477</v>
      </c>
      <c r="K180" t="s">
        <v>74</v>
      </c>
      <c r="L180" t="s">
        <v>74</v>
      </c>
      <c r="M180" t="s">
        <v>200</v>
      </c>
      <c r="N180" t="s">
        <v>201</v>
      </c>
      <c r="O180" t="s">
        <v>74</v>
      </c>
      <c r="P180" t="s">
        <v>74</v>
      </c>
      <c r="Q180" t="s">
        <v>74</v>
      </c>
      <c r="R180" t="s">
        <v>74</v>
      </c>
      <c r="S180" t="s">
        <v>74</v>
      </c>
      <c r="T180" t="s">
        <v>74</v>
      </c>
      <c r="U180" t="s">
        <v>3478</v>
      </c>
      <c r="V180" t="s">
        <v>74</v>
      </c>
      <c r="W180" t="s">
        <v>3479</v>
      </c>
      <c r="X180" t="s">
        <v>3480</v>
      </c>
      <c r="Y180" t="s">
        <v>3481</v>
      </c>
      <c r="Z180" t="s">
        <v>74</v>
      </c>
      <c r="AA180" t="s">
        <v>3482</v>
      </c>
      <c r="AB180" t="s">
        <v>3483</v>
      </c>
      <c r="AC180" t="s">
        <v>74</v>
      </c>
      <c r="AD180" t="s">
        <v>74</v>
      </c>
      <c r="AE180" t="s">
        <v>74</v>
      </c>
      <c r="AF180" t="s">
        <v>74</v>
      </c>
      <c r="AG180">
        <v>190</v>
      </c>
      <c r="AH180">
        <v>3</v>
      </c>
      <c r="AI180">
        <v>3</v>
      </c>
      <c r="AJ180">
        <v>0</v>
      </c>
      <c r="AK180">
        <v>13</v>
      </c>
      <c r="AL180" t="s">
        <v>1385</v>
      </c>
      <c r="AM180" t="s">
        <v>289</v>
      </c>
      <c r="AN180" t="s">
        <v>3484</v>
      </c>
      <c r="AO180" t="s">
        <v>74</v>
      </c>
      <c r="AP180" t="s">
        <v>74</v>
      </c>
      <c r="AQ180" t="s">
        <v>3485</v>
      </c>
      <c r="AR180" t="s">
        <v>74</v>
      </c>
      <c r="AS180" t="s">
        <v>74</v>
      </c>
      <c r="AT180" t="s">
        <v>74</v>
      </c>
      <c r="AU180">
        <v>2016</v>
      </c>
      <c r="AV180" t="s">
        <v>74</v>
      </c>
      <c r="AW180" t="s">
        <v>74</v>
      </c>
      <c r="AX180" t="s">
        <v>74</v>
      </c>
      <c r="AY180" t="s">
        <v>74</v>
      </c>
      <c r="AZ180" t="s">
        <v>74</v>
      </c>
      <c r="BA180" t="s">
        <v>74</v>
      </c>
      <c r="BB180">
        <v>228</v>
      </c>
      <c r="BC180">
        <v>246</v>
      </c>
      <c r="BD180" t="s">
        <v>74</v>
      </c>
      <c r="BE180" t="s">
        <v>74</v>
      </c>
      <c r="BF180" t="s">
        <v>74</v>
      </c>
      <c r="BG180" t="s">
        <v>3486</v>
      </c>
      <c r="BH180" t="s">
        <v>74</v>
      </c>
      <c r="BI180">
        <v>19</v>
      </c>
      <c r="BJ180" t="s">
        <v>1479</v>
      </c>
      <c r="BK180" t="s">
        <v>216</v>
      </c>
      <c r="BL180" t="s">
        <v>1479</v>
      </c>
      <c r="BM180" t="s">
        <v>3487</v>
      </c>
      <c r="BN180" t="s">
        <v>74</v>
      </c>
      <c r="BO180" t="s">
        <v>74</v>
      </c>
      <c r="BP180" t="s">
        <v>74</v>
      </c>
      <c r="BQ180" t="s">
        <v>74</v>
      </c>
      <c r="BR180" t="s">
        <v>100</v>
      </c>
      <c r="BS180" t="s">
        <v>3488</v>
      </c>
      <c r="BT180" t="str">
        <f>HYPERLINK("https%3A%2F%2Fwww.webofscience.com%2Fwos%2Fwoscc%2Ffull-record%2FWOS:000382276100014","View Full Record in Web of Science")</f>
        <v>View Full Record in Web of Science</v>
      </c>
    </row>
    <row r="181" spans="1:72" x14ac:dyDescent="0.15">
      <c r="A181" t="s">
        <v>219</v>
      </c>
      <c r="B181" t="s">
        <v>3489</v>
      </c>
      <c r="C181" t="s">
        <v>74</v>
      </c>
      <c r="D181" t="s">
        <v>3474</v>
      </c>
      <c r="E181" t="s">
        <v>74</v>
      </c>
      <c r="F181" t="s">
        <v>3490</v>
      </c>
      <c r="G181" t="s">
        <v>74</v>
      </c>
      <c r="H181" t="s">
        <v>74</v>
      </c>
      <c r="I181" t="s">
        <v>3491</v>
      </c>
      <c r="J181" t="s">
        <v>3477</v>
      </c>
      <c r="K181" t="s">
        <v>74</v>
      </c>
      <c r="L181" t="s">
        <v>74</v>
      </c>
      <c r="M181" t="s">
        <v>200</v>
      </c>
      <c r="N181" t="s">
        <v>201</v>
      </c>
      <c r="O181" t="s">
        <v>74</v>
      </c>
      <c r="P181" t="s">
        <v>74</v>
      </c>
      <c r="Q181" t="s">
        <v>74</v>
      </c>
      <c r="R181" t="s">
        <v>74</v>
      </c>
      <c r="S181" t="s">
        <v>74</v>
      </c>
      <c r="T181" t="s">
        <v>74</v>
      </c>
      <c r="U181" t="s">
        <v>3492</v>
      </c>
      <c r="V181" t="s">
        <v>74</v>
      </c>
      <c r="W181" t="s">
        <v>3493</v>
      </c>
      <c r="X181" t="s">
        <v>3494</v>
      </c>
      <c r="Y181" t="s">
        <v>3495</v>
      </c>
      <c r="Z181" t="s">
        <v>74</v>
      </c>
      <c r="AA181" t="s">
        <v>3496</v>
      </c>
      <c r="AB181" t="s">
        <v>3497</v>
      </c>
      <c r="AC181" t="s">
        <v>74</v>
      </c>
      <c r="AD181" t="s">
        <v>74</v>
      </c>
      <c r="AE181" t="s">
        <v>74</v>
      </c>
      <c r="AF181" t="s">
        <v>74</v>
      </c>
      <c r="AG181">
        <v>206</v>
      </c>
      <c r="AH181">
        <v>5</v>
      </c>
      <c r="AI181">
        <v>5</v>
      </c>
      <c r="AJ181">
        <v>0</v>
      </c>
      <c r="AK181">
        <v>11</v>
      </c>
      <c r="AL181" t="s">
        <v>1385</v>
      </c>
      <c r="AM181" t="s">
        <v>289</v>
      </c>
      <c r="AN181" t="s">
        <v>3484</v>
      </c>
      <c r="AO181" t="s">
        <v>74</v>
      </c>
      <c r="AP181" t="s">
        <v>74</v>
      </c>
      <c r="AQ181" t="s">
        <v>3485</v>
      </c>
      <c r="AR181" t="s">
        <v>74</v>
      </c>
      <c r="AS181" t="s">
        <v>74</v>
      </c>
      <c r="AT181" t="s">
        <v>74</v>
      </c>
      <c r="AU181">
        <v>2016</v>
      </c>
      <c r="AV181" t="s">
        <v>74</v>
      </c>
      <c r="AW181" t="s">
        <v>74</v>
      </c>
      <c r="AX181" t="s">
        <v>74</v>
      </c>
      <c r="AY181" t="s">
        <v>74</v>
      </c>
      <c r="AZ181" t="s">
        <v>74</v>
      </c>
      <c r="BA181" t="s">
        <v>74</v>
      </c>
      <c r="BB181">
        <v>261</v>
      </c>
      <c r="BC181">
        <v>281</v>
      </c>
      <c r="BD181" t="s">
        <v>74</v>
      </c>
      <c r="BE181" t="s">
        <v>74</v>
      </c>
      <c r="BF181" t="s">
        <v>74</v>
      </c>
      <c r="BG181" t="s">
        <v>3486</v>
      </c>
      <c r="BH181" t="s">
        <v>74</v>
      </c>
      <c r="BI181">
        <v>21</v>
      </c>
      <c r="BJ181" t="s">
        <v>1479</v>
      </c>
      <c r="BK181" t="s">
        <v>216</v>
      </c>
      <c r="BL181" t="s">
        <v>1479</v>
      </c>
      <c r="BM181" t="s">
        <v>3487</v>
      </c>
      <c r="BN181" t="s">
        <v>74</v>
      </c>
      <c r="BO181" t="s">
        <v>74</v>
      </c>
      <c r="BP181" t="s">
        <v>74</v>
      </c>
      <c r="BQ181" t="s">
        <v>74</v>
      </c>
      <c r="BR181" t="s">
        <v>100</v>
      </c>
      <c r="BS181" t="s">
        <v>3498</v>
      </c>
      <c r="BT181" t="str">
        <f>HYPERLINK("https%3A%2F%2Fwww.webofscience.com%2Fwos%2Fwoscc%2Ffull-record%2FWOS:000382276100016","View Full Record in Web of Science")</f>
        <v>View Full Record in Web of Science</v>
      </c>
    </row>
    <row r="182" spans="1:72" x14ac:dyDescent="0.15">
      <c r="A182" t="s">
        <v>72</v>
      </c>
      <c r="B182" t="s">
        <v>3499</v>
      </c>
      <c r="C182" t="s">
        <v>74</v>
      </c>
      <c r="D182" t="s">
        <v>74</v>
      </c>
      <c r="E182" t="s">
        <v>74</v>
      </c>
      <c r="F182" t="s">
        <v>3500</v>
      </c>
      <c r="G182" t="s">
        <v>74</v>
      </c>
      <c r="H182" t="s">
        <v>74</v>
      </c>
      <c r="I182" t="s">
        <v>3501</v>
      </c>
      <c r="J182" t="s">
        <v>3502</v>
      </c>
      <c r="K182" t="s">
        <v>74</v>
      </c>
      <c r="L182" t="s">
        <v>74</v>
      </c>
      <c r="M182" t="s">
        <v>200</v>
      </c>
      <c r="N182" t="s">
        <v>79</v>
      </c>
      <c r="O182" t="s">
        <v>74</v>
      </c>
      <c r="P182" t="s">
        <v>74</v>
      </c>
      <c r="Q182" t="s">
        <v>74</v>
      </c>
      <c r="R182" t="s">
        <v>74</v>
      </c>
      <c r="S182" t="s">
        <v>74</v>
      </c>
      <c r="T182" t="s">
        <v>74</v>
      </c>
      <c r="U182" t="s">
        <v>3503</v>
      </c>
      <c r="V182" t="s">
        <v>3504</v>
      </c>
      <c r="W182" t="s">
        <v>3505</v>
      </c>
      <c r="X182" t="s">
        <v>3506</v>
      </c>
      <c r="Y182" t="s">
        <v>3507</v>
      </c>
      <c r="Z182" t="s">
        <v>3508</v>
      </c>
      <c r="AA182" t="s">
        <v>3509</v>
      </c>
      <c r="AB182" t="s">
        <v>3510</v>
      </c>
      <c r="AC182" t="s">
        <v>3511</v>
      </c>
      <c r="AD182" t="s">
        <v>3512</v>
      </c>
      <c r="AE182" t="s">
        <v>3513</v>
      </c>
      <c r="AF182" t="s">
        <v>74</v>
      </c>
      <c r="AG182">
        <v>57</v>
      </c>
      <c r="AH182">
        <v>19</v>
      </c>
      <c r="AI182">
        <v>22</v>
      </c>
      <c r="AJ182">
        <v>0</v>
      </c>
      <c r="AK182">
        <v>18</v>
      </c>
      <c r="AL182" t="s">
        <v>358</v>
      </c>
      <c r="AM182" t="s">
        <v>359</v>
      </c>
      <c r="AN182" t="s">
        <v>3238</v>
      </c>
      <c r="AO182" t="s">
        <v>3514</v>
      </c>
      <c r="AP182" t="s">
        <v>3515</v>
      </c>
      <c r="AQ182" t="s">
        <v>74</v>
      </c>
      <c r="AR182" t="s">
        <v>3502</v>
      </c>
      <c r="AS182" t="s">
        <v>3516</v>
      </c>
      <c r="AT182" t="s">
        <v>74</v>
      </c>
      <c r="AU182">
        <v>2016</v>
      </c>
      <c r="AV182">
        <v>13</v>
      </c>
      <c r="AW182">
        <v>14</v>
      </c>
      <c r="AX182" t="s">
        <v>74</v>
      </c>
      <c r="AY182" t="s">
        <v>74</v>
      </c>
      <c r="AZ182" t="s">
        <v>74</v>
      </c>
      <c r="BA182" t="s">
        <v>74</v>
      </c>
      <c r="BB182">
        <v>4205</v>
      </c>
      <c r="BC182">
        <v>4218</v>
      </c>
      <c r="BD182" t="s">
        <v>74</v>
      </c>
      <c r="BE182" t="s">
        <v>3517</v>
      </c>
      <c r="BF182" t="str">
        <f>HYPERLINK("http://dx.doi.org/10.5194/bg-13-4205-2016","http://dx.doi.org/10.5194/bg-13-4205-2016")</f>
        <v>http://dx.doi.org/10.5194/bg-13-4205-2016</v>
      </c>
      <c r="BG182" t="s">
        <v>74</v>
      </c>
      <c r="BH182" t="s">
        <v>74</v>
      </c>
      <c r="BI182">
        <v>14</v>
      </c>
      <c r="BJ182" t="s">
        <v>2839</v>
      </c>
      <c r="BK182" t="s">
        <v>264</v>
      </c>
      <c r="BL182" t="s">
        <v>2840</v>
      </c>
      <c r="BM182" t="s">
        <v>3518</v>
      </c>
      <c r="BN182" t="s">
        <v>74</v>
      </c>
      <c r="BO182" t="s">
        <v>369</v>
      </c>
      <c r="BP182" t="s">
        <v>74</v>
      </c>
      <c r="BQ182" t="s">
        <v>74</v>
      </c>
      <c r="BR182" t="s">
        <v>100</v>
      </c>
      <c r="BS182" t="s">
        <v>3519</v>
      </c>
      <c r="BT182" t="str">
        <f>HYPERLINK("https%3A%2F%2Fwww.webofscience.com%2Fwos%2Fwoscc%2Ffull-record%2FWOS:000381212300009","View Full Record in Web of Science")</f>
        <v>View Full Record in Web of Science</v>
      </c>
    </row>
    <row r="183" spans="1:72" x14ac:dyDescent="0.15">
      <c r="A183" t="s">
        <v>72</v>
      </c>
      <c r="B183" t="s">
        <v>3520</v>
      </c>
      <c r="C183" t="s">
        <v>74</v>
      </c>
      <c r="D183" t="s">
        <v>74</v>
      </c>
      <c r="E183" t="s">
        <v>74</v>
      </c>
      <c r="F183" t="s">
        <v>3521</v>
      </c>
      <c r="G183" t="s">
        <v>74</v>
      </c>
      <c r="H183" t="s">
        <v>74</v>
      </c>
      <c r="I183" t="s">
        <v>3522</v>
      </c>
      <c r="J183" t="s">
        <v>3523</v>
      </c>
      <c r="K183" t="s">
        <v>74</v>
      </c>
      <c r="L183" t="s">
        <v>74</v>
      </c>
      <c r="M183" t="s">
        <v>200</v>
      </c>
      <c r="N183" t="s">
        <v>79</v>
      </c>
      <c r="O183" t="s">
        <v>74</v>
      </c>
      <c r="P183" t="s">
        <v>74</v>
      </c>
      <c r="Q183" t="s">
        <v>74</v>
      </c>
      <c r="R183" t="s">
        <v>74</v>
      </c>
      <c r="S183" t="s">
        <v>74</v>
      </c>
      <c r="T183" t="s">
        <v>3524</v>
      </c>
      <c r="U183" t="s">
        <v>3525</v>
      </c>
      <c r="V183" t="s">
        <v>3526</v>
      </c>
      <c r="W183" t="s">
        <v>3527</v>
      </c>
      <c r="X183" t="s">
        <v>3528</v>
      </c>
      <c r="Y183" t="s">
        <v>3529</v>
      </c>
      <c r="Z183" t="s">
        <v>3530</v>
      </c>
      <c r="AA183" t="s">
        <v>74</v>
      </c>
      <c r="AB183" t="s">
        <v>3531</v>
      </c>
      <c r="AC183" t="s">
        <v>3532</v>
      </c>
      <c r="AD183" t="s">
        <v>3533</v>
      </c>
      <c r="AE183" t="s">
        <v>3534</v>
      </c>
      <c r="AF183" t="s">
        <v>74</v>
      </c>
      <c r="AG183">
        <v>20</v>
      </c>
      <c r="AH183">
        <v>2</v>
      </c>
      <c r="AI183">
        <v>2</v>
      </c>
      <c r="AJ183">
        <v>0</v>
      </c>
      <c r="AK183">
        <v>4</v>
      </c>
      <c r="AL183" t="s">
        <v>3535</v>
      </c>
      <c r="AM183" t="s">
        <v>786</v>
      </c>
      <c r="AN183" t="s">
        <v>3536</v>
      </c>
      <c r="AO183" t="s">
        <v>3537</v>
      </c>
      <c r="AP183" t="s">
        <v>74</v>
      </c>
      <c r="AQ183" t="s">
        <v>74</v>
      </c>
      <c r="AR183" t="s">
        <v>3538</v>
      </c>
      <c r="AS183" t="s">
        <v>3539</v>
      </c>
      <c r="AT183" t="s">
        <v>74</v>
      </c>
      <c r="AU183">
        <v>2016</v>
      </c>
      <c r="AV183">
        <v>69</v>
      </c>
      <c r="AW183">
        <v>8</v>
      </c>
      <c r="AX183" t="s">
        <v>74</v>
      </c>
      <c r="AY183" t="s">
        <v>74</v>
      </c>
      <c r="AZ183" t="s">
        <v>74</v>
      </c>
      <c r="BA183" t="s">
        <v>74</v>
      </c>
      <c r="BB183">
        <v>1005</v>
      </c>
      <c r="BC183">
        <v>1012</v>
      </c>
      <c r="BD183" t="s">
        <v>74</v>
      </c>
      <c r="BE183" t="s">
        <v>74</v>
      </c>
      <c r="BF183" t="s">
        <v>74</v>
      </c>
      <c r="BG183" t="s">
        <v>74</v>
      </c>
      <c r="BH183" t="s">
        <v>74</v>
      </c>
      <c r="BI183">
        <v>8</v>
      </c>
      <c r="BJ183" t="s">
        <v>3540</v>
      </c>
      <c r="BK183" t="s">
        <v>264</v>
      </c>
      <c r="BL183" t="s">
        <v>3541</v>
      </c>
      <c r="BM183" t="s">
        <v>3542</v>
      </c>
      <c r="BN183" t="s">
        <v>74</v>
      </c>
      <c r="BO183" t="s">
        <v>74</v>
      </c>
      <c r="BP183" t="s">
        <v>74</v>
      </c>
      <c r="BQ183" t="s">
        <v>74</v>
      </c>
      <c r="BR183" t="s">
        <v>100</v>
      </c>
      <c r="BS183" t="s">
        <v>3543</v>
      </c>
      <c r="BT183" t="str">
        <f>HYPERLINK("https%3A%2F%2Fwww.webofscience.com%2Fwos%2Fwoscc%2Ffull-record%2FWOS:000382411300006","View Full Record in Web of Science")</f>
        <v>View Full Record in Web of Science</v>
      </c>
    </row>
    <row r="184" spans="1:72" x14ac:dyDescent="0.15">
      <c r="A184" t="s">
        <v>267</v>
      </c>
      <c r="B184" t="s">
        <v>3544</v>
      </c>
      <c r="C184" t="s">
        <v>74</v>
      </c>
      <c r="D184" t="s">
        <v>3545</v>
      </c>
      <c r="E184" t="s">
        <v>74</v>
      </c>
      <c r="F184" t="s">
        <v>3546</v>
      </c>
      <c r="G184" t="s">
        <v>74</v>
      </c>
      <c r="H184" t="s">
        <v>74</v>
      </c>
      <c r="I184" t="s">
        <v>3547</v>
      </c>
      <c r="J184" t="s">
        <v>3548</v>
      </c>
      <c r="K184" t="s">
        <v>3549</v>
      </c>
      <c r="L184" t="s">
        <v>74</v>
      </c>
      <c r="M184" t="s">
        <v>200</v>
      </c>
      <c r="N184" t="s">
        <v>273</v>
      </c>
      <c r="O184" t="s">
        <v>3550</v>
      </c>
      <c r="P184" t="s">
        <v>3551</v>
      </c>
      <c r="Q184" t="s">
        <v>3552</v>
      </c>
      <c r="R184" t="s">
        <v>74</v>
      </c>
      <c r="S184" t="s">
        <v>74</v>
      </c>
      <c r="T184" t="s">
        <v>3553</v>
      </c>
      <c r="U184" t="s">
        <v>74</v>
      </c>
      <c r="V184" t="s">
        <v>3554</v>
      </c>
      <c r="W184" t="s">
        <v>3555</v>
      </c>
      <c r="X184" t="s">
        <v>3556</v>
      </c>
      <c r="Y184" t="s">
        <v>3557</v>
      </c>
      <c r="Z184" t="s">
        <v>3558</v>
      </c>
      <c r="AA184" t="s">
        <v>3559</v>
      </c>
      <c r="AB184" t="s">
        <v>74</v>
      </c>
      <c r="AC184" t="s">
        <v>74</v>
      </c>
      <c r="AD184" t="s">
        <v>74</v>
      </c>
      <c r="AE184" t="s">
        <v>74</v>
      </c>
      <c r="AF184" t="s">
        <v>74</v>
      </c>
      <c r="AG184">
        <v>10</v>
      </c>
      <c r="AH184">
        <v>0</v>
      </c>
      <c r="AI184">
        <v>0</v>
      </c>
      <c r="AJ184">
        <v>0</v>
      </c>
      <c r="AK184">
        <v>6</v>
      </c>
      <c r="AL184" t="s">
        <v>3560</v>
      </c>
      <c r="AM184" t="s">
        <v>289</v>
      </c>
      <c r="AN184" t="s">
        <v>3561</v>
      </c>
      <c r="AO184" t="s">
        <v>3562</v>
      </c>
      <c r="AP184" t="s">
        <v>3563</v>
      </c>
      <c r="AQ184" t="s">
        <v>3564</v>
      </c>
      <c r="AR184" t="s">
        <v>3565</v>
      </c>
      <c r="AS184" t="s">
        <v>74</v>
      </c>
      <c r="AT184" t="s">
        <v>74</v>
      </c>
      <c r="AU184">
        <v>2016</v>
      </c>
      <c r="AV184">
        <v>390</v>
      </c>
      <c r="AW184" t="s">
        <v>74</v>
      </c>
      <c r="AX184" t="s">
        <v>74</v>
      </c>
      <c r="AY184" t="s">
        <v>74</v>
      </c>
      <c r="AZ184" t="s">
        <v>74</v>
      </c>
      <c r="BA184" t="s">
        <v>74</v>
      </c>
      <c r="BB184">
        <v>451</v>
      </c>
      <c r="BC184">
        <v>459</v>
      </c>
      <c r="BD184" t="s">
        <v>74</v>
      </c>
      <c r="BE184" t="s">
        <v>3566</v>
      </c>
      <c r="BF184" t="str">
        <f>HYPERLINK("http://dx.doi.org/10.1007/978-981-10-0940-2_39","http://dx.doi.org/10.1007/978-981-10-0940-2_39")</f>
        <v>http://dx.doi.org/10.1007/978-981-10-0940-2_39</v>
      </c>
      <c r="BG184" t="s">
        <v>74</v>
      </c>
      <c r="BH184" t="s">
        <v>74</v>
      </c>
      <c r="BI184">
        <v>9</v>
      </c>
      <c r="BJ184" t="s">
        <v>3567</v>
      </c>
      <c r="BK184" t="s">
        <v>293</v>
      </c>
      <c r="BL184" t="s">
        <v>3568</v>
      </c>
      <c r="BM184" t="s">
        <v>3569</v>
      </c>
      <c r="BN184" t="s">
        <v>74</v>
      </c>
      <c r="BO184" t="s">
        <v>74</v>
      </c>
      <c r="BP184" t="s">
        <v>74</v>
      </c>
      <c r="BQ184" t="s">
        <v>74</v>
      </c>
      <c r="BR184" t="s">
        <v>100</v>
      </c>
      <c r="BS184" t="s">
        <v>3570</v>
      </c>
      <c r="BT184" t="str">
        <f>HYPERLINK("https%3A%2F%2Fwww.webofscience.com%2Fwos%2Fwoscc%2Ffull-record%2FWOS:000381921700039","View Full Record in Web of Science")</f>
        <v>View Full Record in Web of Science</v>
      </c>
    </row>
    <row r="185" spans="1:72" x14ac:dyDescent="0.15">
      <c r="A185" t="s">
        <v>267</v>
      </c>
      <c r="B185" t="s">
        <v>3571</v>
      </c>
      <c r="C185" t="s">
        <v>74</v>
      </c>
      <c r="D185" t="s">
        <v>3572</v>
      </c>
      <c r="E185" t="s">
        <v>74</v>
      </c>
      <c r="F185" t="s">
        <v>3573</v>
      </c>
      <c r="G185" t="s">
        <v>74</v>
      </c>
      <c r="H185" t="s">
        <v>74</v>
      </c>
      <c r="I185" t="s">
        <v>3574</v>
      </c>
      <c r="J185" t="s">
        <v>3575</v>
      </c>
      <c r="K185" t="s">
        <v>3576</v>
      </c>
      <c r="L185" t="s">
        <v>74</v>
      </c>
      <c r="M185" t="s">
        <v>200</v>
      </c>
      <c r="N185" t="s">
        <v>273</v>
      </c>
      <c r="O185" t="s">
        <v>3577</v>
      </c>
      <c r="P185" t="s">
        <v>3578</v>
      </c>
      <c r="Q185" t="s">
        <v>3579</v>
      </c>
      <c r="R185" t="s">
        <v>74</v>
      </c>
      <c r="S185" t="s">
        <v>3580</v>
      </c>
      <c r="T185" t="s">
        <v>74</v>
      </c>
      <c r="U185" t="s">
        <v>3581</v>
      </c>
      <c r="V185" t="s">
        <v>3582</v>
      </c>
      <c r="W185" t="s">
        <v>3583</v>
      </c>
      <c r="X185" t="s">
        <v>3584</v>
      </c>
      <c r="Y185" t="s">
        <v>3585</v>
      </c>
      <c r="Z185" t="s">
        <v>3586</v>
      </c>
      <c r="AA185" t="s">
        <v>74</v>
      </c>
      <c r="AB185" t="s">
        <v>74</v>
      </c>
      <c r="AC185" t="s">
        <v>74</v>
      </c>
      <c r="AD185" t="s">
        <v>74</v>
      </c>
      <c r="AE185" t="s">
        <v>74</v>
      </c>
      <c r="AF185" t="s">
        <v>74</v>
      </c>
      <c r="AG185">
        <v>54</v>
      </c>
      <c r="AH185">
        <v>0</v>
      </c>
      <c r="AI185">
        <v>0</v>
      </c>
      <c r="AJ185">
        <v>0</v>
      </c>
      <c r="AK185">
        <v>4</v>
      </c>
      <c r="AL185" t="s">
        <v>393</v>
      </c>
      <c r="AM185" t="s">
        <v>394</v>
      </c>
      <c r="AN185" t="s">
        <v>395</v>
      </c>
      <c r="AO185" t="s">
        <v>3587</v>
      </c>
      <c r="AP185" t="s">
        <v>3588</v>
      </c>
      <c r="AQ185" t="s">
        <v>3589</v>
      </c>
      <c r="AR185" t="s">
        <v>3590</v>
      </c>
      <c r="AS185" t="s">
        <v>74</v>
      </c>
      <c r="AT185" t="s">
        <v>74</v>
      </c>
      <c r="AU185">
        <v>2016</v>
      </c>
      <c r="AV185" t="s">
        <v>74</v>
      </c>
      <c r="AW185" t="s">
        <v>74</v>
      </c>
      <c r="AX185" t="s">
        <v>74</v>
      </c>
      <c r="AY185" t="s">
        <v>74</v>
      </c>
      <c r="AZ185" t="s">
        <v>74</v>
      </c>
      <c r="BA185" t="s">
        <v>74</v>
      </c>
      <c r="BB185">
        <v>363</v>
      </c>
      <c r="BC185">
        <v>375</v>
      </c>
      <c r="BD185" t="s">
        <v>74</v>
      </c>
      <c r="BE185" t="s">
        <v>3591</v>
      </c>
      <c r="BF185" t="str">
        <f>HYPERLINK("http://dx.doi.org/10.1007/978-3-319-25244-5_18","http://dx.doi.org/10.1007/978-3-319-25244-5_18")</f>
        <v>http://dx.doi.org/10.1007/978-3-319-25244-5_18</v>
      </c>
      <c r="BG185" t="s">
        <v>74</v>
      </c>
      <c r="BH185" t="s">
        <v>74</v>
      </c>
      <c r="BI185">
        <v>13</v>
      </c>
      <c r="BJ185" t="s">
        <v>3592</v>
      </c>
      <c r="BK185" t="s">
        <v>3593</v>
      </c>
      <c r="BL185" t="s">
        <v>3592</v>
      </c>
      <c r="BM185" t="s">
        <v>3594</v>
      </c>
      <c r="BN185" t="s">
        <v>74</v>
      </c>
      <c r="BO185" t="s">
        <v>74</v>
      </c>
      <c r="BP185" t="s">
        <v>74</v>
      </c>
      <c r="BQ185" t="s">
        <v>74</v>
      </c>
      <c r="BR185" t="s">
        <v>100</v>
      </c>
      <c r="BS185" t="s">
        <v>3595</v>
      </c>
      <c r="BT185" t="str">
        <f>HYPERLINK("https%3A%2F%2Fwww.webofscience.com%2Fwos%2Fwoscc%2Ffull-record%2FWOS:000381930600018","View Full Record in Web of Science")</f>
        <v>View Full Record in Web of Science</v>
      </c>
    </row>
    <row r="186" spans="1:72" x14ac:dyDescent="0.15">
      <c r="A186" t="s">
        <v>72</v>
      </c>
      <c r="B186" t="s">
        <v>3596</v>
      </c>
      <c r="C186" t="s">
        <v>74</v>
      </c>
      <c r="D186" t="s">
        <v>74</v>
      </c>
      <c r="E186" t="s">
        <v>74</v>
      </c>
      <c r="F186" t="s">
        <v>3597</v>
      </c>
      <c r="G186" t="s">
        <v>74</v>
      </c>
      <c r="H186" t="s">
        <v>74</v>
      </c>
      <c r="I186" t="s">
        <v>3598</v>
      </c>
      <c r="J186" t="s">
        <v>3599</v>
      </c>
      <c r="K186" t="s">
        <v>74</v>
      </c>
      <c r="L186" t="s">
        <v>74</v>
      </c>
      <c r="M186" t="s">
        <v>200</v>
      </c>
      <c r="N186" t="s">
        <v>79</v>
      </c>
      <c r="O186" t="s">
        <v>74</v>
      </c>
      <c r="P186" t="s">
        <v>74</v>
      </c>
      <c r="Q186" t="s">
        <v>74</v>
      </c>
      <c r="R186" t="s">
        <v>74</v>
      </c>
      <c r="S186" t="s">
        <v>74</v>
      </c>
      <c r="T186" t="s">
        <v>3600</v>
      </c>
      <c r="U186" t="s">
        <v>3601</v>
      </c>
      <c r="V186" t="s">
        <v>3602</v>
      </c>
      <c r="W186" t="s">
        <v>3603</v>
      </c>
      <c r="X186" t="s">
        <v>3604</v>
      </c>
      <c r="Y186" t="s">
        <v>3605</v>
      </c>
      <c r="Z186" t="s">
        <v>3606</v>
      </c>
      <c r="AA186" t="s">
        <v>3607</v>
      </c>
      <c r="AB186" t="s">
        <v>3608</v>
      </c>
      <c r="AC186" t="s">
        <v>3609</v>
      </c>
      <c r="AD186" t="s">
        <v>3610</v>
      </c>
      <c r="AE186" t="s">
        <v>3611</v>
      </c>
      <c r="AF186" t="s">
        <v>74</v>
      </c>
      <c r="AG186">
        <v>22</v>
      </c>
      <c r="AH186">
        <v>6</v>
      </c>
      <c r="AI186">
        <v>6</v>
      </c>
      <c r="AJ186">
        <v>0</v>
      </c>
      <c r="AK186">
        <v>14</v>
      </c>
      <c r="AL186" t="s">
        <v>502</v>
      </c>
      <c r="AM186" t="s">
        <v>503</v>
      </c>
      <c r="AN186" t="s">
        <v>504</v>
      </c>
      <c r="AO186" t="s">
        <v>3612</v>
      </c>
      <c r="AP186" t="s">
        <v>3613</v>
      </c>
      <c r="AQ186" t="s">
        <v>74</v>
      </c>
      <c r="AR186" t="s">
        <v>3614</v>
      </c>
      <c r="AS186" t="s">
        <v>3615</v>
      </c>
      <c r="AT186" t="s">
        <v>74</v>
      </c>
      <c r="AU186">
        <v>2016</v>
      </c>
      <c r="AV186">
        <v>18</v>
      </c>
      <c r="AW186">
        <v>10</v>
      </c>
      <c r="AX186" t="s">
        <v>74</v>
      </c>
      <c r="AY186" t="s">
        <v>74</v>
      </c>
      <c r="AZ186" t="s">
        <v>74</v>
      </c>
      <c r="BA186" t="s">
        <v>74</v>
      </c>
      <c r="BB186">
        <v>959</v>
      </c>
      <c r="BC186">
        <v>965</v>
      </c>
      <c r="BD186" t="s">
        <v>74</v>
      </c>
      <c r="BE186" t="s">
        <v>3616</v>
      </c>
      <c r="BF186" t="str">
        <f>HYPERLINK("http://dx.doi.org/10.1080/10286020.2016.1174699","http://dx.doi.org/10.1080/10286020.2016.1174699")</f>
        <v>http://dx.doi.org/10.1080/10286020.2016.1174699</v>
      </c>
      <c r="BG186" t="s">
        <v>74</v>
      </c>
      <c r="BH186" t="s">
        <v>74</v>
      </c>
      <c r="BI186">
        <v>7</v>
      </c>
      <c r="BJ186" t="s">
        <v>3617</v>
      </c>
      <c r="BK186" t="s">
        <v>3618</v>
      </c>
      <c r="BL186" t="s">
        <v>3619</v>
      </c>
      <c r="BM186" t="s">
        <v>3620</v>
      </c>
      <c r="BN186">
        <v>27249624</v>
      </c>
      <c r="BO186" t="s">
        <v>74</v>
      </c>
      <c r="BP186" t="s">
        <v>74</v>
      </c>
      <c r="BQ186" t="s">
        <v>74</v>
      </c>
      <c r="BR186" t="s">
        <v>100</v>
      </c>
      <c r="BS186" t="s">
        <v>3621</v>
      </c>
      <c r="BT186" t="str">
        <f>HYPERLINK("https%3A%2F%2Fwww.webofscience.com%2Fwos%2Fwoscc%2Ffull-record%2FWOS:000381494000007","View Full Record in Web of Science")</f>
        <v>View Full Record in Web of Science</v>
      </c>
    </row>
    <row r="187" spans="1:72" x14ac:dyDescent="0.15">
      <c r="A187" t="s">
        <v>72</v>
      </c>
      <c r="B187" t="s">
        <v>3622</v>
      </c>
      <c r="C187" t="s">
        <v>74</v>
      </c>
      <c r="D187" t="s">
        <v>74</v>
      </c>
      <c r="E187" t="s">
        <v>74</v>
      </c>
      <c r="F187" t="s">
        <v>3623</v>
      </c>
      <c r="G187" t="s">
        <v>74</v>
      </c>
      <c r="H187" t="s">
        <v>74</v>
      </c>
      <c r="I187" t="s">
        <v>3624</v>
      </c>
      <c r="J187" t="s">
        <v>2619</v>
      </c>
      <c r="K187" t="s">
        <v>74</v>
      </c>
      <c r="L187" t="s">
        <v>74</v>
      </c>
      <c r="M187" t="s">
        <v>200</v>
      </c>
      <c r="N187" t="s">
        <v>79</v>
      </c>
      <c r="O187" t="s">
        <v>74</v>
      </c>
      <c r="P187" t="s">
        <v>74</v>
      </c>
      <c r="Q187" t="s">
        <v>74</v>
      </c>
      <c r="R187" t="s">
        <v>74</v>
      </c>
      <c r="S187" t="s">
        <v>74</v>
      </c>
      <c r="T187" t="s">
        <v>3625</v>
      </c>
      <c r="U187" t="s">
        <v>3626</v>
      </c>
      <c r="V187" t="s">
        <v>3627</v>
      </c>
      <c r="W187" t="s">
        <v>3628</v>
      </c>
      <c r="X187" t="s">
        <v>3629</v>
      </c>
      <c r="Y187" t="s">
        <v>3630</v>
      </c>
      <c r="Z187" t="s">
        <v>3631</v>
      </c>
      <c r="AA187" t="s">
        <v>3632</v>
      </c>
      <c r="AB187" t="s">
        <v>3633</v>
      </c>
      <c r="AC187" t="s">
        <v>3634</v>
      </c>
      <c r="AD187" t="s">
        <v>3635</v>
      </c>
      <c r="AE187" t="s">
        <v>3636</v>
      </c>
      <c r="AF187" t="s">
        <v>74</v>
      </c>
      <c r="AG187">
        <v>48</v>
      </c>
      <c r="AH187">
        <v>6</v>
      </c>
      <c r="AI187">
        <v>6</v>
      </c>
      <c r="AJ187">
        <v>0</v>
      </c>
      <c r="AK187">
        <v>3</v>
      </c>
      <c r="AL187" t="s">
        <v>1967</v>
      </c>
      <c r="AM187" t="s">
        <v>1968</v>
      </c>
      <c r="AN187" t="s">
        <v>1969</v>
      </c>
      <c r="AO187" t="s">
        <v>2632</v>
      </c>
      <c r="AP187" t="s">
        <v>2633</v>
      </c>
      <c r="AQ187" t="s">
        <v>74</v>
      </c>
      <c r="AR187" t="s">
        <v>2634</v>
      </c>
      <c r="AS187" t="s">
        <v>2635</v>
      </c>
      <c r="AT187" t="s">
        <v>74</v>
      </c>
      <c r="AU187">
        <v>2016</v>
      </c>
      <c r="AV187">
        <v>35</v>
      </c>
      <c r="AW187" t="s">
        <v>74</v>
      </c>
      <c r="AX187" t="s">
        <v>74</v>
      </c>
      <c r="AY187" t="s">
        <v>74</v>
      </c>
      <c r="AZ187" t="s">
        <v>74</v>
      </c>
      <c r="BA187" t="s">
        <v>74</v>
      </c>
      <c r="BB187" t="s">
        <v>74</v>
      </c>
      <c r="BC187" t="s">
        <v>74</v>
      </c>
      <c r="BD187">
        <v>25420</v>
      </c>
      <c r="BE187" t="s">
        <v>3637</v>
      </c>
      <c r="BF187" t="str">
        <f>HYPERLINK("http://dx.doi.org/10.3402/polar.v35.25420","http://dx.doi.org/10.3402/polar.v35.25420")</f>
        <v>http://dx.doi.org/10.3402/polar.v35.25420</v>
      </c>
      <c r="BG187" t="s">
        <v>74</v>
      </c>
      <c r="BH187" t="s">
        <v>74</v>
      </c>
      <c r="BI187">
        <v>15</v>
      </c>
      <c r="BJ187" t="s">
        <v>2637</v>
      </c>
      <c r="BK187" t="s">
        <v>264</v>
      </c>
      <c r="BL187" t="s">
        <v>2638</v>
      </c>
      <c r="BM187" t="s">
        <v>3638</v>
      </c>
      <c r="BN187" t="s">
        <v>74</v>
      </c>
      <c r="BO187" t="s">
        <v>511</v>
      </c>
      <c r="BP187" t="s">
        <v>74</v>
      </c>
      <c r="BQ187" t="s">
        <v>74</v>
      </c>
      <c r="BR187" t="s">
        <v>100</v>
      </c>
      <c r="BS187" t="s">
        <v>3639</v>
      </c>
      <c r="BT187" t="str">
        <f>HYPERLINK("https%3A%2F%2Fwww.webofscience.com%2Fwos%2Fwoscc%2Ffull-record%2FWOS:000381040600001","View Full Record in Web of Science")</f>
        <v>View Full Record in Web of Science</v>
      </c>
    </row>
    <row r="188" spans="1:72" x14ac:dyDescent="0.15">
      <c r="A188" t="s">
        <v>72</v>
      </c>
      <c r="B188" t="s">
        <v>3640</v>
      </c>
      <c r="C188" t="s">
        <v>74</v>
      </c>
      <c r="D188" t="s">
        <v>74</v>
      </c>
      <c r="E188" t="s">
        <v>74</v>
      </c>
      <c r="F188" t="s">
        <v>3641</v>
      </c>
      <c r="G188" t="s">
        <v>74</v>
      </c>
      <c r="H188" t="s">
        <v>74</v>
      </c>
      <c r="I188" t="s">
        <v>3642</v>
      </c>
      <c r="J188" t="s">
        <v>2619</v>
      </c>
      <c r="K188" t="s">
        <v>74</v>
      </c>
      <c r="L188" t="s">
        <v>74</v>
      </c>
      <c r="M188" t="s">
        <v>200</v>
      </c>
      <c r="N188" t="s">
        <v>79</v>
      </c>
      <c r="O188" t="s">
        <v>74</v>
      </c>
      <c r="P188" t="s">
        <v>74</v>
      </c>
      <c r="Q188" t="s">
        <v>74</v>
      </c>
      <c r="R188" t="s">
        <v>74</v>
      </c>
      <c r="S188" t="s">
        <v>74</v>
      </c>
      <c r="T188" t="s">
        <v>3643</v>
      </c>
      <c r="U188" t="s">
        <v>3644</v>
      </c>
      <c r="V188" t="s">
        <v>3645</v>
      </c>
      <c r="W188" t="s">
        <v>3646</v>
      </c>
      <c r="X188" t="s">
        <v>3647</v>
      </c>
      <c r="Y188" t="s">
        <v>3648</v>
      </c>
      <c r="Z188" t="s">
        <v>3649</v>
      </c>
      <c r="AA188" t="s">
        <v>3650</v>
      </c>
      <c r="AB188" t="s">
        <v>3651</v>
      </c>
      <c r="AC188" t="s">
        <v>3652</v>
      </c>
      <c r="AD188" t="s">
        <v>3653</v>
      </c>
      <c r="AE188" t="s">
        <v>3654</v>
      </c>
      <c r="AF188" t="s">
        <v>74</v>
      </c>
      <c r="AG188">
        <v>52</v>
      </c>
      <c r="AH188">
        <v>11</v>
      </c>
      <c r="AI188">
        <v>12</v>
      </c>
      <c r="AJ188">
        <v>0</v>
      </c>
      <c r="AK188">
        <v>15</v>
      </c>
      <c r="AL188" t="s">
        <v>3655</v>
      </c>
      <c r="AM188" t="s">
        <v>3656</v>
      </c>
      <c r="AN188" t="s">
        <v>3657</v>
      </c>
      <c r="AO188" t="s">
        <v>2632</v>
      </c>
      <c r="AP188" t="s">
        <v>2633</v>
      </c>
      <c r="AQ188" t="s">
        <v>74</v>
      </c>
      <c r="AR188" t="s">
        <v>3658</v>
      </c>
      <c r="AS188" t="s">
        <v>2635</v>
      </c>
      <c r="AT188" t="s">
        <v>74</v>
      </c>
      <c r="AU188">
        <v>2016</v>
      </c>
      <c r="AV188">
        <v>35</v>
      </c>
      <c r="AW188" t="s">
        <v>74</v>
      </c>
      <c r="AX188" t="s">
        <v>74</v>
      </c>
      <c r="AY188" t="s">
        <v>74</v>
      </c>
      <c r="AZ188" t="s">
        <v>74</v>
      </c>
      <c r="BA188" t="s">
        <v>74</v>
      </c>
      <c r="BB188" t="s">
        <v>74</v>
      </c>
      <c r="BC188" t="s">
        <v>74</v>
      </c>
      <c r="BD188">
        <v>28516</v>
      </c>
      <c r="BE188" t="s">
        <v>3659</v>
      </c>
      <c r="BF188" t="str">
        <f>HYPERLINK("http://dx.doi.org/10.3402/polar.v35.28516","http://dx.doi.org/10.3402/polar.v35.28516")</f>
        <v>http://dx.doi.org/10.3402/polar.v35.28516</v>
      </c>
      <c r="BG188" t="s">
        <v>74</v>
      </c>
      <c r="BH188" t="s">
        <v>74</v>
      </c>
      <c r="BI188">
        <v>6</v>
      </c>
      <c r="BJ188" t="s">
        <v>2637</v>
      </c>
      <c r="BK188" t="s">
        <v>264</v>
      </c>
      <c r="BL188" t="s">
        <v>2638</v>
      </c>
      <c r="BM188" t="s">
        <v>3660</v>
      </c>
      <c r="BN188" t="s">
        <v>74</v>
      </c>
      <c r="BO188" t="s">
        <v>511</v>
      </c>
      <c r="BP188" t="s">
        <v>74</v>
      </c>
      <c r="BQ188" t="s">
        <v>74</v>
      </c>
      <c r="BR188" t="s">
        <v>100</v>
      </c>
      <c r="BS188" t="s">
        <v>3661</v>
      </c>
      <c r="BT188" t="str">
        <f>HYPERLINK("https%3A%2F%2Fwww.webofscience.com%2Fwos%2Fwoscc%2Ffull-record%2FWOS:000381042000001","View Full Record in Web of Science")</f>
        <v>View Full Record in Web of Science</v>
      </c>
    </row>
    <row r="189" spans="1:72" x14ac:dyDescent="0.15">
      <c r="A189" t="s">
        <v>72</v>
      </c>
      <c r="B189" t="s">
        <v>3662</v>
      </c>
      <c r="C189" t="s">
        <v>74</v>
      </c>
      <c r="D189" t="s">
        <v>74</v>
      </c>
      <c r="E189" t="s">
        <v>74</v>
      </c>
      <c r="F189" t="s">
        <v>3663</v>
      </c>
      <c r="G189" t="s">
        <v>74</v>
      </c>
      <c r="H189" t="s">
        <v>74</v>
      </c>
      <c r="I189" t="s">
        <v>3664</v>
      </c>
      <c r="J189" t="s">
        <v>2619</v>
      </c>
      <c r="K189" t="s">
        <v>74</v>
      </c>
      <c r="L189" t="s">
        <v>74</v>
      </c>
      <c r="M189" t="s">
        <v>200</v>
      </c>
      <c r="N189" t="s">
        <v>79</v>
      </c>
      <c r="O189" t="s">
        <v>74</v>
      </c>
      <c r="P189" t="s">
        <v>74</v>
      </c>
      <c r="Q189" t="s">
        <v>74</v>
      </c>
      <c r="R189" t="s">
        <v>74</v>
      </c>
      <c r="S189" t="s">
        <v>74</v>
      </c>
      <c r="T189" t="s">
        <v>3665</v>
      </c>
      <c r="U189" t="s">
        <v>3666</v>
      </c>
      <c r="V189" t="s">
        <v>3667</v>
      </c>
      <c r="W189" t="s">
        <v>3668</v>
      </c>
      <c r="X189" t="s">
        <v>3669</v>
      </c>
      <c r="Y189" t="s">
        <v>3670</v>
      </c>
      <c r="Z189" t="s">
        <v>3671</v>
      </c>
      <c r="AA189" t="s">
        <v>3672</v>
      </c>
      <c r="AB189" t="s">
        <v>3673</v>
      </c>
      <c r="AC189" t="s">
        <v>3674</v>
      </c>
      <c r="AD189" t="s">
        <v>3675</v>
      </c>
      <c r="AE189" t="s">
        <v>3676</v>
      </c>
      <c r="AF189" t="s">
        <v>74</v>
      </c>
      <c r="AG189">
        <v>62</v>
      </c>
      <c r="AH189">
        <v>5</v>
      </c>
      <c r="AI189">
        <v>5</v>
      </c>
      <c r="AJ189">
        <v>0</v>
      </c>
      <c r="AK189">
        <v>15</v>
      </c>
      <c r="AL189" t="s">
        <v>3655</v>
      </c>
      <c r="AM189" t="s">
        <v>3656</v>
      </c>
      <c r="AN189" t="s">
        <v>3657</v>
      </c>
      <c r="AO189" t="s">
        <v>2632</v>
      </c>
      <c r="AP189" t="s">
        <v>2633</v>
      </c>
      <c r="AQ189" t="s">
        <v>74</v>
      </c>
      <c r="AR189" t="s">
        <v>3658</v>
      </c>
      <c r="AS189" t="s">
        <v>2635</v>
      </c>
      <c r="AT189" t="s">
        <v>74</v>
      </c>
      <c r="AU189">
        <v>2016</v>
      </c>
      <c r="AV189">
        <v>35</v>
      </c>
      <c r="AW189" t="s">
        <v>74</v>
      </c>
      <c r="AX189" t="s">
        <v>74</v>
      </c>
      <c r="AY189" t="s">
        <v>74</v>
      </c>
      <c r="AZ189" t="s">
        <v>74</v>
      </c>
      <c r="BA189" t="s">
        <v>74</v>
      </c>
      <c r="BB189" t="s">
        <v>74</v>
      </c>
      <c r="BC189" t="s">
        <v>74</v>
      </c>
      <c r="BD189">
        <v>29383</v>
      </c>
      <c r="BE189" t="s">
        <v>3677</v>
      </c>
      <c r="BF189" t="str">
        <f>HYPERLINK("http://dx.doi.org/10.3402/polar.v35.29383","http://dx.doi.org/10.3402/polar.v35.29383")</f>
        <v>http://dx.doi.org/10.3402/polar.v35.29383</v>
      </c>
      <c r="BG189" t="s">
        <v>74</v>
      </c>
      <c r="BH189" t="s">
        <v>74</v>
      </c>
      <c r="BI189">
        <v>10</v>
      </c>
      <c r="BJ189" t="s">
        <v>2637</v>
      </c>
      <c r="BK189" t="s">
        <v>264</v>
      </c>
      <c r="BL189" t="s">
        <v>2638</v>
      </c>
      <c r="BM189" t="s">
        <v>3678</v>
      </c>
      <c r="BN189" t="s">
        <v>74</v>
      </c>
      <c r="BO189" t="s">
        <v>99</v>
      </c>
      <c r="BP189" t="s">
        <v>74</v>
      </c>
      <c r="BQ189" t="s">
        <v>74</v>
      </c>
      <c r="BR189" t="s">
        <v>100</v>
      </c>
      <c r="BS189" t="s">
        <v>3679</v>
      </c>
      <c r="BT189" t="str">
        <f>HYPERLINK("https%3A%2F%2Fwww.webofscience.com%2Fwos%2Fwoscc%2Ffull-record%2FWOS:000381043100001","View Full Record in Web of Science")</f>
        <v>View Full Record in Web of Science</v>
      </c>
    </row>
    <row r="190" spans="1:72" x14ac:dyDescent="0.15">
      <c r="A190" t="s">
        <v>72</v>
      </c>
      <c r="B190" t="s">
        <v>3680</v>
      </c>
      <c r="C190" t="s">
        <v>74</v>
      </c>
      <c r="D190" t="s">
        <v>74</v>
      </c>
      <c r="E190" t="s">
        <v>74</v>
      </c>
      <c r="F190" t="s">
        <v>3681</v>
      </c>
      <c r="G190" t="s">
        <v>74</v>
      </c>
      <c r="H190" t="s">
        <v>74</v>
      </c>
      <c r="I190" t="s">
        <v>3682</v>
      </c>
      <c r="J190" t="s">
        <v>2619</v>
      </c>
      <c r="K190" t="s">
        <v>74</v>
      </c>
      <c r="L190" t="s">
        <v>74</v>
      </c>
      <c r="M190" t="s">
        <v>200</v>
      </c>
      <c r="N190" t="s">
        <v>79</v>
      </c>
      <c r="O190" t="s">
        <v>74</v>
      </c>
      <c r="P190" t="s">
        <v>74</v>
      </c>
      <c r="Q190" t="s">
        <v>74</v>
      </c>
      <c r="R190" t="s">
        <v>74</v>
      </c>
      <c r="S190" t="s">
        <v>74</v>
      </c>
      <c r="T190" t="s">
        <v>3683</v>
      </c>
      <c r="U190" t="s">
        <v>3684</v>
      </c>
      <c r="V190" t="s">
        <v>3685</v>
      </c>
      <c r="W190" t="s">
        <v>3686</v>
      </c>
      <c r="X190" t="s">
        <v>3687</v>
      </c>
      <c r="Y190" t="s">
        <v>3688</v>
      </c>
      <c r="Z190" t="s">
        <v>3689</v>
      </c>
      <c r="AA190" t="s">
        <v>74</v>
      </c>
      <c r="AB190" t="s">
        <v>3690</v>
      </c>
      <c r="AC190" t="s">
        <v>3691</v>
      </c>
      <c r="AD190" t="s">
        <v>3692</v>
      </c>
      <c r="AE190" t="s">
        <v>3693</v>
      </c>
      <c r="AF190" t="s">
        <v>74</v>
      </c>
      <c r="AG190">
        <v>51</v>
      </c>
      <c r="AH190">
        <v>3</v>
      </c>
      <c r="AI190">
        <v>4</v>
      </c>
      <c r="AJ190">
        <v>0</v>
      </c>
      <c r="AK190">
        <v>13</v>
      </c>
      <c r="AL190" t="s">
        <v>3655</v>
      </c>
      <c r="AM190" t="s">
        <v>3656</v>
      </c>
      <c r="AN190" t="s">
        <v>3657</v>
      </c>
      <c r="AO190" t="s">
        <v>2632</v>
      </c>
      <c r="AP190" t="s">
        <v>2633</v>
      </c>
      <c r="AQ190" t="s">
        <v>74</v>
      </c>
      <c r="AR190" t="s">
        <v>2634</v>
      </c>
      <c r="AS190" t="s">
        <v>2635</v>
      </c>
      <c r="AT190" t="s">
        <v>74</v>
      </c>
      <c r="AU190">
        <v>2016</v>
      </c>
      <c r="AV190">
        <v>35</v>
      </c>
      <c r="AW190" t="s">
        <v>74</v>
      </c>
      <c r="AX190" t="s">
        <v>74</v>
      </c>
      <c r="AY190" t="s">
        <v>74</v>
      </c>
      <c r="AZ190" t="s">
        <v>74</v>
      </c>
      <c r="BA190" t="s">
        <v>74</v>
      </c>
      <c r="BB190" t="s">
        <v>74</v>
      </c>
      <c r="BC190" t="s">
        <v>74</v>
      </c>
      <c r="BD190">
        <v>28765</v>
      </c>
      <c r="BE190" t="s">
        <v>3694</v>
      </c>
      <c r="BF190" t="str">
        <f>HYPERLINK("http://dx.doi.org/10.3402/polar.v35.28765","http://dx.doi.org/10.3402/polar.v35.28765")</f>
        <v>http://dx.doi.org/10.3402/polar.v35.28765</v>
      </c>
      <c r="BG190" t="s">
        <v>74</v>
      </c>
      <c r="BH190" t="s">
        <v>74</v>
      </c>
      <c r="BI190">
        <v>7</v>
      </c>
      <c r="BJ190" t="s">
        <v>2637</v>
      </c>
      <c r="BK190" t="s">
        <v>264</v>
      </c>
      <c r="BL190" t="s">
        <v>2638</v>
      </c>
      <c r="BM190" t="s">
        <v>3695</v>
      </c>
      <c r="BN190" t="s">
        <v>74</v>
      </c>
      <c r="BO190" t="s">
        <v>511</v>
      </c>
      <c r="BP190" t="s">
        <v>74</v>
      </c>
      <c r="BQ190" t="s">
        <v>74</v>
      </c>
      <c r="BR190" t="s">
        <v>100</v>
      </c>
      <c r="BS190" t="s">
        <v>3696</v>
      </c>
      <c r="BT190" t="str">
        <f>HYPERLINK("https%3A%2F%2Fwww.webofscience.com%2Fwos%2Fwoscc%2Ffull-record%2FWOS:000381042300001","View Full Record in Web of Science")</f>
        <v>View Full Record in Web of Science</v>
      </c>
    </row>
    <row r="191" spans="1:72" x14ac:dyDescent="0.15">
      <c r="A191" t="s">
        <v>72</v>
      </c>
      <c r="B191" t="s">
        <v>3697</v>
      </c>
      <c r="C191" t="s">
        <v>74</v>
      </c>
      <c r="D191" t="s">
        <v>74</v>
      </c>
      <c r="E191" t="s">
        <v>74</v>
      </c>
      <c r="F191" t="s">
        <v>3698</v>
      </c>
      <c r="G191" t="s">
        <v>74</v>
      </c>
      <c r="H191" t="s">
        <v>74</v>
      </c>
      <c r="I191" t="s">
        <v>3699</v>
      </c>
      <c r="J191" t="s">
        <v>3700</v>
      </c>
      <c r="K191" t="s">
        <v>74</v>
      </c>
      <c r="L191" t="s">
        <v>74</v>
      </c>
      <c r="M191" t="s">
        <v>200</v>
      </c>
      <c r="N191" t="s">
        <v>79</v>
      </c>
      <c r="O191" t="s">
        <v>74</v>
      </c>
      <c r="P191" t="s">
        <v>74</v>
      </c>
      <c r="Q191" t="s">
        <v>74</v>
      </c>
      <c r="R191" t="s">
        <v>74</v>
      </c>
      <c r="S191" t="s">
        <v>74</v>
      </c>
      <c r="T191" t="s">
        <v>3701</v>
      </c>
      <c r="U191" t="s">
        <v>3702</v>
      </c>
      <c r="V191" t="s">
        <v>3703</v>
      </c>
      <c r="W191" t="s">
        <v>3704</v>
      </c>
      <c r="X191" t="s">
        <v>3705</v>
      </c>
      <c r="Y191" t="s">
        <v>3706</v>
      </c>
      <c r="Z191" t="s">
        <v>3707</v>
      </c>
      <c r="AA191" t="s">
        <v>3708</v>
      </c>
      <c r="AB191" t="s">
        <v>3709</v>
      </c>
      <c r="AC191" t="s">
        <v>3710</v>
      </c>
      <c r="AD191" t="s">
        <v>3711</v>
      </c>
      <c r="AE191" t="s">
        <v>3712</v>
      </c>
      <c r="AF191" t="s">
        <v>74</v>
      </c>
      <c r="AG191">
        <v>59</v>
      </c>
      <c r="AH191">
        <v>24</v>
      </c>
      <c r="AI191">
        <v>26</v>
      </c>
      <c r="AJ191">
        <v>1</v>
      </c>
      <c r="AK191">
        <v>52</v>
      </c>
      <c r="AL191" t="s">
        <v>502</v>
      </c>
      <c r="AM191" t="s">
        <v>503</v>
      </c>
      <c r="AN191" t="s">
        <v>504</v>
      </c>
      <c r="AO191" t="s">
        <v>3713</v>
      </c>
      <c r="AP191" t="s">
        <v>3714</v>
      </c>
      <c r="AQ191" t="s">
        <v>74</v>
      </c>
      <c r="AR191" t="s">
        <v>3715</v>
      </c>
      <c r="AS191" t="s">
        <v>3716</v>
      </c>
      <c r="AT191" t="s">
        <v>74</v>
      </c>
      <c r="AU191">
        <v>2016</v>
      </c>
      <c r="AV191">
        <v>32</v>
      </c>
      <c r="AW191">
        <v>8</v>
      </c>
      <c r="AX191" t="s">
        <v>74</v>
      </c>
      <c r="AY191" t="s">
        <v>74</v>
      </c>
      <c r="AZ191" t="s">
        <v>74</v>
      </c>
      <c r="BA191" t="s">
        <v>74</v>
      </c>
      <c r="BB191">
        <v>786</v>
      </c>
      <c r="BC191">
        <v>800</v>
      </c>
      <c r="BD191" t="s">
        <v>74</v>
      </c>
      <c r="BE191" t="s">
        <v>3717</v>
      </c>
      <c r="BF191" t="str">
        <f>HYPERLINK("http://dx.doi.org/10.1080/02757540.2016.1177520","http://dx.doi.org/10.1080/02757540.2016.1177520")</f>
        <v>http://dx.doi.org/10.1080/02757540.2016.1177520</v>
      </c>
      <c r="BG191" t="s">
        <v>74</v>
      </c>
      <c r="BH191" t="s">
        <v>74</v>
      </c>
      <c r="BI191">
        <v>15</v>
      </c>
      <c r="BJ191" t="s">
        <v>3718</v>
      </c>
      <c r="BK191" t="s">
        <v>264</v>
      </c>
      <c r="BL191" t="s">
        <v>3719</v>
      </c>
      <c r="BM191" t="s">
        <v>3720</v>
      </c>
      <c r="BN191" t="s">
        <v>74</v>
      </c>
      <c r="BO191" t="s">
        <v>403</v>
      </c>
      <c r="BP191" t="s">
        <v>74</v>
      </c>
      <c r="BQ191" t="s">
        <v>74</v>
      </c>
      <c r="BR191" t="s">
        <v>100</v>
      </c>
      <c r="BS191" t="s">
        <v>3721</v>
      </c>
      <c r="BT191" t="str">
        <f>HYPERLINK("https%3A%2F%2Fwww.webofscience.com%2Fwos%2Fwoscc%2Ffull-record%2FWOS:000381034000007","View Full Record in Web of Science")</f>
        <v>View Full Record in Web of Science</v>
      </c>
    </row>
    <row r="192" spans="1:72" x14ac:dyDescent="0.15">
      <c r="A192" t="s">
        <v>72</v>
      </c>
      <c r="B192" t="s">
        <v>3722</v>
      </c>
      <c r="C192" t="s">
        <v>74</v>
      </c>
      <c r="D192" t="s">
        <v>74</v>
      </c>
      <c r="E192" t="s">
        <v>74</v>
      </c>
      <c r="F192" t="s">
        <v>3723</v>
      </c>
      <c r="G192" t="s">
        <v>74</v>
      </c>
      <c r="H192" t="s">
        <v>74</v>
      </c>
      <c r="I192" t="s">
        <v>3724</v>
      </c>
      <c r="J192" t="s">
        <v>3725</v>
      </c>
      <c r="K192" t="s">
        <v>74</v>
      </c>
      <c r="L192" t="s">
        <v>74</v>
      </c>
      <c r="M192" t="s">
        <v>200</v>
      </c>
      <c r="N192" t="s">
        <v>79</v>
      </c>
      <c r="O192" t="s">
        <v>74</v>
      </c>
      <c r="P192" t="s">
        <v>74</v>
      </c>
      <c r="Q192" t="s">
        <v>74</v>
      </c>
      <c r="R192" t="s">
        <v>74</v>
      </c>
      <c r="S192" t="s">
        <v>74</v>
      </c>
      <c r="T192" t="s">
        <v>3726</v>
      </c>
      <c r="U192" t="s">
        <v>3727</v>
      </c>
      <c r="V192" t="s">
        <v>3728</v>
      </c>
      <c r="W192" t="s">
        <v>3729</v>
      </c>
      <c r="X192" t="s">
        <v>3730</v>
      </c>
      <c r="Y192" t="s">
        <v>3731</v>
      </c>
      <c r="Z192" t="s">
        <v>3732</v>
      </c>
      <c r="AA192" t="s">
        <v>3733</v>
      </c>
      <c r="AB192" t="s">
        <v>3734</v>
      </c>
      <c r="AC192" t="s">
        <v>74</v>
      </c>
      <c r="AD192" t="s">
        <v>74</v>
      </c>
      <c r="AE192" t="s">
        <v>74</v>
      </c>
      <c r="AF192" t="s">
        <v>74</v>
      </c>
      <c r="AG192">
        <v>72</v>
      </c>
      <c r="AH192">
        <v>51</v>
      </c>
      <c r="AI192">
        <v>59</v>
      </c>
      <c r="AJ192">
        <v>3</v>
      </c>
      <c r="AK192">
        <v>38</v>
      </c>
      <c r="AL192" t="s">
        <v>3735</v>
      </c>
      <c r="AM192" t="s">
        <v>3736</v>
      </c>
      <c r="AN192" t="s">
        <v>3737</v>
      </c>
      <c r="AO192" t="s">
        <v>3738</v>
      </c>
      <c r="AP192" t="s">
        <v>3739</v>
      </c>
      <c r="AQ192" t="s">
        <v>74</v>
      </c>
      <c r="AR192" t="s">
        <v>3740</v>
      </c>
      <c r="AS192" t="s">
        <v>3741</v>
      </c>
      <c r="AT192" t="s">
        <v>74</v>
      </c>
      <c r="AU192">
        <v>2016</v>
      </c>
      <c r="AV192">
        <v>30</v>
      </c>
      <c r="AW192" t="s">
        <v>74</v>
      </c>
      <c r="AX192" t="s">
        <v>74</v>
      </c>
      <c r="AY192" t="s">
        <v>74</v>
      </c>
      <c r="AZ192" t="s">
        <v>74</v>
      </c>
      <c r="BA192" t="s">
        <v>74</v>
      </c>
      <c r="BB192">
        <v>239</v>
      </c>
      <c r="BC192">
        <v>253</v>
      </c>
      <c r="BD192" t="s">
        <v>74</v>
      </c>
      <c r="BE192" t="s">
        <v>3742</v>
      </c>
      <c r="BF192" t="str">
        <f>HYPERLINK("http://dx.doi.org/10.3354/esr00739","http://dx.doi.org/10.3354/esr00739")</f>
        <v>http://dx.doi.org/10.3354/esr00739</v>
      </c>
      <c r="BG192" t="s">
        <v>74</v>
      </c>
      <c r="BH192" t="s">
        <v>74</v>
      </c>
      <c r="BI192">
        <v>15</v>
      </c>
      <c r="BJ192" t="s">
        <v>3743</v>
      </c>
      <c r="BK192" t="s">
        <v>264</v>
      </c>
      <c r="BL192" t="s">
        <v>3744</v>
      </c>
      <c r="BM192" t="s">
        <v>3745</v>
      </c>
      <c r="BN192" t="s">
        <v>74</v>
      </c>
      <c r="BO192" t="s">
        <v>2134</v>
      </c>
      <c r="BP192" t="s">
        <v>74</v>
      </c>
      <c r="BQ192" t="s">
        <v>74</v>
      </c>
      <c r="BR192" t="s">
        <v>100</v>
      </c>
      <c r="BS192" t="s">
        <v>3746</v>
      </c>
      <c r="BT192" t="str">
        <f>HYPERLINK("https%3A%2F%2Fwww.webofscience.com%2Fwos%2Fwoscc%2Ffull-record%2FWOS:000381687800001","View Full Record in Web of Science")</f>
        <v>View Full Record in Web of Science</v>
      </c>
    </row>
    <row r="193" spans="1:72" x14ac:dyDescent="0.15">
      <c r="A193" t="s">
        <v>72</v>
      </c>
      <c r="B193" t="s">
        <v>3747</v>
      </c>
      <c r="C193" t="s">
        <v>74</v>
      </c>
      <c r="D193" t="s">
        <v>74</v>
      </c>
      <c r="E193" t="s">
        <v>74</v>
      </c>
      <c r="F193" t="s">
        <v>3748</v>
      </c>
      <c r="G193" t="s">
        <v>74</v>
      </c>
      <c r="H193" t="s">
        <v>74</v>
      </c>
      <c r="I193" t="s">
        <v>3749</v>
      </c>
      <c r="J193" t="s">
        <v>3750</v>
      </c>
      <c r="K193" t="s">
        <v>74</v>
      </c>
      <c r="L193" t="s">
        <v>74</v>
      </c>
      <c r="M193" t="s">
        <v>200</v>
      </c>
      <c r="N193" t="s">
        <v>79</v>
      </c>
      <c r="O193" t="s">
        <v>74</v>
      </c>
      <c r="P193" t="s">
        <v>74</v>
      </c>
      <c r="Q193" t="s">
        <v>74</v>
      </c>
      <c r="R193" t="s">
        <v>74</v>
      </c>
      <c r="S193" t="s">
        <v>74</v>
      </c>
      <c r="T193" t="s">
        <v>74</v>
      </c>
      <c r="U193" t="s">
        <v>3751</v>
      </c>
      <c r="V193" t="s">
        <v>3752</v>
      </c>
      <c r="W193" t="s">
        <v>3753</v>
      </c>
      <c r="X193" t="s">
        <v>3754</v>
      </c>
      <c r="Y193" t="s">
        <v>3755</v>
      </c>
      <c r="Z193" t="s">
        <v>3756</v>
      </c>
      <c r="AA193" t="s">
        <v>3757</v>
      </c>
      <c r="AB193" t="s">
        <v>3758</v>
      </c>
      <c r="AC193" t="s">
        <v>3759</v>
      </c>
      <c r="AD193" t="s">
        <v>3760</v>
      </c>
      <c r="AE193" t="s">
        <v>3761</v>
      </c>
      <c r="AF193" t="s">
        <v>74</v>
      </c>
      <c r="AG193">
        <v>55</v>
      </c>
      <c r="AH193">
        <v>24</v>
      </c>
      <c r="AI193">
        <v>25</v>
      </c>
      <c r="AJ193">
        <v>0</v>
      </c>
      <c r="AK193">
        <v>15</v>
      </c>
      <c r="AL193" t="s">
        <v>358</v>
      </c>
      <c r="AM193" t="s">
        <v>359</v>
      </c>
      <c r="AN193" t="s">
        <v>3238</v>
      </c>
      <c r="AO193" t="s">
        <v>3762</v>
      </c>
      <c r="AP193" t="s">
        <v>74</v>
      </c>
      <c r="AQ193" t="s">
        <v>74</v>
      </c>
      <c r="AR193" t="s">
        <v>3763</v>
      </c>
      <c r="AS193" t="s">
        <v>3764</v>
      </c>
      <c r="AT193" t="s">
        <v>74</v>
      </c>
      <c r="AU193">
        <v>2016</v>
      </c>
      <c r="AV193">
        <v>12</v>
      </c>
      <c r="AW193">
        <v>1</v>
      </c>
      <c r="AX193" t="s">
        <v>74</v>
      </c>
      <c r="AY193" t="s">
        <v>74</v>
      </c>
      <c r="AZ193" t="s">
        <v>74</v>
      </c>
      <c r="BA193" t="s">
        <v>74</v>
      </c>
      <c r="BB193">
        <v>319</v>
      </c>
      <c r="BC193">
        <v>333</v>
      </c>
      <c r="BD193" t="s">
        <v>74</v>
      </c>
      <c r="BE193" t="s">
        <v>3765</v>
      </c>
      <c r="BF193" t="str">
        <f>HYPERLINK("http://dx.doi.org/10.5194/os-12-319-2016","http://dx.doi.org/10.5194/os-12-319-2016")</f>
        <v>http://dx.doi.org/10.5194/os-12-319-2016</v>
      </c>
      <c r="BG193" t="s">
        <v>74</v>
      </c>
      <c r="BH193" t="s">
        <v>74</v>
      </c>
      <c r="BI193">
        <v>15</v>
      </c>
      <c r="BJ193" t="s">
        <v>3766</v>
      </c>
      <c r="BK193" t="s">
        <v>264</v>
      </c>
      <c r="BL193" t="s">
        <v>3766</v>
      </c>
      <c r="BM193" t="s">
        <v>3767</v>
      </c>
      <c r="BN193" t="s">
        <v>74</v>
      </c>
      <c r="BO193" t="s">
        <v>3768</v>
      </c>
      <c r="BP193" t="s">
        <v>74</v>
      </c>
      <c r="BQ193" t="s">
        <v>74</v>
      </c>
      <c r="BR193" t="s">
        <v>100</v>
      </c>
      <c r="BS193" t="s">
        <v>3769</v>
      </c>
      <c r="BT193" t="str">
        <f>HYPERLINK("https%3A%2F%2Fwww.webofscience.com%2Fwos%2Fwoscc%2Ffull-record%2FWOS:000381686400006","View Full Record in Web of Science")</f>
        <v>View Full Record in Web of Science</v>
      </c>
    </row>
    <row r="194" spans="1:72" x14ac:dyDescent="0.15">
      <c r="A194" t="s">
        <v>72</v>
      </c>
      <c r="B194" t="s">
        <v>3770</v>
      </c>
      <c r="C194" t="s">
        <v>74</v>
      </c>
      <c r="D194" t="s">
        <v>74</v>
      </c>
      <c r="E194" t="s">
        <v>74</v>
      </c>
      <c r="F194" t="s">
        <v>3771</v>
      </c>
      <c r="G194" t="s">
        <v>74</v>
      </c>
      <c r="H194" t="s">
        <v>74</v>
      </c>
      <c r="I194" t="s">
        <v>3772</v>
      </c>
      <c r="J194" t="s">
        <v>2619</v>
      </c>
      <c r="K194" t="s">
        <v>74</v>
      </c>
      <c r="L194" t="s">
        <v>74</v>
      </c>
      <c r="M194" t="s">
        <v>200</v>
      </c>
      <c r="N194" t="s">
        <v>79</v>
      </c>
      <c r="O194" t="s">
        <v>74</v>
      </c>
      <c r="P194" t="s">
        <v>74</v>
      </c>
      <c r="Q194" t="s">
        <v>74</v>
      </c>
      <c r="R194" t="s">
        <v>74</v>
      </c>
      <c r="S194" t="s">
        <v>74</v>
      </c>
      <c r="T194" t="s">
        <v>3773</v>
      </c>
      <c r="U194" t="s">
        <v>3774</v>
      </c>
      <c r="V194" t="s">
        <v>3775</v>
      </c>
      <c r="W194" t="s">
        <v>3776</v>
      </c>
      <c r="X194" t="s">
        <v>3777</v>
      </c>
      <c r="Y194" t="s">
        <v>3778</v>
      </c>
      <c r="Z194" t="s">
        <v>3779</v>
      </c>
      <c r="AA194" t="s">
        <v>3780</v>
      </c>
      <c r="AB194" t="s">
        <v>3781</v>
      </c>
      <c r="AC194" t="s">
        <v>3782</v>
      </c>
      <c r="AD194" t="s">
        <v>3783</v>
      </c>
      <c r="AE194" t="s">
        <v>3784</v>
      </c>
      <c r="AF194" t="s">
        <v>74</v>
      </c>
      <c r="AG194">
        <v>51</v>
      </c>
      <c r="AH194">
        <v>56</v>
      </c>
      <c r="AI194">
        <v>60</v>
      </c>
      <c r="AJ194">
        <v>0</v>
      </c>
      <c r="AK194">
        <v>13</v>
      </c>
      <c r="AL194" t="s">
        <v>2655</v>
      </c>
      <c r="AM194" t="s">
        <v>2656</v>
      </c>
      <c r="AN194" t="s">
        <v>2657</v>
      </c>
      <c r="AO194" t="s">
        <v>2632</v>
      </c>
      <c r="AP194" t="s">
        <v>2633</v>
      </c>
      <c r="AQ194" t="s">
        <v>74</v>
      </c>
      <c r="AR194" t="s">
        <v>2634</v>
      </c>
      <c r="AS194" t="s">
        <v>2635</v>
      </c>
      <c r="AT194" t="s">
        <v>74</v>
      </c>
      <c r="AU194">
        <v>2016</v>
      </c>
      <c r="AV194">
        <v>35</v>
      </c>
      <c r="AW194" t="s">
        <v>74</v>
      </c>
      <c r="AX194" t="s">
        <v>74</v>
      </c>
      <c r="AY194" t="s">
        <v>74</v>
      </c>
      <c r="AZ194" t="s">
        <v>74</v>
      </c>
      <c r="BA194" t="s">
        <v>74</v>
      </c>
      <c r="BB194" t="s">
        <v>74</v>
      </c>
      <c r="BC194" t="s">
        <v>74</v>
      </c>
      <c r="BD194">
        <v>29878</v>
      </c>
      <c r="BE194" t="s">
        <v>3785</v>
      </c>
      <c r="BF194" t="str">
        <f>HYPERLINK("http://dx.doi.org/10.3402/polar.v35.29878","http://dx.doi.org/10.3402/polar.v35.29878")</f>
        <v>http://dx.doi.org/10.3402/polar.v35.29878</v>
      </c>
      <c r="BG194" t="s">
        <v>74</v>
      </c>
      <c r="BH194" t="s">
        <v>74</v>
      </c>
      <c r="BI194">
        <v>13</v>
      </c>
      <c r="BJ194" t="s">
        <v>2637</v>
      </c>
      <c r="BK194" t="s">
        <v>264</v>
      </c>
      <c r="BL194" t="s">
        <v>2638</v>
      </c>
      <c r="BM194" t="s">
        <v>3786</v>
      </c>
      <c r="BN194" t="s">
        <v>74</v>
      </c>
      <c r="BO194" t="s">
        <v>99</v>
      </c>
      <c r="BP194" t="s">
        <v>74</v>
      </c>
      <c r="BQ194" t="s">
        <v>74</v>
      </c>
      <c r="BR194" t="s">
        <v>100</v>
      </c>
      <c r="BS194" t="s">
        <v>3787</v>
      </c>
      <c r="BT194" t="str">
        <f>HYPERLINK("https%3A%2F%2Fwww.webofscience.com%2Fwos%2Fwoscc%2Ffull-record%2FWOS:000381043400001","View Full Record in Web of Science")</f>
        <v>View Full Record in Web of Science</v>
      </c>
    </row>
    <row r="195" spans="1:72" x14ac:dyDescent="0.15">
      <c r="A195" t="s">
        <v>72</v>
      </c>
      <c r="B195" t="s">
        <v>3788</v>
      </c>
      <c r="C195" t="s">
        <v>74</v>
      </c>
      <c r="D195" t="s">
        <v>74</v>
      </c>
      <c r="E195" t="s">
        <v>74</v>
      </c>
      <c r="F195" t="s">
        <v>3789</v>
      </c>
      <c r="G195" t="s">
        <v>74</v>
      </c>
      <c r="H195" t="s">
        <v>74</v>
      </c>
      <c r="I195" t="s">
        <v>3790</v>
      </c>
      <c r="J195" t="s">
        <v>2619</v>
      </c>
      <c r="K195" t="s">
        <v>74</v>
      </c>
      <c r="L195" t="s">
        <v>74</v>
      </c>
      <c r="M195" t="s">
        <v>200</v>
      </c>
      <c r="N195" t="s">
        <v>79</v>
      </c>
      <c r="O195" t="s">
        <v>74</v>
      </c>
      <c r="P195" t="s">
        <v>74</v>
      </c>
      <c r="Q195" t="s">
        <v>74</v>
      </c>
      <c r="R195" t="s">
        <v>74</v>
      </c>
      <c r="S195" t="s">
        <v>74</v>
      </c>
      <c r="T195" t="s">
        <v>3791</v>
      </c>
      <c r="U195" t="s">
        <v>3792</v>
      </c>
      <c r="V195" t="s">
        <v>3793</v>
      </c>
      <c r="W195" t="s">
        <v>3794</v>
      </c>
      <c r="X195" t="s">
        <v>3795</v>
      </c>
      <c r="Y195" t="s">
        <v>3796</v>
      </c>
      <c r="Z195" t="s">
        <v>3797</v>
      </c>
      <c r="AA195" t="s">
        <v>3798</v>
      </c>
      <c r="AB195" t="s">
        <v>3799</v>
      </c>
      <c r="AC195" t="s">
        <v>3800</v>
      </c>
      <c r="AD195" t="s">
        <v>3801</v>
      </c>
      <c r="AE195" t="s">
        <v>3802</v>
      </c>
      <c r="AF195" t="s">
        <v>74</v>
      </c>
      <c r="AG195">
        <v>42</v>
      </c>
      <c r="AH195">
        <v>6</v>
      </c>
      <c r="AI195">
        <v>9</v>
      </c>
      <c r="AJ195">
        <v>2</v>
      </c>
      <c r="AK195">
        <v>14</v>
      </c>
      <c r="AL195" t="s">
        <v>1967</v>
      </c>
      <c r="AM195" t="s">
        <v>1968</v>
      </c>
      <c r="AN195" t="s">
        <v>1969</v>
      </c>
      <c r="AO195" t="s">
        <v>2632</v>
      </c>
      <c r="AP195" t="s">
        <v>2633</v>
      </c>
      <c r="AQ195" t="s">
        <v>74</v>
      </c>
      <c r="AR195" t="s">
        <v>2634</v>
      </c>
      <c r="AS195" t="s">
        <v>2635</v>
      </c>
      <c r="AT195" t="s">
        <v>74</v>
      </c>
      <c r="AU195">
        <v>2016</v>
      </c>
      <c r="AV195">
        <v>35</v>
      </c>
      <c r="AW195" t="s">
        <v>74</v>
      </c>
      <c r="AX195" t="s">
        <v>74</v>
      </c>
      <c r="AY195" t="s">
        <v>74</v>
      </c>
      <c r="AZ195" t="s">
        <v>74</v>
      </c>
      <c r="BA195" t="s">
        <v>74</v>
      </c>
      <c r="BB195" t="s">
        <v>74</v>
      </c>
      <c r="BC195" t="s">
        <v>74</v>
      </c>
      <c r="BD195">
        <v>29364</v>
      </c>
      <c r="BE195" t="s">
        <v>3803</v>
      </c>
      <c r="BF195" t="str">
        <f>HYPERLINK("http://dx.doi.org/10.3402/polar.v35.29364","http://dx.doi.org/10.3402/polar.v35.29364")</f>
        <v>http://dx.doi.org/10.3402/polar.v35.29364</v>
      </c>
      <c r="BG195" t="s">
        <v>74</v>
      </c>
      <c r="BH195" t="s">
        <v>74</v>
      </c>
      <c r="BI195">
        <v>5</v>
      </c>
      <c r="BJ195" t="s">
        <v>2637</v>
      </c>
      <c r="BK195" t="s">
        <v>264</v>
      </c>
      <c r="BL195" t="s">
        <v>2638</v>
      </c>
      <c r="BM195" t="s">
        <v>3804</v>
      </c>
      <c r="BN195" t="s">
        <v>74</v>
      </c>
      <c r="BO195" t="s">
        <v>99</v>
      </c>
      <c r="BP195" t="s">
        <v>74</v>
      </c>
      <c r="BQ195" t="s">
        <v>74</v>
      </c>
      <c r="BR195" t="s">
        <v>100</v>
      </c>
      <c r="BS195" t="s">
        <v>3805</v>
      </c>
      <c r="BT195" t="str">
        <f>HYPERLINK("https%3A%2F%2Fwww.webofscience.com%2Fwos%2Fwoscc%2Ffull-record%2FWOS:000381042600001","View Full Record in Web of Science")</f>
        <v>View Full Record in Web of Science</v>
      </c>
    </row>
    <row r="196" spans="1:72" x14ac:dyDescent="0.15">
      <c r="A196" t="s">
        <v>72</v>
      </c>
      <c r="B196" t="s">
        <v>3806</v>
      </c>
      <c r="C196" t="s">
        <v>74</v>
      </c>
      <c r="D196" t="s">
        <v>74</v>
      </c>
      <c r="E196" t="s">
        <v>74</v>
      </c>
      <c r="F196" t="s">
        <v>3807</v>
      </c>
      <c r="G196" t="s">
        <v>74</v>
      </c>
      <c r="H196" t="s">
        <v>74</v>
      </c>
      <c r="I196" t="s">
        <v>3808</v>
      </c>
      <c r="J196" t="s">
        <v>2619</v>
      </c>
      <c r="K196" t="s">
        <v>74</v>
      </c>
      <c r="L196" t="s">
        <v>74</v>
      </c>
      <c r="M196" t="s">
        <v>200</v>
      </c>
      <c r="N196" t="s">
        <v>79</v>
      </c>
      <c r="O196" t="s">
        <v>74</v>
      </c>
      <c r="P196" t="s">
        <v>74</v>
      </c>
      <c r="Q196" t="s">
        <v>74</v>
      </c>
      <c r="R196" t="s">
        <v>74</v>
      </c>
      <c r="S196" t="s">
        <v>74</v>
      </c>
      <c r="T196" t="s">
        <v>3809</v>
      </c>
      <c r="U196" t="s">
        <v>3810</v>
      </c>
      <c r="V196" t="s">
        <v>3811</v>
      </c>
      <c r="W196" t="s">
        <v>3812</v>
      </c>
      <c r="X196" t="s">
        <v>3813</v>
      </c>
      <c r="Y196" t="s">
        <v>3814</v>
      </c>
      <c r="Z196" t="s">
        <v>3815</v>
      </c>
      <c r="AA196" t="s">
        <v>3816</v>
      </c>
      <c r="AB196" t="s">
        <v>74</v>
      </c>
      <c r="AC196" t="s">
        <v>3817</v>
      </c>
      <c r="AD196" t="s">
        <v>3818</v>
      </c>
      <c r="AE196" t="s">
        <v>3819</v>
      </c>
      <c r="AF196" t="s">
        <v>74</v>
      </c>
      <c r="AG196">
        <v>10</v>
      </c>
      <c r="AH196">
        <v>7</v>
      </c>
      <c r="AI196">
        <v>7</v>
      </c>
      <c r="AJ196">
        <v>0</v>
      </c>
      <c r="AK196">
        <v>4</v>
      </c>
      <c r="AL196" t="s">
        <v>502</v>
      </c>
      <c r="AM196" t="s">
        <v>503</v>
      </c>
      <c r="AN196" t="s">
        <v>504</v>
      </c>
      <c r="AO196" t="s">
        <v>2632</v>
      </c>
      <c r="AP196" t="s">
        <v>2633</v>
      </c>
      <c r="AQ196" t="s">
        <v>74</v>
      </c>
      <c r="AR196" t="s">
        <v>2634</v>
      </c>
      <c r="AS196" t="s">
        <v>2635</v>
      </c>
      <c r="AT196" t="s">
        <v>74</v>
      </c>
      <c r="AU196">
        <v>2016</v>
      </c>
      <c r="AV196">
        <v>35</v>
      </c>
      <c r="AW196" t="s">
        <v>74</v>
      </c>
      <c r="AX196" t="s">
        <v>74</v>
      </c>
      <c r="AY196" t="s">
        <v>74</v>
      </c>
      <c r="AZ196" t="s">
        <v>74</v>
      </c>
      <c r="BA196" t="s">
        <v>74</v>
      </c>
      <c r="BB196" t="s">
        <v>74</v>
      </c>
      <c r="BC196" t="s">
        <v>74</v>
      </c>
      <c r="BD196">
        <v>29762</v>
      </c>
      <c r="BE196" t="s">
        <v>3820</v>
      </c>
      <c r="BF196" t="str">
        <f>HYPERLINK("http://dx.doi.org/10.3402/polar.v35.29762","http://dx.doi.org/10.3402/polar.v35.29762")</f>
        <v>http://dx.doi.org/10.3402/polar.v35.29762</v>
      </c>
      <c r="BG196" t="s">
        <v>74</v>
      </c>
      <c r="BH196" t="s">
        <v>74</v>
      </c>
      <c r="BI196">
        <v>6</v>
      </c>
      <c r="BJ196" t="s">
        <v>2637</v>
      </c>
      <c r="BK196" t="s">
        <v>264</v>
      </c>
      <c r="BL196" t="s">
        <v>2638</v>
      </c>
      <c r="BM196" t="s">
        <v>3821</v>
      </c>
      <c r="BN196" t="s">
        <v>74</v>
      </c>
      <c r="BO196" t="s">
        <v>523</v>
      </c>
      <c r="BP196" t="s">
        <v>74</v>
      </c>
      <c r="BQ196" t="s">
        <v>74</v>
      </c>
      <c r="BR196" t="s">
        <v>100</v>
      </c>
      <c r="BS196" t="s">
        <v>3822</v>
      </c>
      <c r="BT196" t="str">
        <f>HYPERLINK("https%3A%2F%2Fwww.webofscience.com%2Fwos%2Fwoscc%2Ffull-record%2FWOS:000381043200001","View Full Record in Web of Science")</f>
        <v>View Full Record in Web of Science</v>
      </c>
    </row>
    <row r="197" spans="1:72" x14ac:dyDescent="0.15">
      <c r="A197" t="s">
        <v>72</v>
      </c>
      <c r="B197" t="s">
        <v>3823</v>
      </c>
      <c r="C197" t="s">
        <v>74</v>
      </c>
      <c r="D197" t="s">
        <v>74</v>
      </c>
      <c r="E197" t="s">
        <v>74</v>
      </c>
      <c r="F197" t="s">
        <v>3824</v>
      </c>
      <c r="G197" t="s">
        <v>74</v>
      </c>
      <c r="H197" t="s">
        <v>74</v>
      </c>
      <c r="I197" t="s">
        <v>3825</v>
      </c>
      <c r="J197" t="s">
        <v>2619</v>
      </c>
      <c r="K197" t="s">
        <v>74</v>
      </c>
      <c r="L197" t="s">
        <v>74</v>
      </c>
      <c r="M197" t="s">
        <v>200</v>
      </c>
      <c r="N197" t="s">
        <v>79</v>
      </c>
      <c r="O197" t="s">
        <v>74</v>
      </c>
      <c r="P197" t="s">
        <v>74</v>
      </c>
      <c r="Q197" t="s">
        <v>74</v>
      </c>
      <c r="R197" t="s">
        <v>74</v>
      </c>
      <c r="S197" t="s">
        <v>74</v>
      </c>
      <c r="T197" t="s">
        <v>3826</v>
      </c>
      <c r="U197" t="s">
        <v>3827</v>
      </c>
      <c r="V197" t="s">
        <v>3828</v>
      </c>
      <c r="W197" t="s">
        <v>3829</v>
      </c>
      <c r="X197" t="s">
        <v>3830</v>
      </c>
      <c r="Y197" t="s">
        <v>3831</v>
      </c>
      <c r="Z197" t="s">
        <v>3832</v>
      </c>
      <c r="AA197" t="s">
        <v>74</v>
      </c>
      <c r="AB197" t="s">
        <v>3833</v>
      </c>
      <c r="AC197" t="s">
        <v>3834</v>
      </c>
      <c r="AD197" t="s">
        <v>3835</v>
      </c>
      <c r="AE197" t="s">
        <v>3836</v>
      </c>
      <c r="AF197" t="s">
        <v>74</v>
      </c>
      <c r="AG197">
        <v>29</v>
      </c>
      <c r="AH197">
        <v>8</v>
      </c>
      <c r="AI197">
        <v>8</v>
      </c>
      <c r="AJ197">
        <v>0</v>
      </c>
      <c r="AK197">
        <v>14</v>
      </c>
      <c r="AL197" t="s">
        <v>502</v>
      </c>
      <c r="AM197" t="s">
        <v>503</v>
      </c>
      <c r="AN197" t="s">
        <v>504</v>
      </c>
      <c r="AO197" t="s">
        <v>2632</v>
      </c>
      <c r="AP197" t="s">
        <v>2633</v>
      </c>
      <c r="AQ197" t="s">
        <v>74</v>
      </c>
      <c r="AR197" t="s">
        <v>2634</v>
      </c>
      <c r="AS197" t="s">
        <v>2635</v>
      </c>
      <c r="AT197" t="s">
        <v>74</v>
      </c>
      <c r="AU197">
        <v>2016</v>
      </c>
      <c r="AV197">
        <v>35</v>
      </c>
      <c r="AW197" t="s">
        <v>74</v>
      </c>
      <c r="AX197" t="s">
        <v>74</v>
      </c>
      <c r="AY197" t="s">
        <v>74</v>
      </c>
      <c r="AZ197" t="s">
        <v>74</v>
      </c>
      <c r="BA197" t="s">
        <v>74</v>
      </c>
      <c r="BB197" t="s">
        <v>74</v>
      </c>
      <c r="BC197" t="s">
        <v>74</v>
      </c>
      <c r="BD197">
        <v>21150</v>
      </c>
      <c r="BE197" t="s">
        <v>3837</v>
      </c>
      <c r="BF197" t="str">
        <f>HYPERLINK("http://dx.doi.org/10.3402/polar.v35.21150","http://dx.doi.org/10.3402/polar.v35.21150")</f>
        <v>http://dx.doi.org/10.3402/polar.v35.21150</v>
      </c>
      <c r="BG197" t="s">
        <v>74</v>
      </c>
      <c r="BH197" t="s">
        <v>74</v>
      </c>
      <c r="BI197">
        <v>5</v>
      </c>
      <c r="BJ197" t="s">
        <v>2637</v>
      </c>
      <c r="BK197" t="s">
        <v>264</v>
      </c>
      <c r="BL197" t="s">
        <v>2638</v>
      </c>
      <c r="BM197" t="s">
        <v>3838</v>
      </c>
      <c r="BN197" t="s">
        <v>74</v>
      </c>
      <c r="BO197" t="s">
        <v>99</v>
      </c>
      <c r="BP197" t="s">
        <v>74</v>
      </c>
      <c r="BQ197" t="s">
        <v>74</v>
      </c>
      <c r="BR197" t="s">
        <v>100</v>
      </c>
      <c r="BS197" t="s">
        <v>3839</v>
      </c>
      <c r="BT197" t="str">
        <f>HYPERLINK("https%3A%2F%2Fwww.webofscience.com%2Fwos%2Fwoscc%2Ffull-record%2FWOS:000381039800001","View Full Record in Web of Science")</f>
        <v>View Full Record in Web of Science</v>
      </c>
    </row>
    <row r="198" spans="1:72" x14ac:dyDescent="0.15">
      <c r="A198" t="s">
        <v>72</v>
      </c>
      <c r="B198" t="s">
        <v>3840</v>
      </c>
      <c r="C198" t="s">
        <v>74</v>
      </c>
      <c r="D198" t="s">
        <v>74</v>
      </c>
      <c r="E198" t="s">
        <v>74</v>
      </c>
      <c r="F198" t="s">
        <v>3841</v>
      </c>
      <c r="G198" t="s">
        <v>74</v>
      </c>
      <c r="H198" t="s">
        <v>74</v>
      </c>
      <c r="I198" t="s">
        <v>3842</v>
      </c>
      <c r="J198" t="s">
        <v>3843</v>
      </c>
      <c r="K198" t="s">
        <v>74</v>
      </c>
      <c r="L198" t="s">
        <v>74</v>
      </c>
      <c r="M198" t="s">
        <v>200</v>
      </c>
      <c r="N198" t="s">
        <v>79</v>
      </c>
      <c r="O198" t="s">
        <v>74</v>
      </c>
      <c r="P198" t="s">
        <v>74</v>
      </c>
      <c r="Q198" t="s">
        <v>74</v>
      </c>
      <c r="R198" t="s">
        <v>74</v>
      </c>
      <c r="S198" t="s">
        <v>74</v>
      </c>
      <c r="T198" t="s">
        <v>3844</v>
      </c>
      <c r="U198" t="s">
        <v>3845</v>
      </c>
      <c r="V198" t="s">
        <v>3846</v>
      </c>
      <c r="W198" t="s">
        <v>3847</v>
      </c>
      <c r="X198" t="s">
        <v>3848</v>
      </c>
      <c r="Y198" t="s">
        <v>3849</v>
      </c>
      <c r="Z198" t="s">
        <v>3850</v>
      </c>
      <c r="AA198" t="s">
        <v>74</v>
      </c>
      <c r="AB198" t="s">
        <v>3851</v>
      </c>
      <c r="AC198" t="s">
        <v>3852</v>
      </c>
      <c r="AD198" t="s">
        <v>3853</v>
      </c>
      <c r="AE198" t="s">
        <v>3854</v>
      </c>
      <c r="AF198" t="s">
        <v>74</v>
      </c>
      <c r="AG198">
        <v>59</v>
      </c>
      <c r="AH198">
        <v>11</v>
      </c>
      <c r="AI198">
        <v>12</v>
      </c>
      <c r="AJ198">
        <v>0</v>
      </c>
      <c r="AK198">
        <v>3</v>
      </c>
      <c r="AL198" t="s">
        <v>3855</v>
      </c>
      <c r="AM198" t="s">
        <v>3856</v>
      </c>
      <c r="AN198" t="s">
        <v>3857</v>
      </c>
      <c r="AO198" t="s">
        <v>3858</v>
      </c>
      <c r="AP198" t="s">
        <v>3859</v>
      </c>
      <c r="AQ198" t="s">
        <v>74</v>
      </c>
      <c r="AR198" t="s">
        <v>3843</v>
      </c>
      <c r="AS198" t="s">
        <v>3860</v>
      </c>
      <c r="AT198" t="s">
        <v>74</v>
      </c>
      <c r="AU198">
        <v>2016</v>
      </c>
      <c r="AV198">
        <v>53</v>
      </c>
      <c r="AW198">
        <v>4</v>
      </c>
      <c r="AX198" t="s">
        <v>74</v>
      </c>
      <c r="AY198" t="s">
        <v>74</v>
      </c>
      <c r="AZ198" t="s">
        <v>74</v>
      </c>
      <c r="BA198" t="s">
        <v>74</v>
      </c>
      <c r="BB198">
        <v>485</v>
      </c>
      <c r="BC198">
        <v>494</v>
      </c>
      <c r="BD198" t="s">
        <v>74</v>
      </c>
      <c r="BE198" t="s">
        <v>3861</v>
      </c>
      <c r="BF198" t="str">
        <f>HYPERLINK("http://dx.doi.org/10.5710/AMGH.05.12.2015.2947","http://dx.doi.org/10.5710/AMGH.05.12.2015.2947")</f>
        <v>http://dx.doi.org/10.5710/AMGH.05.12.2015.2947</v>
      </c>
      <c r="BG198" t="s">
        <v>74</v>
      </c>
      <c r="BH198" t="s">
        <v>74</v>
      </c>
      <c r="BI198">
        <v>10</v>
      </c>
      <c r="BJ198" t="s">
        <v>2542</v>
      </c>
      <c r="BK198" t="s">
        <v>264</v>
      </c>
      <c r="BL198" t="s">
        <v>2542</v>
      </c>
      <c r="BM198" t="s">
        <v>3862</v>
      </c>
      <c r="BN198" t="s">
        <v>74</v>
      </c>
      <c r="BO198" t="s">
        <v>74</v>
      </c>
      <c r="BP198" t="s">
        <v>74</v>
      </c>
      <c r="BQ198" t="s">
        <v>74</v>
      </c>
      <c r="BR198" t="s">
        <v>100</v>
      </c>
      <c r="BS198" t="s">
        <v>3863</v>
      </c>
      <c r="BT198" t="str">
        <f>HYPERLINK("https%3A%2F%2Fwww.webofscience.com%2Fwos%2Fwoscc%2Ffull-record%2FWOS:000380758100006","View Full Record in Web of Science")</f>
        <v>View Full Record in Web of Science</v>
      </c>
    </row>
    <row r="199" spans="1:72" x14ac:dyDescent="0.15">
      <c r="A199" t="s">
        <v>72</v>
      </c>
      <c r="B199" t="s">
        <v>3864</v>
      </c>
      <c r="C199" t="s">
        <v>74</v>
      </c>
      <c r="D199" t="s">
        <v>74</v>
      </c>
      <c r="E199" t="s">
        <v>74</v>
      </c>
      <c r="F199" t="s">
        <v>3865</v>
      </c>
      <c r="G199" t="s">
        <v>74</v>
      </c>
      <c r="H199" t="s">
        <v>74</v>
      </c>
      <c r="I199" t="s">
        <v>3866</v>
      </c>
      <c r="J199" t="s">
        <v>3867</v>
      </c>
      <c r="K199" t="s">
        <v>74</v>
      </c>
      <c r="L199" t="s">
        <v>74</v>
      </c>
      <c r="M199" t="s">
        <v>200</v>
      </c>
      <c r="N199" t="s">
        <v>79</v>
      </c>
      <c r="O199" t="s">
        <v>74</v>
      </c>
      <c r="P199" t="s">
        <v>74</v>
      </c>
      <c r="Q199" t="s">
        <v>74</v>
      </c>
      <c r="R199" t="s">
        <v>74</v>
      </c>
      <c r="S199" t="s">
        <v>74</v>
      </c>
      <c r="T199" t="s">
        <v>3868</v>
      </c>
      <c r="U199" t="s">
        <v>3869</v>
      </c>
      <c r="V199" t="s">
        <v>3870</v>
      </c>
      <c r="W199" t="s">
        <v>3871</v>
      </c>
      <c r="X199" t="s">
        <v>3872</v>
      </c>
      <c r="Y199" t="s">
        <v>3873</v>
      </c>
      <c r="Z199" t="s">
        <v>3874</v>
      </c>
      <c r="AA199" t="s">
        <v>3875</v>
      </c>
      <c r="AB199" t="s">
        <v>3876</v>
      </c>
      <c r="AC199" t="s">
        <v>3877</v>
      </c>
      <c r="AD199" t="s">
        <v>3878</v>
      </c>
      <c r="AE199" t="s">
        <v>3879</v>
      </c>
      <c r="AF199" t="s">
        <v>74</v>
      </c>
      <c r="AG199">
        <v>26</v>
      </c>
      <c r="AH199">
        <v>4</v>
      </c>
      <c r="AI199">
        <v>4</v>
      </c>
      <c r="AJ199">
        <v>1</v>
      </c>
      <c r="AK199">
        <v>18</v>
      </c>
      <c r="AL199" t="s">
        <v>3880</v>
      </c>
      <c r="AM199" t="s">
        <v>3881</v>
      </c>
      <c r="AN199" t="s">
        <v>3882</v>
      </c>
      <c r="AO199" t="s">
        <v>3883</v>
      </c>
      <c r="AP199" t="s">
        <v>74</v>
      </c>
      <c r="AQ199" t="s">
        <v>74</v>
      </c>
      <c r="AR199" t="s">
        <v>3884</v>
      </c>
      <c r="AS199" t="s">
        <v>3885</v>
      </c>
      <c r="AT199" t="s">
        <v>74</v>
      </c>
      <c r="AU199">
        <v>2016</v>
      </c>
      <c r="AV199">
        <v>263</v>
      </c>
      <c r="AW199" t="s">
        <v>74</v>
      </c>
      <c r="AX199" t="s">
        <v>74</v>
      </c>
      <c r="AY199" t="s">
        <v>74</v>
      </c>
      <c r="AZ199" t="s">
        <v>74</v>
      </c>
      <c r="BA199" t="s">
        <v>74</v>
      </c>
      <c r="BB199">
        <v>84</v>
      </c>
      <c r="BC199">
        <v>91</v>
      </c>
      <c r="BD199" t="s">
        <v>74</v>
      </c>
      <c r="BE199" t="s">
        <v>3886</v>
      </c>
      <c r="BF199" t="str">
        <f>HYPERLINK("http://dx.doi.org/10.1016/j.jcz.2016.05.001","http://dx.doi.org/10.1016/j.jcz.2016.05.001")</f>
        <v>http://dx.doi.org/10.1016/j.jcz.2016.05.001</v>
      </c>
      <c r="BG199" t="s">
        <v>74</v>
      </c>
      <c r="BH199" t="s">
        <v>74</v>
      </c>
      <c r="BI199">
        <v>8</v>
      </c>
      <c r="BJ199" t="s">
        <v>672</v>
      </c>
      <c r="BK199" t="s">
        <v>264</v>
      </c>
      <c r="BL199" t="s">
        <v>672</v>
      </c>
      <c r="BM199" t="s">
        <v>3887</v>
      </c>
      <c r="BN199" t="s">
        <v>74</v>
      </c>
      <c r="BO199" t="s">
        <v>74</v>
      </c>
      <c r="BP199" t="s">
        <v>74</v>
      </c>
      <c r="BQ199" t="s">
        <v>74</v>
      </c>
      <c r="BR199" t="s">
        <v>100</v>
      </c>
      <c r="BS199" t="s">
        <v>3888</v>
      </c>
      <c r="BT199" t="str">
        <f>HYPERLINK("https%3A%2F%2Fwww.webofscience.com%2Fwos%2Fwoscc%2Ffull-record%2FWOS:000380419200010","View Full Record in Web of Science")</f>
        <v>View Full Record in Web of Science</v>
      </c>
    </row>
    <row r="200" spans="1:72" x14ac:dyDescent="0.15">
      <c r="A200" t="s">
        <v>72</v>
      </c>
      <c r="B200" t="s">
        <v>3889</v>
      </c>
      <c r="C200" t="s">
        <v>74</v>
      </c>
      <c r="D200" t="s">
        <v>74</v>
      </c>
      <c r="E200" t="s">
        <v>74</v>
      </c>
      <c r="F200" t="s">
        <v>3890</v>
      </c>
      <c r="G200" t="s">
        <v>74</v>
      </c>
      <c r="H200" t="s">
        <v>74</v>
      </c>
      <c r="I200" t="s">
        <v>3891</v>
      </c>
      <c r="J200" t="s">
        <v>3892</v>
      </c>
      <c r="K200" t="s">
        <v>74</v>
      </c>
      <c r="L200" t="s">
        <v>74</v>
      </c>
      <c r="M200" t="s">
        <v>200</v>
      </c>
      <c r="N200" t="s">
        <v>79</v>
      </c>
      <c r="O200" t="s">
        <v>74</v>
      </c>
      <c r="P200" t="s">
        <v>74</v>
      </c>
      <c r="Q200" t="s">
        <v>74</v>
      </c>
      <c r="R200" t="s">
        <v>74</v>
      </c>
      <c r="S200" t="s">
        <v>74</v>
      </c>
      <c r="T200" t="s">
        <v>3893</v>
      </c>
      <c r="U200" t="s">
        <v>3894</v>
      </c>
      <c r="V200" t="s">
        <v>3895</v>
      </c>
      <c r="W200" t="s">
        <v>3896</v>
      </c>
      <c r="X200" t="s">
        <v>3897</v>
      </c>
      <c r="Y200" t="s">
        <v>3898</v>
      </c>
      <c r="Z200" t="s">
        <v>3899</v>
      </c>
      <c r="AA200" t="s">
        <v>74</v>
      </c>
      <c r="AB200" t="s">
        <v>3900</v>
      </c>
      <c r="AC200" t="s">
        <v>3901</v>
      </c>
      <c r="AD200" t="s">
        <v>3902</v>
      </c>
      <c r="AE200" t="s">
        <v>3903</v>
      </c>
      <c r="AF200" t="s">
        <v>74</v>
      </c>
      <c r="AG200">
        <v>59</v>
      </c>
      <c r="AH200">
        <v>5</v>
      </c>
      <c r="AI200">
        <v>8</v>
      </c>
      <c r="AJ200">
        <v>0</v>
      </c>
      <c r="AK200">
        <v>5</v>
      </c>
      <c r="AL200" t="s">
        <v>380</v>
      </c>
      <c r="AM200" t="s">
        <v>381</v>
      </c>
      <c r="AN200" t="s">
        <v>382</v>
      </c>
      <c r="AO200" t="s">
        <v>3904</v>
      </c>
      <c r="AP200" t="s">
        <v>3905</v>
      </c>
      <c r="AQ200" t="s">
        <v>74</v>
      </c>
      <c r="AR200" t="s">
        <v>3906</v>
      </c>
      <c r="AS200" t="s">
        <v>3907</v>
      </c>
      <c r="AT200" t="s">
        <v>74</v>
      </c>
      <c r="AU200">
        <v>2016</v>
      </c>
      <c r="AV200">
        <v>30</v>
      </c>
      <c r="AW200">
        <v>3</v>
      </c>
      <c r="AX200" t="s">
        <v>74</v>
      </c>
      <c r="AY200" t="s">
        <v>74</v>
      </c>
      <c r="AZ200" t="s">
        <v>74</v>
      </c>
      <c r="BA200" t="s">
        <v>74</v>
      </c>
      <c r="BB200">
        <v>231</v>
      </c>
      <c r="BC200">
        <v>254</v>
      </c>
      <c r="BD200" t="s">
        <v>74</v>
      </c>
      <c r="BE200" t="s">
        <v>3908</v>
      </c>
      <c r="BF200" t="str">
        <f>HYPERLINK("http://dx.doi.org/10.1071/IS15056","http://dx.doi.org/10.1071/IS15056")</f>
        <v>http://dx.doi.org/10.1071/IS15056</v>
      </c>
      <c r="BG200" t="s">
        <v>74</v>
      </c>
      <c r="BH200" t="s">
        <v>74</v>
      </c>
      <c r="BI200">
        <v>24</v>
      </c>
      <c r="BJ200" t="s">
        <v>3909</v>
      </c>
      <c r="BK200" t="s">
        <v>264</v>
      </c>
      <c r="BL200" t="s">
        <v>3909</v>
      </c>
      <c r="BM200" t="s">
        <v>3910</v>
      </c>
      <c r="BN200" t="s">
        <v>74</v>
      </c>
      <c r="BO200" t="s">
        <v>74</v>
      </c>
      <c r="BP200" t="s">
        <v>74</v>
      </c>
      <c r="BQ200" t="s">
        <v>74</v>
      </c>
      <c r="BR200" t="s">
        <v>100</v>
      </c>
      <c r="BS200" t="s">
        <v>3911</v>
      </c>
      <c r="BT200" t="str">
        <f>HYPERLINK("https%3A%2F%2Fwww.webofscience.com%2Fwos%2Fwoscc%2Ffull-record%2FWOS:000380134200004","View Full Record in Web of Science")</f>
        <v>View Full Record in Web of Science</v>
      </c>
    </row>
    <row r="201" spans="1:72" x14ac:dyDescent="0.15">
      <c r="A201" t="s">
        <v>72</v>
      </c>
      <c r="B201" t="s">
        <v>3912</v>
      </c>
      <c r="C201" t="s">
        <v>74</v>
      </c>
      <c r="D201" t="s">
        <v>74</v>
      </c>
      <c r="E201" t="s">
        <v>74</v>
      </c>
      <c r="F201" t="s">
        <v>3913</v>
      </c>
      <c r="G201" t="s">
        <v>74</v>
      </c>
      <c r="H201" t="s">
        <v>74</v>
      </c>
      <c r="I201" t="s">
        <v>3914</v>
      </c>
      <c r="J201" t="s">
        <v>3915</v>
      </c>
      <c r="K201" t="s">
        <v>74</v>
      </c>
      <c r="L201" t="s">
        <v>74</v>
      </c>
      <c r="M201" t="s">
        <v>200</v>
      </c>
      <c r="N201" t="s">
        <v>79</v>
      </c>
      <c r="O201" t="s">
        <v>74</v>
      </c>
      <c r="P201" t="s">
        <v>74</v>
      </c>
      <c r="Q201" t="s">
        <v>74</v>
      </c>
      <c r="R201" t="s">
        <v>74</v>
      </c>
      <c r="S201" t="s">
        <v>74</v>
      </c>
      <c r="T201" t="s">
        <v>3916</v>
      </c>
      <c r="U201" t="s">
        <v>3917</v>
      </c>
      <c r="V201" t="s">
        <v>3918</v>
      </c>
      <c r="W201" t="s">
        <v>3919</v>
      </c>
      <c r="X201" t="s">
        <v>3920</v>
      </c>
      <c r="Y201" t="s">
        <v>3921</v>
      </c>
      <c r="Z201" t="s">
        <v>3922</v>
      </c>
      <c r="AA201" t="s">
        <v>3923</v>
      </c>
      <c r="AB201" t="s">
        <v>3924</v>
      </c>
      <c r="AC201" t="s">
        <v>3925</v>
      </c>
      <c r="AD201" t="s">
        <v>3926</v>
      </c>
      <c r="AE201" t="s">
        <v>3927</v>
      </c>
      <c r="AF201" t="s">
        <v>74</v>
      </c>
      <c r="AG201">
        <v>55</v>
      </c>
      <c r="AH201">
        <v>7</v>
      </c>
      <c r="AI201">
        <v>7</v>
      </c>
      <c r="AJ201">
        <v>0</v>
      </c>
      <c r="AK201">
        <v>31</v>
      </c>
      <c r="AL201" t="s">
        <v>502</v>
      </c>
      <c r="AM201" t="s">
        <v>503</v>
      </c>
      <c r="AN201" t="s">
        <v>504</v>
      </c>
      <c r="AO201" t="s">
        <v>3928</v>
      </c>
      <c r="AP201" t="s">
        <v>74</v>
      </c>
      <c r="AQ201" t="s">
        <v>74</v>
      </c>
      <c r="AR201" t="s">
        <v>3929</v>
      </c>
      <c r="AS201" t="s">
        <v>3930</v>
      </c>
      <c r="AT201" t="s">
        <v>74</v>
      </c>
      <c r="AU201">
        <v>2016</v>
      </c>
      <c r="AV201">
        <v>68</v>
      </c>
      <c r="AW201" t="s">
        <v>74</v>
      </c>
      <c r="AX201" t="s">
        <v>74</v>
      </c>
      <c r="AY201" t="s">
        <v>74</v>
      </c>
      <c r="AZ201" t="s">
        <v>74</v>
      </c>
      <c r="BA201" t="s">
        <v>74</v>
      </c>
      <c r="BB201" t="s">
        <v>74</v>
      </c>
      <c r="BC201" t="s">
        <v>74</v>
      </c>
      <c r="BD201">
        <v>29285</v>
      </c>
      <c r="BE201" t="s">
        <v>3931</v>
      </c>
      <c r="BF201" t="str">
        <f>HYPERLINK("http://dx.doi.org/10.3402/tellusb.v68.29285","http://dx.doi.org/10.3402/tellusb.v68.29285")</f>
        <v>http://dx.doi.org/10.3402/tellusb.v68.29285</v>
      </c>
      <c r="BG201" t="s">
        <v>74</v>
      </c>
      <c r="BH201" t="s">
        <v>74</v>
      </c>
      <c r="BI201">
        <v>12</v>
      </c>
      <c r="BJ201" t="s">
        <v>1721</v>
      </c>
      <c r="BK201" t="s">
        <v>264</v>
      </c>
      <c r="BL201" t="s">
        <v>1721</v>
      </c>
      <c r="BM201" t="s">
        <v>3932</v>
      </c>
      <c r="BN201" t="s">
        <v>74</v>
      </c>
      <c r="BO201" t="s">
        <v>99</v>
      </c>
      <c r="BP201" t="s">
        <v>74</v>
      </c>
      <c r="BQ201" t="s">
        <v>74</v>
      </c>
      <c r="BR201" t="s">
        <v>100</v>
      </c>
      <c r="BS201" t="s">
        <v>3933</v>
      </c>
      <c r="BT201" t="str">
        <f>HYPERLINK("https%3A%2F%2Fwww.webofscience.com%2Fwos%2Fwoscc%2Ffull-record%2FWOS:000379916200001","View Full Record in Web of Science")</f>
        <v>View Full Record in Web of Science</v>
      </c>
    </row>
    <row r="202" spans="1:72" x14ac:dyDescent="0.15">
      <c r="A202" t="s">
        <v>72</v>
      </c>
      <c r="B202" t="s">
        <v>3934</v>
      </c>
      <c r="C202" t="s">
        <v>74</v>
      </c>
      <c r="D202" t="s">
        <v>74</v>
      </c>
      <c r="E202" t="s">
        <v>74</v>
      </c>
      <c r="F202" t="s">
        <v>3935</v>
      </c>
      <c r="G202" t="s">
        <v>74</v>
      </c>
      <c r="H202" t="s">
        <v>74</v>
      </c>
      <c r="I202" t="s">
        <v>3936</v>
      </c>
      <c r="J202" t="s">
        <v>3937</v>
      </c>
      <c r="K202" t="s">
        <v>74</v>
      </c>
      <c r="L202" t="s">
        <v>74</v>
      </c>
      <c r="M202" t="s">
        <v>200</v>
      </c>
      <c r="N202" t="s">
        <v>79</v>
      </c>
      <c r="O202" t="s">
        <v>74</v>
      </c>
      <c r="P202" t="s">
        <v>74</v>
      </c>
      <c r="Q202" t="s">
        <v>74</v>
      </c>
      <c r="R202" t="s">
        <v>74</v>
      </c>
      <c r="S202" t="s">
        <v>74</v>
      </c>
      <c r="T202" t="s">
        <v>3938</v>
      </c>
      <c r="U202" t="s">
        <v>3939</v>
      </c>
      <c r="V202" t="s">
        <v>3940</v>
      </c>
      <c r="W202" t="s">
        <v>3941</v>
      </c>
      <c r="X202" t="s">
        <v>3942</v>
      </c>
      <c r="Y202" t="s">
        <v>3943</v>
      </c>
      <c r="Z202" t="s">
        <v>3944</v>
      </c>
      <c r="AA202" t="s">
        <v>3945</v>
      </c>
      <c r="AB202" t="s">
        <v>3946</v>
      </c>
      <c r="AC202" t="s">
        <v>3947</v>
      </c>
      <c r="AD202" t="s">
        <v>3948</v>
      </c>
      <c r="AE202" t="s">
        <v>3949</v>
      </c>
      <c r="AF202" t="s">
        <v>74</v>
      </c>
      <c r="AG202">
        <v>41</v>
      </c>
      <c r="AH202">
        <v>3</v>
      </c>
      <c r="AI202">
        <v>3</v>
      </c>
      <c r="AJ202">
        <v>0</v>
      </c>
      <c r="AK202">
        <v>18</v>
      </c>
      <c r="AL202" t="s">
        <v>502</v>
      </c>
      <c r="AM202" t="s">
        <v>503</v>
      </c>
      <c r="AN202" t="s">
        <v>504</v>
      </c>
      <c r="AO202" t="s">
        <v>3950</v>
      </c>
      <c r="AP202" t="s">
        <v>3951</v>
      </c>
      <c r="AQ202" t="s">
        <v>74</v>
      </c>
      <c r="AR202" t="s">
        <v>3952</v>
      </c>
      <c r="AS202" t="s">
        <v>3953</v>
      </c>
      <c r="AT202" t="s">
        <v>74</v>
      </c>
      <c r="AU202">
        <v>2016</v>
      </c>
      <c r="AV202">
        <v>37</v>
      </c>
      <c r="AW202">
        <v>2</v>
      </c>
      <c r="AX202" t="s">
        <v>74</v>
      </c>
      <c r="AY202" t="s">
        <v>74</v>
      </c>
      <c r="AZ202" t="s">
        <v>74</v>
      </c>
      <c r="BA202" t="s">
        <v>74</v>
      </c>
      <c r="BB202">
        <v>145</v>
      </c>
      <c r="BC202">
        <v>158</v>
      </c>
      <c r="BD202" t="s">
        <v>74</v>
      </c>
      <c r="BE202" t="s">
        <v>3954</v>
      </c>
      <c r="BF202" t="str">
        <f>HYPERLINK("http://dx.doi.org/10.1080/01650424.2015.1134799","http://dx.doi.org/10.1080/01650424.2015.1134799")</f>
        <v>http://dx.doi.org/10.1080/01650424.2015.1134799</v>
      </c>
      <c r="BG202" t="s">
        <v>74</v>
      </c>
      <c r="BH202" t="s">
        <v>74</v>
      </c>
      <c r="BI202">
        <v>14</v>
      </c>
      <c r="BJ202" t="s">
        <v>3955</v>
      </c>
      <c r="BK202" t="s">
        <v>264</v>
      </c>
      <c r="BL202" t="s">
        <v>3955</v>
      </c>
      <c r="BM202" t="s">
        <v>3956</v>
      </c>
      <c r="BN202" t="s">
        <v>74</v>
      </c>
      <c r="BO202" t="s">
        <v>74</v>
      </c>
      <c r="BP202" t="s">
        <v>74</v>
      </c>
      <c r="BQ202" t="s">
        <v>74</v>
      </c>
      <c r="BR202" t="s">
        <v>100</v>
      </c>
      <c r="BS202" t="s">
        <v>3957</v>
      </c>
      <c r="BT202" t="str">
        <f>HYPERLINK("https%3A%2F%2Fwww.webofscience.com%2Fwos%2Fwoscc%2Ffull-record%2FWOS:000379733700005","View Full Record in Web of Science")</f>
        <v>View Full Record in Web of Science</v>
      </c>
    </row>
    <row r="203" spans="1:72" x14ac:dyDescent="0.15">
      <c r="A203" t="s">
        <v>72</v>
      </c>
      <c r="B203" t="s">
        <v>3958</v>
      </c>
      <c r="C203" t="s">
        <v>74</v>
      </c>
      <c r="D203" t="s">
        <v>74</v>
      </c>
      <c r="E203" t="s">
        <v>74</v>
      </c>
      <c r="F203" t="s">
        <v>3959</v>
      </c>
      <c r="G203" t="s">
        <v>74</v>
      </c>
      <c r="H203" t="s">
        <v>74</v>
      </c>
      <c r="I203" t="s">
        <v>3960</v>
      </c>
      <c r="J203" t="s">
        <v>3961</v>
      </c>
      <c r="K203" t="s">
        <v>74</v>
      </c>
      <c r="L203" t="s">
        <v>74</v>
      </c>
      <c r="M203" t="s">
        <v>200</v>
      </c>
      <c r="N203" t="s">
        <v>79</v>
      </c>
      <c r="O203" t="s">
        <v>74</v>
      </c>
      <c r="P203" t="s">
        <v>74</v>
      </c>
      <c r="Q203" t="s">
        <v>74</v>
      </c>
      <c r="R203" t="s">
        <v>74</v>
      </c>
      <c r="S203" t="s">
        <v>74</v>
      </c>
      <c r="T203" t="s">
        <v>74</v>
      </c>
      <c r="U203" t="s">
        <v>3962</v>
      </c>
      <c r="V203" t="s">
        <v>3963</v>
      </c>
      <c r="W203" t="s">
        <v>3964</v>
      </c>
      <c r="X203" t="s">
        <v>3965</v>
      </c>
      <c r="Y203" t="s">
        <v>3966</v>
      </c>
      <c r="Z203" t="s">
        <v>3967</v>
      </c>
      <c r="AA203" t="s">
        <v>3968</v>
      </c>
      <c r="AB203" t="s">
        <v>3969</v>
      </c>
      <c r="AC203" t="s">
        <v>3970</v>
      </c>
      <c r="AD203" t="s">
        <v>3971</v>
      </c>
      <c r="AE203" t="s">
        <v>3972</v>
      </c>
      <c r="AF203" t="s">
        <v>74</v>
      </c>
      <c r="AG203">
        <v>131</v>
      </c>
      <c r="AH203">
        <v>46</v>
      </c>
      <c r="AI203">
        <v>52</v>
      </c>
      <c r="AJ203">
        <v>0</v>
      </c>
      <c r="AK203">
        <v>17</v>
      </c>
      <c r="AL203" t="s">
        <v>358</v>
      </c>
      <c r="AM203" t="s">
        <v>359</v>
      </c>
      <c r="AN203" t="s">
        <v>3238</v>
      </c>
      <c r="AO203" t="s">
        <v>3973</v>
      </c>
      <c r="AP203" t="s">
        <v>3974</v>
      </c>
      <c r="AQ203" t="s">
        <v>74</v>
      </c>
      <c r="AR203" t="s">
        <v>3961</v>
      </c>
      <c r="AS203" t="s">
        <v>3975</v>
      </c>
      <c r="AT203" t="s">
        <v>74</v>
      </c>
      <c r="AU203">
        <v>2016</v>
      </c>
      <c r="AV203">
        <v>10</v>
      </c>
      <c r="AW203">
        <v>2</v>
      </c>
      <c r="AX203" t="s">
        <v>74</v>
      </c>
      <c r="AY203" t="s">
        <v>74</v>
      </c>
      <c r="AZ203" t="s">
        <v>74</v>
      </c>
      <c r="BA203" t="s">
        <v>74</v>
      </c>
      <c r="BB203">
        <v>639</v>
      </c>
      <c r="BC203">
        <v>664</v>
      </c>
      <c r="BD203" t="s">
        <v>74</v>
      </c>
      <c r="BE203" t="s">
        <v>3976</v>
      </c>
      <c r="BF203" t="str">
        <f>HYPERLINK("http://dx.doi.org/10.5194/tc-10-639-2016","http://dx.doi.org/10.5194/tc-10-639-2016")</f>
        <v>http://dx.doi.org/10.5194/tc-10-639-2016</v>
      </c>
      <c r="BG203" t="s">
        <v>74</v>
      </c>
      <c r="BH203" t="s">
        <v>74</v>
      </c>
      <c r="BI203">
        <v>26</v>
      </c>
      <c r="BJ203" t="s">
        <v>2247</v>
      </c>
      <c r="BK203" t="s">
        <v>264</v>
      </c>
      <c r="BL203" t="s">
        <v>2248</v>
      </c>
      <c r="BM203" t="s">
        <v>3977</v>
      </c>
      <c r="BN203" t="s">
        <v>74</v>
      </c>
      <c r="BO203" t="s">
        <v>3978</v>
      </c>
      <c r="BP203" t="s">
        <v>74</v>
      </c>
      <c r="BQ203" t="s">
        <v>74</v>
      </c>
      <c r="BR203" t="s">
        <v>100</v>
      </c>
      <c r="BS203" t="s">
        <v>3979</v>
      </c>
      <c r="BT203" t="str">
        <f>HYPERLINK("https%3A%2F%2Fwww.webofscience.com%2Fwos%2Fwoscc%2Ffull-record%2FWOS:000379411800012","View Full Record in Web of Science")</f>
        <v>View Full Record in Web of Science</v>
      </c>
    </row>
    <row r="204" spans="1:72" x14ac:dyDescent="0.15">
      <c r="A204" t="s">
        <v>72</v>
      </c>
      <c r="B204" t="s">
        <v>3980</v>
      </c>
      <c r="C204" t="s">
        <v>74</v>
      </c>
      <c r="D204" t="s">
        <v>74</v>
      </c>
      <c r="E204" t="s">
        <v>74</v>
      </c>
      <c r="F204" t="s">
        <v>3981</v>
      </c>
      <c r="G204" t="s">
        <v>74</v>
      </c>
      <c r="H204" t="s">
        <v>74</v>
      </c>
      <c r="I204" t="s">
        <v>3982</v>
      </c>
      <c r="J204" t="s">
        <v>3961</v>
      </c>
      <c r="K204" t="s">
        <v>74</v>
      </c>
      <c r="L204" t="s">
        <v>74</v>
      </c>
      <c r="M204" t="s">
        <v>200</v>
      </c>
      <c r="N204" t="s">
        <v>79</v>
      </c>
      <c r="O204" t="s">
        <v>74</v>
      </c>
      <c r="P204" t="s">
        <v>74</v>
      </c>
      <c r="Q204" t="s">
        <v>74</v>
      </c>
      <c r="R204" t="s">
        <v>74</v>
      </c>
      <c r="S204" t="s">
        <v>74</v>
      </c>
      <c r="T204" t="s">
        <v>74</v>
      </c>
      <c r="U204" t="s">
        <v>3983</v>
      </c>
      <c r="V204" t="s">
        <v>3984</v>
      </c>
      <c r="W204" t="s">
        <v>3985</v>
      </c>
      <c r="X204" t="s">
        <v>3986</v>
      </c>
      <c r="Y204" t="s">
        <v>3987</v>
      </c>
      <c r="Z204" t="s">
        <v>3988</v>
      </c>
      <c r="AA204" t="s">
        <v>74</v>
      </c>
      <c r="AB204" t="s">
        <v>3989</v>
      </c>
      <c r="AC204" t="s">
        <v>3990</v>
      </c>
      <c r="AD204" t="s">
        <v>3990</v>
      </c>
      <c r="AE204" t="s">
        <v>3991</v>
      </c>
      <c r="AF204" t="s">
        <v>74</v>
      </c>
      <c r="AG204">
        <v>69</v>
      </c>
      <c r="AH204">
        <v>8</v>
      </c>
      <c r="AI204">
        <v>9</v>
      </c>
      <c r="AJ204">
        <v>2</v>
      </c>
      <c r="AK204">
        <v>12</v>
      </c>
      <c r="AL204" t="s">
        <v>358</v>
      </c>
      <c r="AM204" t="s">
        <v>359</v>
      </c>
      <c r="AN204" t="s">
        <v>3238</v>
      </c>
      <c r="AO204" t="s">
        <v>3973</v>
      </c>
      <c r="AP204" t="s">
        <v>3974</v>
      </c>
      <c r="AQ204" t="s">
        <v>74</v>
      </c>
      <c r="AR204" t="s">
        <v>3961</v>
      </c>
      <c r="AS204" t="s">
        <v>3975</v>
      </c>
      <c r="AT204" t="s">
        <v>74</v>
      </c>
      <c r="AU204">
        <v>2016</v>
      </c>
      <c r="AV204">
        <v>10</v>
      </c>
      <c r="AW204">
        <v>2</v>
      </c>
      <c r="AX204" t="s">
        <v>74</v>
      </c>
      <c r="AY204" t="s">
        <v>74</v>
      </c>
      <c r="AZ204" t="s">
        <v>74</v>
      </c>
      <c r="BA204" t="s">
        <v>74</v>
      </c>
      <c r="BB204">
        <v>825</v>
      </c>
      <c r="BC204">
        <v>836</v>
      </c>
      <c r="BD204" t="s">
        <v>74</v>
      </c>
      <c r="BE204" t="s">
        <v>3992</v>
      </c>
      <c r="BF204" t="str">
        <f>HYPERLINK("http://dx.doi.org/10.5194/tc-10-825-2016","http://dx.doi.org/10.5194/tc-10-825-2016")</f>
        <v>http://dx.doi.org/10.5194/tc-10-825-2016</v>
      </c>
      <c r="BG204" t="s">
        <v>74</v>
      </c>
      <c r="BH204" t="s">
        <v>74</v>
      </c>
      <c r="BI204">
        <v>12</v>
      </c>
      <c r="BJ204" t="s">
        <v>2247</v>
      </c>
      <c r="BK204" t="s">
        <v>264</v>
      </c>
      <c r="BL204" t="s">
        <v>2248</v>
      </c>
      <c r="BM204" t="s">
        <v>3977</v>
      </c>
      <c r="BN204" t="s">
        <v>74</v>
      </c>
      <c r="BO204" t="s">
        <v>2134</v>
      </c>
      <c r="BP204" t="s">
        <v>74</v>
      </c>
      <c r="BQ204" t="s">
        <v>74</v>
      </c>
      <c r="BR204" t="s">
        <v>100</v>
      </c>
      <c r="BS204" t="s">
        <v>3993</v>
      </c>
      <c r="BT204" t="str">
        <f>HYPERLINK("https%3A%2F%2Fwww.webofscience.com%2Fwos%2Fwoscc%2Ffull-record%2FWOS:000379411800025","View Full Record in Web of Science")</f>
        <v>View Full Record in Web of Science</v>
      </c>
    </row>
    <row r="205" spans="1:72" x14ac:dyDescent="0.15">
      <c r="A205" t="s">
        <v>72</v>
      </c>
      <c r="B205" t="s">
        <v>3994</v>
      </c>
      <c r="C205" t="s">
        <v>74</v>
      </c>
      <c r="D205" t="s">
        <v>74</v>
      </c>
      <c r="E205" t="s">
        <v>74</v>
      </c>
      <c r="F205" t="s">
        <v>3995</v>
      </c>
      <c r="G205" t="s">
        <v>74</v>
      </c>
      <c r="H205" t="s">
        <v>74</v>
      </c>
      <c r="I205" t="s">
        <v>3996</v>
      </c>
      <c r="J205" t="s">
        <v>3961</v>
      </c>
      <c r="K205" t="s">
        <v>74</v>
      </c>
      <c r="L205" t="s">
        <v>74</v>
      </c>
      <c r="M205" t="s">
        <v>200</v>
      </c>
      <c r="N205" t="s">
        <v>79</v>
      </c>
      <c r="O205" t="s">
        <v>74</v>
      </c>
      <c r="P205" t="s">
        <v>74</v>
      </c>
      <c r="Q205" t="s">
        <v>74</v>
      </c>
      <c r="R205" t="s">
        <v>74</v>
      </c>
      <c r="S205" t="s">
        <v>74</v>
      </c>
      <c r="T205" t="s">
        <v>74</v>
      </c>
      <c r="U205" t="s">
        <v>3997</v>
      </c>
      <c r="V205" t="s">
        <v>3998</v>
      </c>
      <c r="W205" t="s">
        <v>3999</v>
      </c>
      <c r="X205" t="s">
        <v>4000</v>
      </c>
      <c r="Y205" t="s">
        <v>4001</v>
      </c>
      <c r="Z205" t="s">
        <v>4002</v>
      </c>
      <c r="AA205" t="s">
        <v>4003</v>
      </c>
      <c r="AB205" t="s">
        <v>4004</v>
      </c>
      <c r="AC205" t="s">
        <v>4005</v>
      </c>
      <c r="AD205" t="s">
        <v>4006</v>
      </c>
      <c r="AE205" t="s">
        <v>4007</v>
      </c>
      <c r="AF205" t="s">
        <v>74</v>
      </c>
      <c r="AG205">
        <v>89</v>
      </c>
      <c r="AH205">
        <v>52</v>
      </c>
      <c r="AI205">
        <v>53</v>
      </c>
      <c r="AJ205">
        <v>1</v>
      </c>
      <c r="AK205">
        <v>16</v>
      </c>
      <c r="AL205" t="s">
        <v>358</v>
      </c>
      <c r="AM205" t="s">
        <v>359</v>
      </c>
      <c r="AN205" t="s">
        <v>3238</v>
      </c>
      <c r="AO205" t="s">
        <v>3973</v>
      </c>
      <c r="AP205" t="s">
        <v>3974</v>
      </c>
      <c r="AQ205" t="s">
        <v>74</v>
      </c>
      <c r="AR205" t="s">
        <v>3961</v>
      </c>
      <c r="AS205" t="s">
        <v>3975</v>
      </c>
      <c r="AT205" t="s">
        <v>74</v>
      </c>
      <c r="AU205">
        <v>2016</v>
      </c>
      <c r="AV205">
        <v>10</v>
      </c>
      <c r="AW205">
        <v>2</v>
      </c>
      <c r="AX205" t="s">
        <v>74</v>
      </c>
      <c r="AY205" t="s">
        <v>74</v>
      </c>
      <c r="AZ205" t="s">
        <v>74</v>
      </c>
      <c r="BA205" t="s">
        <v>74</v>
      </c>
      <c r="BB205">
        <v>837</v>
      </c>
      <c r="BC205">
        <v>852</v>
      </c>
      <c r="BD205" t="s">
        <v>74</v>
      </c>
      <c r="BE205" t="s">
        <v>4008</v>
      </c>
      <c r="BF205" t="str">
        <f>HYPERLINK("http://dx.doi.org/10.5194/tc-10-837-2016","http://dx.doi.org/10.5194/tc-10-837-2016")</f>
        <v>http://dx.doi.org/10.5194/tc-10-837-2016</v>
      </c>
      <c r="BG205" t="s">
        <v>74</v>
      </c>
      <c r="BH205" t="s">
        <v>74</v>
      </c>
      <c r="BI205">
        <v>16</v>
      </c>
      <c r="BJ205" t="s">
        <v>2247</v>
      </c>
      <c r="BK205" t="s">
        <v>264</v>
      </c>
      <c r="BL205" t="s">
        <v>2248</v>
      </c>
      <c r="BM205" t="s">
        <v>3977</v>
      </c>
      <c r="BN205" t="s">
        <v>74</v>
      </c>
      <c r="BO205" t="s">
        <v>2134</v>
      </c>
      <c r="BP205" t="s">
        <v>74</v>
      </c>
      <c r="BQ205" t="s">
        <v>74</v>
      </c>
      <c r="BR205" t="s">
        <v>100</v>
      </c>
      <c r="BS205" t="s">
        <v>4009</v>
      </c>
      <c r="BT205" t="str">
        <f>HYPERLINK("https%3A%2F%2Fwww.webofscience.com%2Fwos%2Fwoscc%2Ffull-record%2FWOS:000379411800026","View Full Record in Web of Science")</f>
        <v>View Full Record in Web of Science</v>
      </c>
    </row>
    <row r="206" spans="1:72" x14ac:dyDescent="0.15">
      <c r="A206" t="s">
        <v>72</v>
      </c>
      <c r="B206" t="s">
        <v>4010</v>
      </c>
      <c r="C206" t="s">
        <v>74</v>
      </c>
      <c r="D206" t="s">
        <v>74</v>
      </c>
      <c r="E206" t="s">
        <v>74</v>
      </c>
      <c r="F206" t="s">
        <v>4011</v>
      </c>
      <c r="G206" t="s">
        <v>74</v>
      </c>
      <c r="H206" t="s">
        <v>74</v>
      </c>
      <c r="I206" t="s">
        <v>4012</v>
      </c>
      <c r="J206" t="s">
        <v>4013</v>
      </c>
      <c r="K206" t="s">
        <v>74</v>
      </c>
      <c r="L206" t="s">
        <v>74</v>
      </c>
      <c r="M206" t="s">
        <v>200</v>
      </c>
      <c r="N206" t="s">
        <v>79</v>
      </c>
      <c r="O206" t="s">
        <v>74</v>
      </c>
      <c r="P206" t="s">
        <v>74</v>
      </c>
      <c r="Q206" t="s">
        <v>74</v>
      </c>
      <c r="R206" t="s">
        <v>74</v>
      </c>
      <c r="S206" t="s">
        <v>74</v>
      </c>
      <c r="T206" t="s">
        <v>74</v>
      </c>
      <c r="U206" t="s">
        <v>4014</v>
      </c>
      <c r="V206" t="s">
        <v>4015</v>
      </c>
      <c r="W206" t="s">
        <v>4016</v>
      </c>
      <c r="X206" t="s">
        <v>4017</v>
      </c>
      <c r="Y206" t="s">
        <v>4018</v>
      </c>
      <c r="Z206" t="s">
        <v>4019</v>
      </c>
      <c r="AA206" t="s">
        <v>4020</v>
      </c>
      <c r="AB206" t="s">
        <v>4021</v>
      </c>
      <c r="AC206" t="s">
        <v>4022</v>
      </c>
      <c r="AD206" t="s">
        <v>4023</v>
      </c>
      <c r="AE206" t="s">
        <v>4024</v>
      </c>
      <c r="AF206" t="s">
        <v>74</v>
      </c>
      <c r="AG206">
        <v>44</v>
      </c>
      <c r="AH206">
        <v>8</v>
      </c>
      <c r="AI206">
        <v>8</v>
      </c>
      <c r="AJ206">
        <v>2</v>
      </c>
      <c r="AK206">
        <v>26</v>
      </c>
      <c r="AL206" t="s">
        <v>502</v>
      </c>
      <c r="AM206" t="s">
        <v>503</v>
      </c>
      <c r="AN206" t="s">
        <v>504</v>
      </c>
      <c r="AO206" t="s">
        <v>4025</v>
      </c>
      <c r="AP206" t="s">
        <v>4026</v>
      </c>
      <c r="AQ206" t="s">
        <v>74</v>
      </c>
      <c r="AR206" t="s">
        <v>4027</v>
      </c>
      <c r="AS206" t="s">
        <v>4028</v>
      </c>
      <c r="AT206" t="s">
        <v>74</v>
      </c>
      <c r="AU206">
        <v>2016</v>
      </c>
      <c r="AV206">
        <v>37</v>
      </c>
      <c r="AW206">
        <v>13</v>
      </c>
      <c r="AX206" t="s">
        <v>74</v>
      </c>
      <c r="AY206" t="s">
        <v>74</v>
      </c>
      <c r="AZ206" t="s">
        <v>74</v>
      </c>
      <c r="BA206" t="s">
        <v>74</v>
      </c>
      <c r="BB206">
        <v>2962</v>
      </c>
      <c r="BC206">
        <v>2989</v>
      </c>
      <c r="BD206" t="s">
        <v>74</v>
      </c>
      <c r="BE206" t="s">
        <v>4029</v>
      </c>
      <c r="BF206" t="str">
        <f>HYPERLINK("http://dx.doi.org/10.1080/01431161.2016.1187318","http://dx.doi.org/10.1080/01431161.2016.1187318")</f>
        <v>http://dx.doi.org/10.1080/01431161.2016.1187318</v>
      </c>
      <c r="BG206" t="s">
        <v>74</v>
      </c>
      <c r="BH206" t="s">
        <v>74</v>
      </c>
      <c r="BI206">
        <v>28</v>
      </c>
      <c r="BJ206" t="s">
        <v>4030</v>
      </c>
      <c r="BK206" t="s">
        <v>264</v>
      </c>
      <c r="BL206" t="s">
        <v>4030</v>
      </c>
      <c r="BM206" t="s">
        <v>4031</v>
      </c>
      <c r="BN206" t="s">
        <v>74</v>
      </c>
      <c r="BO206" t="s">
        <v>74</v>
      </c>
      <c r="BP206" t="s">
        <v>74</v>
      </c>
      <c r="BQ206" t="s">
        <v>74</v>
      </c>
      <c r="BR206" t="s">
        <v>100</v>
      </c>
      <c r="BS206" t="s">
        <v>4032</v>
      </c>
      <c r="BT206" t="str">
        <f>HYPERLINK("https%3A%2F%2Fwww.webofscience.com%2Fwos%2Fwoscc%2Ffull-record%2FWOS:000379947200005","View Full Record in Web of Science")</f>
        <v>View Full Record in Web of Science</v>
      </c>
    </row>
    <row r="207" spans="1:72" x14ac:dyDescent="0.15">
      <c r="A207" t="s">
        <v>72</v>
      </c>
      <c r="B207" t="s">
        <v>4033</v>
      </c>
      <c r="C207" t="s">
        <v>74</v>
      </c>
      <c r="D207" t="s">
        <v>74</v>
      </c>
      <c r="E207" t="s">
        <v>74</v>
      </c>
      <c r="F207" t="s">
        <v>4034</v>
      </c>
      <c r="G207" t="s">
        <v>74</v>
      </c>
      <c r="H207" t="s">
        <v>74</v>
      </c>
      <c r="I207" t="s">
        <v>4035</v>
      </c>
      <c r="J207" t="s">
        <v>4036</v>
      </c>
      <c r="K207" t="s">
        <v>74</v>
      </c>
      <c r="L207" t="s">
        <v>74</v>
      </c>
      <c r="M207" t="s">
        <v>200</v>
      </c>
      <c r="N207" t="s">
        <v>79</v>
      </c>
      <c r="O207" t="s">
        <v>74</v>
      </c>
      <c r="P207" t="s">
        <v>74</v>
      </c>
      <c r="Q207" t="s">
        <v>74</v>
      </c>
      <c r="R207" t="s">
        <v>74</v>
      </c>
      <c r="S207" t="s">
        <v>74</v>
      </c>
      <c r="T207" t="s">
        <v>4037</v>
      </c>
      <c r="U207" t="s">
        <v>4038</v>
      </c>
      <c r="V207" t="s">
        <v>4039</v>
      </c>
      <c r="W207" t="s">
        <v>4040</v>
      </c>
      <c r="X207" t="s">
        <v>4041</v>
      </c>
      <c r="Y207" t="s">
        <v>4042</v>
      </c>
      <c r="Z207" t="s">
        <v>4043</v>
      </c>
      <c r="AA207" t="s">
        <v>4044</v>
      </c>
      <c r="AB207" t="s">
        <v>4045</v>
      </c>
      <c r="AC207" t="s">
        <v>4046</v>
      </c>
      <c r="AD207" t="s">
        <v>4046</v>
      </c>
      <c r="AE207" t="s">
        <v>4047</v>
      </c>
      <c r="AF207" t="s">
        <v>74</v>
      </c>
      <c r="AG207">
        <v>110</v>
      </c>
      <c r="AH207">
        <v>8</v>
      </c>
      <c r="AI207">
        <v>8</v>
      </c>
      <c r="AJ207">
        <v>0</v>
      </c>
      <c r="AK207">
        <v>10</v>
      </c>
      <c r="AL207" t="s">
        <v>502</v>
      </c>
      <c r="AM207" t="s">
        <v>503</v>
      </c>
      <c r="AN207" t="s">
        <v>504</v>
      </c>
      <c r="AO207" t="s">
        <v>4048</v>
      </c>
      <c r="AP207" t="s">
        <v>4049</v>
      </c>
      <c r="AQ207" t="s">
        <v>74</v>
      </c>
      <c r="AR207" t="s">
        <v>4050</v>
      </c>
      <c r="AS207" t="s">
        <v>4051</v>
      </c>
      <c r="AT207" t="s">
        <v>74</v>
      </c>
      <c r="AU207">
        <v>2016</v>
      </c>
      <c r="AV207">
        <v>31</v>
      </c>
      <c r="AW207">
        <v>5</v>
      </c>
      <c r="AX207" t="s">
        <v>74</v>
      </c>
      <c r="AY207" t="s">
        <v>74</v>
      </c>
      <c r="AZ207" t="s">
        <v>74</v>
      </c>
      <c r="BA207" t="s">
        <v>74</v>
      </c>
      <c r="BB207">
        <v>810</v>
      </c>
      <c r="BC207">
        <v>817</v>
      </c>
      <c r="BD207" t="s">
        <v>74</v>
      </c>
      <c r="BE207" t="s">
        <v>4052</v>
      </c>
      <c r="BF207" t="str">
        <f>HYPERLINK("http://dx.doi.org/10.3109/14756366.2015.1069289","http://dx.doi.org/10.3109/14756366.2015.1069289")</f>
        <v>http://dx.doi.org/10.3109/14756366.2015.1069289</v>
      </c>
      <c r="BG207" t="s">
        <v>74</v>
      </c>
      <c r="BH207" t="s">
        <v>74</v>
      </c>
      <c r="BI207">
        <v>8</v>
      </c>
      <c r="BJ207" t="s">
        <v>4053</v>
      </c>
      <c r="BK207" t="s">
        <v>264</v>
      </c>
      <c r="BL207" t="s">
        <v>4054</v>
      </c>
      <c r="BM207" t="s">
        <v>4055</v>
      </c>
      <c r="BN207">
        <v>26226178</v>
      </c>
      <c r="BO207" t="s">
        <v>74</v>
      </c>
      <c r="BP207" t="s">
        <v>74</v>
      </c>
      <c r="BQ207" t="s">
        <v>74</v>
      </c>
      <c r="BR207" t="s">
        <v>100</v>
      </c>
      <c r="BS207" t="s">
        <v>4056</v>
      </c>
      <c r="BT207" t="str">
        <f>HYPERLINK("https%3A%2F%2Fwww.webofscience.com%2Fwos%2Fwoscc%2Ffull-record%2FWOS:000379783700015","View Full Record in Web of Science")</f>
        <v>View Full Record in Web of Science</v>
      </c>
    </row>
    <row r="208" spans="1:72" x14ac:dyDescent="0.15">
      <c r="A208" t="s">
        <v>72</v>
      </c>
      <c r="B208" t="s">
        <v>4057</v>
      </c>
      <c r="C208" t="s">
        <v>74</v>
      </c>
      <c r="D208" t="s">
        <v>74</v>
      </c>
      <c r="E208" t="s">
        <v>74</v>
      </c>
      <c r="F208" t="s">
        <v>4058</v>
      </c>
      <c r="G208" t="s">
        <v>74</v>
      </c>
      <c r="H208" t="s">
        <v>74</v>
      </c>
      <c r="I208" t="s">
        <v>4059</v>
      </c>
      <c r="J208" t="s">
        <v>2707</v>
      </c>
      <c r="K208" t="s">
        <v>74</v>
      </c>
      <c r="L208" t="s">
        <v>74</v>
      </c>
      <c r="M208" t="s">
        <v>200</v>
      </c>
      <c r="N208" t="s">
        <v>79</v>
      </c>
      <c r="O208" t="s">
        <v>74</v>
      </c>
      <c r="P208" t="s">
        <v>74</v>
      </c>
      <c r="Q208" t="s">
        <v>74</v>
      </c>
      <c r="R208" t="s">
        <v>74</v>
      </c>
      <c r="S208" t="s">
        <v>74</v>
      </c>
      <c r="T208" t="s">
        <v>4060</v>
      </c>
      <c r="U208" t="s">
        <v>4061</v>
      </c>
      <c r="V208" t="s">
        <v>4062</v>
      </c>
      <c r="W208" t="s">
        <v>4063</v>
      </c>
      <c r="X208" t="s">
        <v>4064</v>
      </c>
      <c r="Y208" t="s">
        <v>4065</v>
      </c>
      <c r="Z208" t="s">
        <v>4066</v>
      </c>
      <c r="AA208" t="s">
        <v>4067</v>
      </c>
      <c r="AB208" t="s">
        <v>4068</v>
      </c>
      <c r="AC208" t="s">
        <v>4069</v>
      </c>
      <c r="AD208" t="s">
        <v>4070</v>
      </c>
      <c r="AE208" t="s">
        <v>4071</v>
      </c>
      <c r="AF208" t="s">
        <v>74</v>
      </c>
      <c r="AG208">
        <v>41</v>
      </c>
      <c r="AH208">
        <v>5</v>
      </c>
      <c r="AI208">
        <v>5</v>
      </c>
      <c r="AJ208">
        <v>0</v>
      </c>
      <c r="AK208">
        <v>7</v>
      </c>
      <c r="AL208" t="s">
        <v>380</v>
      </c>
      <c r="AM208" t="s">
        <v>381</v>
      </c>
      <c r="AN208" t="s">
        <v>382</v>
      </c>
      <c r="AO208" t="s">
        <v>2720</v>
      </c>
      <c r="AP208" t="s">
        <v>2721</v>
      </c>
      <c r="AQ208" t="s">
        <v>74</v>
      </c>
      <c r="AR208" t="s">
        <v>2722</v>
      </c>
      <c r="AS208" t="s">
        <v>2723</v>
      </c>
      <c r="AT208" t="s">
        <v>74</v>
      </c>
      <c r="AU208">
        <v>2016</v>
      </c>
      <c r="AV208">
        <v>43</v>
      </c>
      <c r="AW208">
        <v>4</v>
      </c>
      <c r="AX208" t="s">
        <v>74</v>
      </c>
      <c r="AY208" t="s">
        <v>74</v>
      </c>
      <c r="AZ208" t="s">
        <v>74</v>
      </c>
      <c r="BA208" t="s">
        <v>74</v>
      </c>
      <c r="BB208">
        <v>298</v>
      </c>
      <c r="BC208">
        <v>303</v>
      </c>
      <c r="BD208" t="s">
        <v>74</v>
      </c>
      <c r="BE208" t="s">
        <v>4072</v>
      </c>
      <c r="BF208" t="str">
        <f>HYPERLINK("http://dx.doi.org/10.1071/WR15198","http://dx.doi.org/10.1071/WR15198")</f>
        <v>http://dx.doi.org/10.1071/WR15198</v>
      </c>
      <c r="BG208" t="s">
        <v>74</v>
      </c>
      <c r="BH208" t="s">
        <v>74</v>
      </c>
      <c r="BI208">
        <v>6</v>
      </c>
      <c r="BJ208" t="s">
        <v>2725</v>
      </c>
      <c r="BK208" t="s">
        <v>264</v>
      </c>
      <c r="BL208" t="s">
        <v>2726</v>
      </c>
      <c r="BM208" t="s">
        <v>4073</v>
      </c>
      <c r="BN208" t="s">
        <v>74</v>
      </c>
      <c r="BO208" t="s">
        <v>74</v>
      </c>
      <c r="BP208" t="s">
        <v>74</v>
      </c>
      <c r="BQ208" t="s">
        <v>74</v>
      </c>
      <c r="BR208" t="s">
        <v>100</v>
      </c>
      <c r="BS208" t="s">
        <v>4074</v>
      </c>
      <c r="BT208" t="str">
        <f>HYPERLINK("https%3A%2F%2Fwww.webofscience.com%2Fwos%2Fwoscc%2Ffull-record%2FWOS:000380033300003","View Full Record in Web of Science")</f>
        <v>View Full Record in Web of Science</v>
      </c>
    </row>
    <row r="209" spans="1:72" x14ac:dyDescent="0.15">
      <c r="A209" t="s">
        <v>267</v>
      </c>
      <c r="B209" t="s">
        <v>4075</v>
      </c>
      <c r="C209" t="s">
        <v>74</v>
      </c>
      <c r="D209" t="s">
        <v>4076</v>
      </c>
      <c r="E209" t="s">
        <v>74</v>
      </c>
      <c r="F209" t="s">
        <v>4077</v>
      </c>
      <c r="G209" t="s">
        <v>74</v>
      </c>
      <c r="H209" t="s">
        <v>74</v>
      </c>
      <c r="I209" t="s">
        <v>4078</v>
      </c>
      <c r="J209" t="s">
        <v>4079</v>
      </c>
      <c r="K209" t="s">
        <v>4080</v>
      </c>
      <c r="L209" t="s">
        <v>74</v>
      </c>
      <c r="M209" t="s">
        <v>200</v>
      </c>
      <c r="N209" t="s">
        <v>273</v>
      </c>
      <c r="O209" t="s">
        <v>4081</v>
      </c>
      <c r="P209" t="s">
        <v>4082</v>
      </c>
      <c r="Q209" t="s">
        <v>4083</v>
      </c>
      <c r="R209" t="s">
        <v>74</v>
      </c>
      <c r="S209" t="s">
        <v>4084</v>
      </c>
      <c r="T209" t="s">
        <v>4085</v>
      </c>
      <c r="U209" t="s">
        <v>4086</v>
      </c>
      <c r="V209" t="s">
        <v>4087</v>
      </c>
      <c r="W209" t="s">
        <v>4088</v>
      </c>
      <c r="X209" t="s">
        <v>4089</v>
      </c>
      <c r="Y209" t="s">
        <v>4090</v>
      </c>
      <c r="Z209" t="s">
        <v>4091</v>
      </c>
      <c r="AA209" t="s">
        <v>74</v>
      </c>
      <c r="AB209" t="s">
        <v>4092</v>
      </c>
      <c r="AC209" t="s">
        <v>74</v>
      </c>
      <c r="AD209" t="s">
        <v>74</v>
      </c>
      <c r="AE209" t="s">
        <v>74</v>
      </c>
      <c r="AF209" t="s">
        <v>74</v>
      </c>
      <c r="AG209">
        <v>74</v>
      </c>
      <c r="AH209">
        <v>22</v>
      </c>
      <c r="AI209">
        <v>22</v>
      </c>
      <c r="AJ209">
        <v>0</v>
      </c>
      <c r="AK209">
        <v>3</v>
      </c>
      <c r="AL209" t="s">
        <v>3560</v>
      </c>
      <c r="AM209" t="s">
        <v>4093</v>
      </c>
      <c r="AN209" t="s">
        <v>4094</v>
      </c>
      <c r="AO209" t="s">
        <v>4095</v>
      </c>
      <c r="AP209" t="s">
        <v>74</v>
      </c>
      <c r="AQ209" t="s">
        <v>4096</v>
      </c>
      <c r="AR209" t="s">
        <v>4097</v>
      </c>
      <c r="AS209" t="s">
        <v>4098</v>
      </c>
      <c r="AT209" t="s">
        <v>74</v>
      </c>
      <c r="AU209">
        <v>2016</v>
      </c>
      <c r="AV209" t="s">
        <v>74</v>
      </c>
      <c r="AW209" t="s">
        <v>74</v>
      </c>
      <c r="AX209" t="s">
        <v>74</v>
      </c>
      <c r="AY209" t="s">
        <v>74</v>
      </c>
      <c r="AZ209" t="s">
        <v>74</v>
      </c>
      <c r="BA209" t="s">
        <v>74</v>
      </c>
      <c r="BB209">
        <v>175</v>
      </c>
      <c r="BC209">
        <v>193</v>
      </c>
      <c r="BD209" t="s">
        <v>74</v>
      </c>
      <c r="BE209" t="s">
        <v>4099</v>
      </c>
      <c r="BF209" t="str">
        <f>HYPERLINK("http://dx.doi.org/10.1007/978-94-017-7520-5_10","http://dx.doi.org/10.1007/978-94-017-7520-5_10")</f>
        <v>http://dx.doi.org/10.1007/978-94-017-7520-5_10</v>
      </c>
      <c r="BG209" t="s">
        <v>74</v>
      </c>
      <c r="BH209" t="s">
        <v>74</v>
      </c>
      <c r="BI209">
        <v>19</v>
      </c>
      <c r="BJ209" t="s">
        <v>2542</v>
      </c>
      <c r="BK209" t="s">
        <v>293</v>
      </c>
      <c r="BL209" t="s">
        <v>2542</v>
      </c>
      <c r="BM209" t="s">
        <v>4100</v>
      </c>
      <c r="BN209" t="s">
        <v>74</v>
      </c>
      <c r="BO209" t="s">
        <v>74</v>
      </c>
      <c r="BP209" t="s">
        <v>74</v>
      </c>
      <c r="BQ209" t="s">
        <v>74</v>
      </c>
      <c r="BR209" t="s">
        <v>100</v>
      </c>
      <c r="BS209" t="s">
        <v>4101</v>
      </c>
      <c r="BT209" t="str">
        <f>HYPERLINK("https%3A%2F%2Fwww.webofscience.com%2Fwos%2Fwoscc%2Ffull-record%2FWOS:000379118600010","View Full Record in Web of Science")</f>
        <v>View Full Record in Web of Science</v>
      </c>
    </row>
    <row r="210" spans="1:72" x14ac:dyDescent="0.15">
      <c r="A210" t="s">
        <v>72</v>
      </c>
      <c r="B210" t="s">
        <v>4102</v>
      </c>
      <c r="C210" t="s">
        <v>74</v>
      </c>
      <c r="D210" t="s">
        <v>74</v>
      </c>
      <c r="E210" t="s">
        <v>74</v>
      </c>
      <c r="F210" t="s">
        <v>4103</v>
      </c>
      <c r="G210" t="s">
        <v>74</v>
      </c>
      <c r="H210" t="s">
        <v>74</v>
      </c>
      <c r="I210" t="s">
        <v>4104</v>
      </c>
      <c r="J210" t="s">
        <v>3961</v>
      </c>
      <c r="K210" t="s">
        <v>74</v>
      </c>
      <c r="L210" t="s">
        <v>74</v>
      </c>
      <c r="M210" t="s">
        <v>200</v>
      </c>
      <c r="N210" t="s">
        <v>79</v>
      </c>
      <c r="O210" t="s">
        <v>74</v>
      </c>
      <c r="P210" t="s">
        <v>74</v>
      </c>
      <c r="Q210" t="s">
        <v>74</v>
      </c>
      <c r="R210" t="s">
        <v>74</v>
      </c>
      <c r="S210" t="s">
        <v>74</v>
      </c>
      <c r="T210" t="s">
        <v>74</v>
      </c>
      <c r="U210" t="s">
        <v>4105</v>
      </c>
      <c r="V210" t="s">
        <v>4106</v>
      </c>
      <c r="W210" t="s">
        <v>4107</v>
      </c>
      <c r="X210" t="s">
        <v>4108</v>
      </c>
      <c r="Y210" t="s">
        <v>4109</v>
      </c>
      <c r="Z210" t="s">
        <v>4110</v>
      </c>
      <c r="AA210" t="s">
        <v>74</v>
      </c>
      <c r="AB210" t="s">
        <v>4111</v>
      </c>
      <c r="AC210" t="s">
        <v>4112</v>
      </c>
      <c r="AD210" t="s">
        <v>4113</v>
      </c>
      <c r="AE210" t="s">
        <v>4114</v>
      </c>
      <c r="AF210" t="s">
        <v>74</v>
      </c>
      <c r="AG210">
        <v>109</v>
      </c>
      <c r="AH210">
        <v>91</v>
      </c>
      <c r="AI210">
        <v>108</v>
      </c>
      <c r="AJ210">
        <v>1</v>
      </c>
      <c r="AK210">
        <v>35</v>
      </c>
      <c r="AL210" t="s">
        <v>358</v>
      </c>
      <c r="AM210" t="s">
        <v>359</v>
      </c>
      <c r="AN210" t="s">
        <v>3238</v>
      </c>
      <c r="AO210" t="s">
        <v>3973</v>
      </c>
      <c r="AP210" t="s">
        <v>3974</v>
      </c>
      <c r="AQ210" t="s">
        <v>74</v>
      </c>
      <c r="AR210" t="s">
        <v>3961</v>
      </c>
      <c r="AS210" t="s">
        <v>3975</v>
      </c>
      <c r="AT210" t="s">
        <v>74</v>
      </c>
      <c r="AU210">
        <v>2016</v>
      </c>
      <c r="AV210">
        <v>10</v>
      </c>
      <c r="AW210">
        <v>3</v>
      </c>
      <c r="AX210" t="s">
        <v>74</v>
      </c>
      <c r="AY210" t="s">
        <v>74</v>
      </c>
      <c r="AZ210" t="s">
        <v>74</v>
      </c>
      <c r="BA210" t="s">
        <v>74</v>
      </c>
      <c r="BB210">
        <v>1003</v>
      </c>
      <c r="BC210">
        <v>1020</v>
      </c>
      <c r="BD210" t="s">
        <v>74</v>
      </c>
      <c r="BE210" t="s">
        <v>4115</v>
      </c>
      <c r="BF210" t="str">
        <f>HYPERLINK("http://dx.doi.org/10.5194/tc-10-1003-2016","http://dx.doi.org/10.5194/tc-10-1003-2016")</f>
        <v>http://dx.doi.org/10.5194/tc-10-1003-2016</v>
      </c>
      <c r="BG210" t="s">
        <v>74</v>
      </c>
      <c r="BH210" t="s">
        <v>74</v>
      </c>
      <c r="BI210">
        <v>18</v>
      </c>
      <c r="BJ210" t="s">
        <v>2247</v>
      </c>
      <c r="BK210" t="s">
        <v>264</v>
      </c>
      <c r="BL210" t="s">
        <v>2248</v>
      </c>
      <c r="BM210" t="s">
        <v>4116</v>
      </c>
      <c r="BN210" t="s">
        <v>74</v>
      </c>
      <c r="BO210" t="s">
        <v>2134</v>
      </c>
      <c r="BP210" t="s">
        <v>74</v>
      </c>
      <c r="BQ210" t="s">
        <v>74</v>
      </c>
      <c r="BR210" t="s">
        <v>100</v>
      </c>
      <c r="BS210" t="s">
        <v>4117</v>
      </c>
      <c r="BT210" t="str">
        <f>HYPERLINK("https%3A%2F%2Fwww.webofscience.com%2Fwos%2Fwoscc%2Ffull-record%2FWOS:000379415500005","View Full Record in Web of Science")</f>
        <v>View Full Record in Web of Science</v>
      </c>
    </row>
    <row r="211" spans="1:72" x14ac:dyDescent="0.15">
      <c r="A211" t="s">
        <v>72</v>
      </c>
      <c r="B211" t="s">
        <v>4118</v>
      </c>
      <c r="C211" t="s">
        <v>74</v>
      </c>
      <c r="D211" t="s">
        <v>74</v>
      </c>
      <c r="E211" t="s">
        <v>74</v>
      </c>
      <c r="F211" t="s">
        <v>4119</v>
      </c>
      <c r="G211" t="s">
        <v>74</v>
      </c>
      <c r="H211" t="s">
        <v>74</v>
      </c>
      <c r="I211" t="s">
        <v>4120</v>
      </c>
      <c r="J211" t="s">
        <v>3961</v>
      </c>
      <c r="K211" t="s">
        <v>74</v>
      </c>
      <c r="L211" t="s">
        <v>74</v>
      </c>
      <c r="M211" t="s">
        <v>200</v>
      </c>
      <c r="N211" t="s">
        <v>79</v>
      </c>
      <c r="O211" t="s">
        <v>74</v>
      </c>
      <c r="P211" t="s">
        <v>74</v>
      </c>
      <c r="Q211" t="s">
        <v>74</v>
      </c>
      <c r="R211" t="s">
        <v>74</v>
      </c>
      <c r="S211" t="s">
        <v>74</v>
      </c>
      <c r="T211" t="s">
        <v>74</v>
      </c>
      <c r="U211" t="s">
        <v>4121</v>
      </c>
      <c r="V211" t="s">
        <v>4122</v>
      </c>
      <c r="W211" t="s">
        <v>4123</v>
      </c>
      <c r="X211" t="s">
        <v>4124</v>
      </c>
      <c r="Y211" t="s">
        <v>4125</v>
      </c>
      <c r="Z211" t="s">
        <v>4126</v>
      </c>
      <c r="AA211" t="s">
        <v>4127</v>
      </c>
      <c r="AB211" t="s">
        <v>4128</v>
      </c>
      <c r="AC211" t="s">
        <v>4129</v>
      </c>
      <c r="AD211" t="s">
        <v>4130</v>
      </c>
      <c r="AE211" t="s">
        <v>4131</v>
      </c>
      <c r="AF211" t="s">
        <v>74</v>
      </c>
      <c r="AG211">
        <v>55</v>
      </c>
      <c r="AH211">
        <v>9</v>
      </c>
      <c r="AI211">
        <v>11</v>
      </c>
      <c r="AJ211">
        <v>0</v>
      </c>
      <c r="AK211">
        <v>11</v>
      </c>
      <c r="AL211" t="s">
        <v>358</v>
      </c>
      <c r="AM211" t="s">
        <v>359</v>
      </c>
      <c r="AN211" t="s">
        <v>3238</v>
      </c>
      <c r="AO211" t="s">
        <v>3973</v>
      </c>
      <c r="AP211" t="s">
        <v>3974</v>
      </c>
      <c r="AQ211" t="s">
        <v>74</v>
      </c>
      <c r="AR211" t="s">
        <v>3961</v>
      </c>
      <c r="AS211" t="s">
        <v>3975</v>
      </c>
      <c r="AT211" t="s">
        <v>74</v>
      </c>
      <c r="AU211">
        <v>2016</v>
      </c>
      <c r="AV211">
        <v>10</v>
      </c>
      <c r="AW211">
        <v>3</v>
      </c>
      <c r="AX211" t="s">
        <v>74</v>
      </c>
      <c r="AY211" t="s">
        <v>74</v>
      </c>
      <c r="AZ211" t="s">
        <v>74</v>
      </c>
      <c r="BA211" t="s">
        <v>74</v>
      </c>
      <c r="BB211">
        <v>1217</v>
      </c>
      <c r="BC211">
        <v>1227</v>
      </c>
      <c r="BD211" t="s">
        <v>74</v>
      </c>
      <c r="BE211" t="s">
        <v>4132</v>
      </c>
      <c r="BF211" t="str">
        <f>HYPERLINK("http://dx.doi.org/10.5194/tc-10-1217-2016","http://dx.doi.org/10.5194/tc-10-1217-2016")</f>
        <v>http://dx.doi.org/10.5194/tc-10-1217-2016</v>
      </c>
      <c r="BG211" t="s">
        <v>74</v>
      </c>
      <c r="BH211" t="s">
        <v>74</v>
      </c>
      <c r="BI211">
        <v>11</v>
      </c>
      <c r="BJ211" t="s">
        <v>2247</v>
      </c>
      <c r="BK211" t="s">
        <v>264</v>
      </c>
      <c r="BL211" t="s">
        <v>2248</v>
      </c>
      <c r="BM211" t="s">
        <v>4116</v>
      </c>
      <c r="BN211" t="s">
        <v>74</v>
      </c>
      <c r="BO211" t="s">
        <v>369</v>
      </c>
      <c r="BP211" t="s">
        <v>74</v>
      </c>
      <c r="BQ211" t="s">
        <v>74</v>
      </c>
      <c r="BR211" t="s">
        <v>100</v>
      </c>
      <c r="BS211" t="s">
        <v>4133</v>
      </c>
      <c r="BT211" t="str">
        <f>HYPERLINK("https%3A%2F%2Fwww.webofscience.com%2Fwos%2Fwoscc%2Ffull-record%2FWOS:000379415500018","View Full Record in Web of Science")</f>
        <v>View Full Record in Web of Science</v>
      </c>
    </row>
    <row r="212" spans="1:72" x14ac:dyDescent="0.15">
      <c r="A212" t="s">
        <v>72</v>
      </c>
      <c r="B212" t="s">
        <v>4134</v>
      </c>
      <c r="C212" t="s">
        <v>74</v>
      </c>
      <c r="D212" t="s">
        <v>74</v>
      </c>
      <c r="E212" t="s">
        <v>74</v>
      </c>
      <c r="F212" t="s">
        <v>4135</v>
      </c>
      <c r="G212" t="s">
        <v>74</v>
      </c>
      <c r="H212" t="s">
        <v>74</v>
      </c>
      <c r="I212" t="s">
        <v>4136</v>
      </c>
      <c r="J212" t="s">
        <v>3961</v>
      </c>
      <c r="K212" t="s">
        <v>74</v>
      </c>
      <c r="L212" t="s">
        <v>74</v>
      </c>
      <c r="M212" t="s">
        <v>200</v>
      </c>
      <c r="N212" t="s">
        <v>79</v>
      </c>
      <c r="O212" t="s">
        <v>74</v>
      </c>
      <c r="P212" t="s">
        <v>74</v>
      </c>
      <c r="Q212" t="s">
        <v>74</v>
      </c>
      <c r="R212" t="s">
        <v>74</v>
      </c>
      <c r="S212" t="s">
        <v>74</v>
      </c>
      <c r="T212" t="s">
        <v>74</v>
      </c>
      <c r="U212" t="s">
        <v>4137</v>
      </c>
      <c r="V212" t="s">
        <v>4138</v>
      </c>
      <c r="W212" t="s">
        <v>4139</v>
      </c>
      <c r="X212" t="s">
        <v>4140</v>
      </c>
      <c r="Y212" t="s">
        <v>4141</v>
      </c>
      <c r="Z212" t="s">
        <v>4142</v>
      </c>
      <c r="AA212" t="s">
        <v>74</v>
      </c>
      <c r="AB212" t="s">
        <v>4143</v>
      </c>
      <c r="AC212" t="s">
        <v>4144</v>
      </c>
      <c r="AD212" t="s">
        <v>4145</v>
      </c>
      <c r="AE212" t="s">
        <v>4146</v>
      </c>
      <c r="AF212" t="s">
        <v>74</v>
      </c>
      <c r="AG212">
        <v>38</v>
      </c>
      <c r="AH212">
        <v>23</v>
      </c>
      <c r="AI212">
        <v>27</v>
      </c>
      <c r="AJ212">
        <v>1</v>
      </c>
      <c r="AK212">
        <v>10</v>
      </c>
      <c r="AL212" t="s">
        <v>358</v>
      </c>
      <c r="AM212" t="s">
        <v>359</v>
      </c>
      <c r="AN212" t="s">
        <v>3238</v>
      </c>
      <c r="AO212" t="s">
        <v>3973</v>
      </c>
      <c r="AP212" t="s">
        <v>3974</v>
      </c>
      <c r="AQ212" t="s">
        <v>74</v>
      </c>
      <c r="AR212" t="s">
        <v>3961</v>
      </c>
      <c r="AS212" t="s">
        <v>3975</v>
      </c>
      <c r="AT212" t="s">
        <v>74</v>
      </c>
      <c r="AU212">
        <v>2016</v>
      </c>
      <c r="AV212">
        <v>10</v>
      </c>
      <c r="AW212">
        <v>4</v>
      </c>
      <c r="AX212" t="s">
        <v>74</v>
      </c>
      <c r="AY212" t="s">
        <v>74</v>
      </c>
      <c r="AZ212" t="s">
        <v>74</v>
      </c>
      <c r="BA212" t="s">
        <v>74</v>
      </c>
      <c r="BB212">
        <v>1381</v>
      </c>
      <c r="BC212">
        <v>1393</v>
      </c>
      <c r="BD212" t="s">
        <v>74</v>
      </c>
      <c r="BE212" t="s">
        <v>4147</v>
      </c>
      <c r="BF212" t="str">
        <f>HYPERLINK("http://dx.doi.org/10.5194/tc-10-1381-2016","http://dx.doi.org/10.5194/tc-10-1381-2016")</f>
        <v>http://dx.doi.org/10.5194/tc-10-1381-2016</v>
      </c>
      <c r="BG212" t="s">
        <v>74</v>
      </c>
      <c r="BH212" t="s">
        <v>74</v>
      </c>
      <c r="BI212">
        <v>13</v>
      </c>
      <c r="BJ212" t="s">
        <v>2247</v>
      </c>
      <c r="BK212" t="s">
        <v>264</v>
      </c>
      <c r="BL212" t="s">
        <v>2248</v>
      </c>
      <c r="BM212" t="s">
        <v>4148</v>
      </c>
      <c r="BN212" t="s">
        <v>74</v>
      </c>
      <c r="BO212" t="s">
        <v>511</v>
      </c>
      <c r="BP212" t="s">
        <v>74</v>
      </c>
      <c r="BQ212" t="s">
        <v>74</v>
      </c>
      <c r="BR212" t="s">
        <v>100</v>
      </c>
      <c r="BS212" t="s">
        <v>4149</v>
      </c>
      <c r="BT212" t="str">
        <f>HYPERLINK("https%3A%2F%2Fwww.webofscience.com%2Fwos%2Fwoscc%2Ffull-record%2FWOS:000379422700002","View Full Record in Web of Science")</f>
        <v>View Full Record in Web of Science</v>
      </c>
    </row>
    <row r="213" spans="1:72" x14ac:dyDescent="0.15">
      <c r="A213" t="s">
        <v>72</v>
      </c>
      <c r="B213" t="s">
        <v>4150</v>
      </c>
      <c r="C213" t="s">
        <v>74</v>
      </c>
      <c r="D213" t="s">
        <v>74</v>
      </c>
      <c r="E213" t="s">
        <v>74</v>
      </c>
      <c r="F213" t="s">
        <v>4151</v>
      </c>
      <c r="G213" t="s">
        <v>74</v>
      </c>
      <c r="H213" t="s">
        <v>74</v>
      </c>
      <c r="I213" t="s">
        <v>4152</v>
      </c>
      <c r="J213" t="s">
        <v>4153</v>
      </c>
      <c r="K213" t="s">
        <v>74</v>
      </c>
      <c r="L213" t="s">
        <v>74</v>
      </c>
      <c r="M213" t="s">
        <v>200</v>
      </c>
      <c r="N213" t="s">
        <v>79</v>
      </c>
      <c r="O213" t="s">
        <v>74</v>
      </c>
      <c r="P213" t="s">
        <v>74</v>
      </c>
      <c r="Q213" t="s">
        <v>74</v>
      </c>
      <c r="R213" t="s">
        <v>74</v>
      </c>
      <c r="S213" t="s">
        <v>74</v>
      </c>
      <c r="T213" t="s">
        <v>74</v>
      </c>
      <c r="U213" t="s">
        <v>4154</v>
      </c>
      <c r="V213" t="s">
        <v>4155</v>
      </c>
      <c r="W213" t="s">
        <v>4156</v>
      </c>
      <c r="X213" t="s">
        <v>4157</v>
      </c>
      <c r="Y213" t="s">
        <v>4158</v>
      </c>
      <c r="Z213" t="s">
        <v>4159</v>
      </c>
      <c r="AA213" t="s">
        <v>4160</v>
      </c>
      <c r="AB213" t="s">
        <v>4161</v>
      </c>
      <c r="AC213" t="s">
        <v>4162</v>
      </c>
      <c r="AD213" t="s">
        <v>4162</v>
      </c>
      <c r="AE213" t="s">
        <v>4163</v>
      </c>
      <c r="AF213" t="s">
        <v>74</v>
      </c>
      <c r="AG213">
        <v>33</v>
      </c>
      <c r="AH213">
        <v>5</v>
      </c>
      <c r="AI213">
        <v>6</v>
      </c>
      <c r="AJ213">
        <v>0</v>
      </c>
      <c r="AK213">
        <v>7</v>
      </c>
      <c r="AL213" t="s">
        <v>358</v>
      </c>
      <c r="AM213" t="s">
        <v>359</v>
      </c>
      <c r="AN213" t="s">
        <v>3238</v>
      </c>
      <c r="AO213" t="s">
        <v>4164</v>
      </c>
      <c r="AP213" t="s">
        <v>4165</v>
      </c>
      <c r="AQ213" t="s">
        <v>74</v>
      </c>
      <c r="AR213" t="s">
        <v>4166</v>
      </c>
      <c r="AS213" t="s">
        <v>4167</v>
      </c>
      <c r="AT213" t="s">
        <v>74</v>
      </c>
      <c r="AU213">
        <v>2016</v>
      </c>
      <c r="AV213">
        <v>9</v>
      </c>
      <c r="AW213">
        <v>7</v>
      </c>
      <c r="AX213" t="s">
        <v>74</v>
      </c>
      <c r="AY213" t="s">
        <v>74</v>
      </c>
      <c r="AZ213" t="s">
        <v>74</v>
      </c>
      <c r="BA213" t="s">
        <v>74</v>
      </c>
      <c r="BB213">
        <v>2301</v>
      </c>
      <c r="BC213">
        <v>2313</v>
      </c>
      <c r="BD213" t="s">
        <v>74</v>
      </c>
      <c r="BE213" t="s">
        <v>4168</v>
      </c>
      <c r="BF213" t="str">
        <f>HYPERLINK("http://dx.doi.org/10.5194/gmd-9-2301-2016","http://dx.doi.org/10.5194/gmd-9-2301-2016")</f>
        <v>http://dx.doi.org/10.5194/gmd-9-2301-2016</v>
      </c>
      <c r="BG213" t="s">
        <v>74</v>
      </c>
      <c r="BH213" t="s">
        <v>74</v>
      </c>
      <c r="BI213">
        <v>13</v>
      </c>
      <c r="BJ213" t="s">
        <v>95</v>
      </c>
      <c r="BK213" t="s">
        <v>264</v>
      </c>
      <c r="BL213" t="s">
        <v>97</v>
      </c>
      <c r="BM213" t="s">
        <v>4169</v>
      </c>
      <c r="BN213" t="s">
        <v>74</v>
      </c>
      <c r="BO213" t="s">
        <v>2134</v>
      </c>
      <c r="BP213" t="s">
        <v>74</v>
      </c>
      <c r="BQ213" t="s">
        <v>74</v>
      </c>
      <c r="BR213" t="s">
        <v>100</v>
      </c>
      <c r="BS213" t="s">
        <v>4170</v>
      </c>
      <c r="BT213" t="str">
        <f>HYPERLINK("https%3A%2F%2Fwww.webofscience.com%2Fwos%2Fwoscc%2Ffull-record%2FWOS:000379427500002","View Full Record in Web of Science")</f>
        <v>View Full Record in Web of Science</v>
      </c>
    </row>
    <row r="214" spans="1:72" x14ac:dyDescent="0.15">
      <c r="A214" t="s">
        <v>72</v>
      </c>
      <c r="B214" t="s">
        <v>4171</v>
      </c>
      <c r="C214" t="s">
        <v>74</v>
      </c>
      <c r="D214" t="s">
        <v>74</v>
      </c>
      <c r="E214" t="s">
        <v>74</v>
      </c>
      <c r="F214" t="s">
        <v>4172</v>
      </c>
      <c r="G214" t="s">
        <v>74</v>
      </c>
      <c r="H214" t="s">
        <v>74</v>
      </c>
      <c r="I214" t="s">
        <v>4173</v>
      </c>
      <c r="J214" t="s">
        <v>4174</v>
      </c>
      <c r="K214" t="s">
        <v>74</v>
      </c>
      <c r="L214" t="s">
        <v>74</v>
      </c>
      <c r="M214" t="s">
        <v>200</v>
      </c>
      <c r="N214" t="s">
        <v>79</v>
      </c>
      <c r="O214" t="s">
        <v>74</v>
      </c>
      <c r="P214" t="s">
        <v>74</v>
      </c>
      <c r="Q214" t="s">
        <v>74</v>
      </c>
      <c r="R214" t="s">
        <v>74</v>
      </c>
      <c r="S214" t="s">
        <v>74</v>
      </c>
      <c r="T214" t="s">
        <v>4175</v>
      </c>
      <c r="U214" t="s">
        <v>4176</v>
      </c>
      <c r="V214" t="s">
        <v>4177</v>
      </c>
      <c r="W214" t="s">
        <v>4178</v>
      </c>
      <c r="X214" t="s">
        <v>4179</v>
      </c>
      <c r="Y214" t="s">
        <v>4180</v>
      </c>
      <c r="Z214" t="s">
        <v>4181</v>
      </c>
      <c r="AA214" t="s">
        <v>4182</v>
      </c>
      <c r="AB214" t="s">
        <v>4183</v>
      </c>
      <c r="AC214" t="s">
        <v>4184</v>
      </c>
      <c r="AD214" t="s">
        <v>4185</v>
      </c>
      <c r="AE214" t="s">
        <v>4186</v>
      </c>
      <c r="AF214" t="s">
        <v>74</v>
      </c>
      <c r="AG214">
        <v>27</v>
      </c>
      <c r="AH214">
        <v>3</v>
      </c>
      <c r="AI214">
        <v>3</v>
      </c>
      <c r="AJ214">
        <v>2</v>
      </c>
      <c r="AK214">
        <v>34</v>
      </c>
      <c r="AL214" t="s">
        <v>4187</v>
      </c>
      <c r="AM214" t="s">
        <v>4188</v>
      </c>
      <c r="AN214" t="s">
        <v>4189</v>
      </c>
      <c r="AO214" t="s">
        <v>4190</v>
      </c>
      <c r="AP214" t="s">
        <v>4191</v>
      </c>
      <c r="AQ214" t="s">
        <v>74</v>
      </c>
      <c r="AR214" t="s">
        <v>4192</v>
      </c>
      <c r="AS214" t="s">
        <v>4193</v>
      </c>
      <c r="AT214" t="s">
        <v>74</v>
      </c>
      <c r="AU214">
        <v>2016</v>
      </c>
      <c r="AV214">
        <v>43</v>
      </c>
      <c r="AW214">
        <v>1</v>
      </c>
      <c r="AX214" t="s">
        <v>74</v>
      </c>
      <c r="AY214" t="s">
        <v>74</v>
      </c>
      <c r="AZ214" t="s">
        <v>74</v>
      </c>
      <c r="BA214" t="s">
        <v>74</v>
      </c>
      <c r="BB214">
        <v>77</v>
      </c>
      <c r="BC214">
        <v>90</v>
      </c>
      <c r="BD214" t="s">
        <v>74</v>
      </c>
      <c r="BE214" t="s">
        <v>4194</v>
      </c>
      <c r="BF214" t="str">
        <f>HYPERLINK("http://dx.doi.org/10.1108/IR-03-2015-0052","http://dx.doi.org/10.1108/IR-03-2015-0052")</f>
        <v>http://dx.doi.org/10.1108/IR-03-2015-0052</v>
      </c>
      <c r="BG214" t="s">
        <v>74</v>
      </c>
      <c r="BH214" t="s">
        <v>74</v>
      </c>
      <c r="BI214">
        <v>14</v>
      </c>
      <c r="BJ214" t="s">
        <v>4195</v>
      </c>
      <c r="BK214" t="s">
        <v>264</v>
      </c>
      <c r="BL214" t="s">
        <v>4196</v>
      </c>
      <c r="BM214" t="s">
        <v>4197</v>
      </c>
      <c r="BN214" t="s">
        <v>74</v>
      </c>
      <c r="BO214" t="s">
        <v>74</v>
      </c>
      <c r="BP214" t="s">
        <v>74</v>
      </c>
      <c r="BQ214" t="s">
        <v>74</v>
      </c>
      <c r="BR214" t="s">
        <v>100</v>
      </c>
      <c r="BS214" t="s">
        <v>4198</v>
      </c>
      <c r="BT214" t="str">
        <f>HYPERLINK("https%3A%2F%2Fwww.webofscience.com%2Fwos%2Fwoscc%2Ffull-record%2FWOS:000379679700009","View Full Record in Web of Science")</f>
        <v>View Full Record in Web of Science</v>
      </c>
    </row>
    <row r="215" spans="1:72" x14ac:dyDescent="0.15">
      <c r="A215" t="s">
        <v>72</v>
      </c>
      <c r="B215" t="s">
        <v>4199</v>
      </c>
      <c r="C215" t="s">
        <v>74</v>
      </c>
      <c r="D215" t="s">
        <v>74</v>
      </c>
      <c r="E215" t="s">
        <v>74</v>
      </c>
      <c r="F215" t="s">
        <v>4200</v>
      </c>
      <c r="G215" t="s">
        <v>74</v>
      </c>
      <c r="H215" t="s">
        <v>74</v>
      </c>
      <c r="I215" t="s">
        <v>4201</v>
      </c>
      <c r="J215" t="s">
        <v>4202</v>
      </c>
      <c r="K215" t="s">
        <v>74</v>
      </c>
      <c r="L215" t="s">
        <v>74</v>
      </c>
      <c r="M215" t="s">
        <v>200</v>
      </c>
      <c r="N215" t="s">
        <v>79</v>
      </c>
      <c r="O215" t="s">
        <v>74</v>
      </c>
      <c r="P215" t="s">
        <v>74</v>
      </c>
      <c r="Q215" t="s">
        <v>74</v>
      </c>
      <c r="R215" t="s">
        <v>74</v>
      </c>
      <c r="S215" t="s">
        <v>74</v>
      </c>
      <c r="T215" t="s">
        <v>4203</v>
      </c>
      <c r="U215" t="s">
        <v>74</v>
      </c>
      <c r="V215" t="s">
        <v>4204</v>
      </c>
      <c r="W215" t="s">
        <v>4205</v>
      </c>
      <c r="X215" t="s">
        <v>4206</v>
      </c>
      <c r="Y215" t="s">
        <v>4207</v>
      </c>
      <c r="Z215" t="s">
        <v>4208</v>
      </c>
      <c r="AA215" t="s">
        <v>74</v>
      </c>
      <c r="AB215" t="s">
        <v>74</v>
      </c>
      <c r="AC215" t="s">
        <v>74</v>
      </c>
      <c r="AD215" t="s">
        <v>74</v>
      </c>
      <c r="AE215" t="s">
        <v>74</v>
      </c>
      <c r="AF215" t="s">
        <v>74</v>
      </c>
      <c r="AG215">
        <v>12</v>
      </c>
      <c r="AH215">
        <v>9</v>
      </c>
      <c r="AI215">
        <v>9</v>
      </c>
      <c r="AJ215">
        <v>0</v>
      </c>
      <c r="AK215">
        <v>1</v>
      </c>
      <c r="AL215" t="s">
        <v>4209</v>
      </c>
      <c r="AM215" t="s">
        <v>4210</v>
      </c>
      <c r="AN215" t="s">
        <v>4211</v>
      </c>
      <c r="AO215" t="s">
        <v>4212</v>
      </c>
      <c r="AP215" t="s">
        <v>4213</v>
      </c>
      <c r="AQ215" t="s">
        <v>74</v>
      </c>
      <c r="AR215" t="s">
        <v>4214</v>
      </c>
      <c r="AS215" t="s">
        <v>4215</v>
      </c>
      <c r="AT215" t="s">
        <v>74</v>
      </c>
      <c r="AU215">
        <v>2016</v>
      </c>
      <c r="AV215">
        <v>10</v>
      </c>
      <c r="AW215">
        <v>1</v>
      </c>
      <c r="AX215" t="s">
        <v>74</v>
      </c>
      <c r="AY215" t="s">
        <v>74</v>
      </c>
      <c r="AZ215" t="s">
        <v>74</v>
      </c>
      <c r="BA215" t="s">
        <v>74</v>
      </c>
      <c r="BB215">
        <v>8</v>
      </c>
      <c r="BC215">
        <v>20</v>
      </c>
      <c r="BD215" t="s">
        <v>74</v>
      </c>
      <c r="BE215" t="s">
        <v>4216</v>
      </c>
      <c r="BF215" t="str">
        <f>HYPERLINK("http://dx.doi.org/10.21463/shima.10.1.04","http://dx.doi.org/10.21463/shima.10.1.04")</f>
        <v>http://dx.doi.org/10.21463/shima.10.1.04</v>
      </c>
      <c r="BG215" t="s">
        <v>74</v>
      </c>
      <c r="BH215" t="s">
        <v>74</v>
      </c>
      <c r="BI215">
        <v>13</v>
      </c>
      <c r="BJ215" t="s">
        <v>1207</v>
      </c>
      <c r="BK215" t="s">
        <v>96</v>
      </c>
      <c r="BL215" t="s">
        <v>1207</v>
      </c>
      <c r="BM215" t="s">
        <v>4217</v>
      </c>
      <c r="BN215" t="s">
        <v>74</v>
      </c>
      <c r="BO215" t="s">
        <v>99</v>
      </c>
      <c r="BP215" t="s">
        <v>74</v>
      </c>
      <c r="BQ215" t="s">
        <v>74</v>
      </c>
      <c r="BR215" t="s">
        <v>100</v>
      </c>
      <c r="BS215" t="s">
        <v>4218</v>
      </c>
      <c r="BT215" t="str">
        <f>HYPERLINK("https%3A%2F%2Fwww.webofscience.com%2Fwos%2Fwoscc%2Ffull-record%2FWOS:000379684400002","View Full Record in Web of Science")</f>
        <v>View Full Record in Web of Science</v>
      </c>
    </row>
    <row r="216" spans="1:72" x14ac:dyDescent="0.15">
      <c r="A216" t="s">
        <v>72</v>
      </c>
      <c r="B216" t="s">
        <v>4219</v>
      </c>
      <c r="C216" t="s">
        <v>74</v>
      </c>
      <c r="D216" t="s">
        <v>74</v>
      </c>
      <c r="E216" t="s">
        <v>74</v>
      </c>
      <c r="F216" t="s">
        <v>4220</v>
      </c>
      <c r="G216" t="s">
        <v>74</v>
      </c>
      <c r="H216" t="s">
        <v>74</v>
      </c>
      <c r="I216" t="s">
        <v>4221</v>
      </c>
      <c r="J216" t="s">
        <v>4222</v>
      </c>
      <c r="K216" t="s">
        <v>74</v>
      </c>
      <c r="L216" t="s">
        <v>74</v>
      </c>
      <c r="M216" t="s">
        <v>200</v>
      </c>
      <c r="N216" t="s">
        <v>79</v>
      </c>
      <c r="O216" t="s">
        <v>74</v>
      </c>
      <c r="P216" t="s">
        <v>74</v>
      </c>
      <c r="Q216" t="s">
        <v>74</v>
      </c>
      <c r="R216" t="s">
        <v>74</v>
      </c>
      <c r="S216" t="s">
        <v>74</v>
      </c>
      <c r="T216" t="s">
        <v>4223</v>
      </c>
      <c r="U216" t="s">
        <v>4224</v>
      </c>
      <c r="V216" t="s">
        <v>4225</v>
      </c>
      <c r="W216" t="s">
        <v>4226</v>
      </c>
      <c r="X216" t="s">
        <v>4227</v>
      </c>
      <c r="Y216" t="s">
        <v>4228</v>
      </c>
      <c r="Z216" t="s">
        <v>4229</v>
      </c>
      <c r="AA216" t="s">
        <v>4230</v>
      </c>
      <c r="AB216" t="s">
        <v>4231</v>
      </c>
      <c r="AC216" t="s">
        <v>74</v>
      </c>
      <c r="AD216" t="s">
        <v>74</v>
      </c>
      <c r="AE216" t="s">
        <v>74</v>
      </c>
      <c r="AF216" t="s">
        <v>74</v>
      </c>
      <c r="AG216">
        <v>48</v>
      </c>
      <c r="AH216">
        <v>16</v>
      </c>
      <c r="AI216">
        <v>19</v>
      </c>
      <c r="AJ216">
        <v>2</v>
      </c>
      <c r="AK216">
        <v>42</v>
      </c>
      <c r="AL216" t="s">
        <v>2899</v>
      </c>
      <c r="AM216" t="s">
        <v>503</v>
      </c>
      <c r="AN216" t="s">
        <v>2900</v>
      </c>
      <c r="AO216" t="s">
        <v>4232</v>
      </c>
      <c r="AP216" t="s">
        <v>4233</v>
      </c>
      <c r="AQ216" t="s">
        <v>74</v>
      </c>
      <c r="AR216" t="s">
        <v>4234</v>
      </c>
      <c r="AS216" t="s">
        <v>4235</v>
      </c>
      <c r="AT216" t="s">
        <v>74</v>
      </c>
      <c r="AU216">
        <v>2016</v>
      </c>
      <c r="AV216">
        <v>70</v>
      </c>
      <c r="AW216">
        <v>3</v>
      </c>
      <c r="AX216" t="s">
        <v>74</v>
      </c>
      <c r="AY216" t="s">
        <v>74</v>
      </c>
      <c r="AZ216" t="s">
        <v>74</v>
      </c>
      <c r="BA216" t="s">
        <v>74</v>
      </c>
      <c r="BB216">
        <v>256</v>
      </c>
      <c r="BC216">
        <v>274</v>
      </c>
      <c r="BD216" t="s">
        <v>74</v>
      </c>
      <c r="BE216" t="s">
        <v>4236</v>
      </c>
      <c r="BF216" t="str">
        <f>HYPERLINK("http://dx.doi.org/10.1080/10357718.2015.1135871","http://dx.doi.org/10.1080/10357718.2015.1135871")</f>
        <v>http://dx.doi.org/10.1080/10357718.2015.1135871</v>
      </c>
      <c r="BG216" t="s">
        <v>74</v>
      </c>
      <c r="BH216" t="s">
        <v>74</v>
      </c>
      <c r="BI216">
        <v>19</v>
      </c>
      <c r="BJ216" t="s">
        <v>4237</v>
      </c>
      <c r="BK216" t="s">
        <v>1208</v>
      </c>
      <c r="BL216" t="s">
        <v>4237</v>
      </c>
      <c r="BM216" t="s">
        <v>4238</v>
      </c>
      <c r="BN216" t="s">
        <v>74</v>
      </c>
      <c r="BO216" t="s">
        <v>74</v>
      </c>
      <c r="BP216" t="s">
        <v>74</v>
      </c>
      <c r="BQ216" t="s">
        <v>74</v>
      </c>
      <c r="BR216" t="s">
        <v>100</v>
      </c>
      <c r="BS216" t="s">
        <v>4239</v>
      </c>
      <c r="BT216" t="str">
        <f>HYPERLINK("https%3A%2F%2Fwww.webofscience.com%2Fwos%2Fwoscc%2Ffull-record%2FWOS:000378813700003","View Full Record in Web of Science")</f>
        <v>View Full Record in Web of Science</v>
      </c>
    </row>
    <row r="217" spans="1:72" x14ac:dyDescent="0.15">
      <c r="A217" t="s">
        <v>72</v>
      </c>
      <c r="B217" t="s">
        <v>4240</v>
      </c>
      <c r="C217" t="s">
        <v>74</v>
      </c>
      <c r="D217" t="s">
        <v>74</v>
      </c>
      <c r="E217" t="s">
        <v>74</v>
      </c>
      <c r="F217" t="s">
        <v>4241</v>
      </c>
      <c r="G217" t="s">
        <v>74</v>
      </c>
      <c r="H217" t="s">
        <v>74</v>
      </c>
      <c r="I217" t="s">
        <v>4242</v>
      </c>
      <c r="J217" t="s">
        <v>4243</v>
      </c>
      <c r="K217" t="s">
        <v>74</v>
      </c>
      <c r="L217" t="s">
        <v>74</v>
      </c>
      <c r="M217" t="s">
        <v>200</v>
      </c>
      <c r="N217" t="s">
        <v>79</v>
      </c>
      <c r="O217" t="s">
        <v>74</v>
      </c>
      <c r="P217" t="s">
        <v>74</v>
      </c>
      <c r="Q217" t="s">
        <v>74</v>
      </c>
      <c r="R217" t="s">
        <v>74</v>
      </c>
      <c r="S217" t="s">
        <v>74</v>
      </c>
      <c r="T217" t="s">
        <v>74</v>
      </c>
      <c r="U217" t="s">
        <v>74</v>
      </c>
      <c r="V217" t="s">
        <v>4244</v>
      </c>
      <c r="W217" t="s">
        <v>4245</v>
      </c>
      <c r="X217" t="s">
        <v>4246</v>
      </c>
      <c r="Y217" t="s">
        <v>4247</v>
      </c>
      <c r="Z217" t="s">
        <v>74</v>
      </c>
      <c r="AA217" t="s">
        <v>74</v>
      </c>
      <c r="AB217" t="s">
        <v>74</v>
      </c>
      <c r="AC217" t="s">
        <v>74</v>
      </c>
      <c r="AD217" t="s">
        <v>74</v>
      </c>
      <c r="AE217" t="s">
        <v>74</v>
      </c>
      <c r="AF217" t="s">
        <v>74</v>
      </c>
      <c r="AG217">
        <v>90</v>
      </c>
      <c r="AH217">
        <v>3</v>
      </c>
      <c r="AI217">
        <v>3</v>
      </c>
      <c r="AJ217">
        <v>0</v>
      </c>
      <c r="AK217">
        <v>7</v>
      </c>
      <c r="AL217" t="s">
        <v>4248</v>
      </c>
      <c r="AM217" t="s">
        <v>4249</v>
      </c>
      <c r="AN217" t="s">
        <v>4250</v>
      </c>
      <c r="AO217" t="s">
        <v>4251</v>
      </c>
      <c r="AP217" t="s">
        <v>74</v>
      </c>
      <c r="AQ217" t="s">
        <v>74</v>
      </c>
      <c r="AR217" t="s">
        <v>4252</v>
      </c>
      <c r="AS217" t="s">
        <v>4253</v>
      </c>
      <c r="AT217" t="s">
        <v>315</v>
      </c>
      <c r="AU217">
        <v>2016</v>
      </c>
      <c r="AV217">
        <v>33</v>
      </c>
      <c r="AW217">
        <v>1</v>
      </c>
      <c r="AX217" t="s">
        <v>74</v>
      </c>
      <c r="AY217" t="s">
        <v>74</v>
      </c>
      <c r="AZ217" t="s">
        <v>74</v>
      </c>
      <c r="BA217" t="s">
        <v>74</v>
      </c>
      <c r="BB217">
        <v>47</v>
      </c>
      <c r="BC217">
        <v>67</v>
      </c>
      <c r="BD217" t="s">
        <v>74</v>
      </c>
      <c r="BE217" t="s">
        <v>74</v>
      </c>
      <c r="BF217" t="s">
        <v>74</v>
      </c>
      <c r="BG217" t="s">
        <v>74</v>
      </c>
      <c r="BH217" t="s">
        <v>74</v>
      </c>
      <c r="BI217">
        <v>21</v>
      </c>
      <c r="BJ217" t="s">
        <v>334</v>
      </c>
      <c r="BK217" t="s">
        <v>96</v>
      </c>
      <c r="BL217" t="s">
        <v>335</v>
      </c>
      <c r="BM217" t="s">
        <v>4254</v>
      </c>
      <c r="BN217" t="s">
        <v>74</v>
      </c>
      <c r="BO217" t="s">
        <v>74</v>
      </c>
      <c r="BP217" t="s">
        <v>74</v>
      </c>
      <c r="BQ217" t="s">
        <v>74</v>
      </c>
      <c r="BR217" t="s">
        <v>100</v>
      </c>
      <c r="BS217" t="s">
        <v>4255</v>
      </c>
      <c r="BT217" t="str">
        <f>HYPERLINK("https%3A%2F%2Fwww.webofscience.com%2Fwos%2Fwoscc%2Ffull-record%2FWOS:000378526700004","View Full Record in Web of Science")</f>
        <v>View Full Record in Web of Science</v>
      </c>
    </row>
    <row r="218" spans="1:72" x14ac:dyDescent="0.15">
      <c r="A218" t="s">
        <v>72</v>
      </c>
      <c r="B218" t="s">
        <v>4256</v>
      </c>
      <c r="C218" t="s">
        <v>74</v>
      </c>
      <c r="D218" t="s">
        <v>74</v>
      </c>
      <c r="E218" t="s">
        <v>74</v>
      </c>
      <c r="F218" t="s">
        <v>4257</v>
      </c>
      <c r="G218" t="s">
        <v>74</v>
      </c>
      <c r="H218" t="s">
        <v>74</v>
      </c>
      <c r="I218" t="s">
        <v>4258</v>
      </c>
      <c r="J218" t="s">
        <v>4259</v>
      </c>
      <c r="K218" t="s">
        <v>74</v>
      </c>
      <c r="L218" t="s">
        <v>74</v>
      </c>
      <c r="M218" t="s">
        <v>200</v>
      </c>
      <c r="N218" t="s">
        <v>79</v>
      </c>
      <c r="O218" t="s">
        <v>74</v>
      </c>
      <c r="P218" t="s">
        <v>74</v>
      </c>
      <c r="Q218" t="s">
        <v>74</v>
      </c>
      <c r="R218" t="s">
        <v>74</v>
      </c>
      <c r="S218" t="s">
        <v>74</v>
      </c>
      <c r="T218" t="s">
        <v>4260</v>
      </c>
      <c r="U218" t="s">
        <v>4261</v>
      </c>
      <c r="V218" t="s">
        <v>4262</v>
      </c>
      <c r="W218" t="s">
        <v>4263</v>
      </c>
      <c r="X218" t="s">
        <v>4264</v>
      </c>
      <c r="Y218" t="s">
        <v>4265</v>
      </c>
      <c r="Z218" t="s">
        <v>4266</v>
      </c>
      <c r="AA218" t="s">
        <v>74</v>
      </c>
      <c r="AB218" t="s">
        <v>74</v>
      </c>
      <c r="AC218" t="s">
        <v>4267</v>
      </c>
      <c r="AD218" t="s">
        <v>4268</v>
      </c>
      <c r="AE218" t="s">
        <v>4269</v>
      </c>
      <c r="AF218" t="s">
        <v>74</v>
      </c>
      <c r="AG218">
        <v>49</v>
      </c>
      <c r="AH218">
        <v>9</v>
      </c>
      <c r="AI218">
        <v>14</v>
      </c>
      <c r="AJ218">
        <v>7</v>
      </c>
      <c r="AK218">
        <v>52</v>
      </c>
      <c r="AL218" t="s">
        <v>2263</v>
      </c>
      <c r="AM218" t="s">
        <v>2264</v>
      </c>
      <c r="AN218" t="s">
        <v>2265</v>
      </c>
      <c r="AO218" t="s">
        <v>4270</v>
      </c>
      <c r="AP218" t="s">
        <v>4271</v>
      </c>
      <c r="AQ218" t="s">
        <v>74</v>
      </c>
      <c r="AR218" t="s">
        <v>4272</v>
      </c>
      <c r="AS218" t="s">
        <v>4273</v>
      </c>
      <c r="AT218" t="s">
        <v>74</v>
      </c>
      <c r="AU218">
        <v>2016</v>
      </c>
      <c r="AV218">
        <v>25</v>
      </c>
      <c r="AW218">
        <v>3</v>
      </c>
      <c r="AX218" t="s">
        <v>74</v>
      </c>
      <c r="AY218" t="s">
        <v>74</v>
      </c>
      <c r="AZ218" t="s">
        <v>74</v>
      </c>
      <c r="BA218" t="s">
        <v>74</v>
      </c>
      <c r="BB218">
        <v>434</v>
      </c>
      <c r="BC218">
        <v>443</v>
      </c>
      <c r="BD218" t="s">
        <v>74</v>
      </c>
      <c r="BE218" t="s">
        <v>4274</v>
      </c>
      <c r="BF218" t="str">
        <f>HYPERLINK("http://dx.doi.org/10.1080/10498850.2013.809621","http://dx.doi.org/10.1080/10498850.2013.809621")</f>
        <v>http://dx.doi.org/10.1080/10498850.2013.809621</v>
      </c>
      <c r="BG218" t="s">
        <v>74</v>
      </c>
      <c r="BH218" t="s">
        <v>74</v>
      </c>
      <c r="BI218">
        <v>10</v>
      </c>
      <c r="BJ218" t="s">
        <v>4275</v>
      </c>
      <c r="BK218" t="s">
        <v>264</v>
      </c>
      <c r="BL218" t="s">
        <v>4275</v>
      </c>
      <c r="BM218" t="s">
        <v>4276</v>
      </c>
      <c r="BN218" t="s">
        <v>74</v>
      </c>
      <c r="BO218" t="s">
        <v>74</v>
      </c>
      <c r="BP218" t="s">
        <v>74</v>
      </c>
      <c r="BQ218" t="s">
        <v>74</v>
      </c>
      <c r="BR218" t="s">
        <v>100</v>
      </c>
      <c r="BS218" t="s">
        <v>4277</v>
      </c>
      <c r="BT218" t="str">
        <f>HYPERLINK("https%3A%2F%2Fwww.webofscience.com%2Fwos%2Fwoscc%2Ffull-record%2FWOS:000378703000015","View Full Record in Web of Science")</f>
        <v>View Full Record in Web of Science</v>
      </c>
    </row>
    <row r="219" spans="1:72" x14ac:dyDescent="0.15">
      <c r="A219" t="s">
        <v>72</v>
      </c>
      <c r="B219" t="s">
        <v>4278</v>
      </c>
      <c r="C219" t="s">
        <v>74</v>
      </c>
      <c r="D219" t="s">
        <v>74</v>
      </c>
      <c r="E219" t="s">
        <v>74</v>
      </c>
      <c r="F219" t="s">
        <v>4279</v>
      </c>
      <c r="G219" t="s">
        <v>74</v>
      </c>
      <c r="H219" t="s">
        <v>74</v>
      </c>
      <c r="I219" t="s">
        <v>4280</v>
      </c>
      <c r="J219" t="s">
        <v>2226</v>
      </c>
      <c r="K219" t="s">
        <v>74</v>
      </c>
      <c r="L219" t="s">
        <v>74</v>
      </c>
      <c r="M219" t="s">
        <v>200</v>
      </c>
      <c r="N219" t="s">
        <v>79</v>
      </c>
      <c r="O219" t="s">
        <v>74</v>
      </c>
      <c r="P219" t="s">
        <v>74</v>
      </c>
      <c r="Q219" t="s">
        <v>74</v>
      </c>
      <c r="R219" t="s">
        <v>74</v>
      </c>
      <c r="S219" t="s">
        <v>74</v>
      </c>
      <c r="T219" t="s">
        <v>4281</v>
      </c>
      <c r="U219" t="s">
        <v>4282</v>
      </c>
      <c r="V219" t="s">
        <v>4283</v>
      </c>
      <c r="W219" t="s">
        <v>4284</v>
      </c>
      <c r="X219" t="s">
        <v>4285</v>
      </c>
      <c r="Y219" t="s">
        <v>4286</v>
      </c>
      <c r="Z219" t="s">
        <v>4287</v>
      </c>
      <c r="AA219" t="s">
        <v>74</v>
      </c>
      <c r="AB219" t="s">
        <v>4288</v>
      </c>
      <c r="AC219" t="s">
        <v>4289</v>
      </c>
      <c r="AD219" t="s">
        <v>4290</v>
      </c>
      <c r="AE219" t="s">
        <v>4291</v>
      </c>
      <c r="AF219" t="s">
        <v>74</v>
      </c>
      <c r="AG219">
        <v>88</v>
      </c>
      <c r="AH219">
        <v>21</v>
      </c>
      <c r="AI219">
        <v>25</v>
      </c>
      <c r="AJ219">
        <v>1</v>
      </c>
      <c r="AK219">
        <v>25</v>
      </c>
      <c r="AL219" t="s">
        <v>2239</v>
      </c>
      <c r="AM219" t="s">
        <v>2240</v>
      </c>
      <c r="AN219" t="s">
        <v>2241</v>
      </c>
      <c r="AO219" t="s">
        <v>2242</v>
      </c>
      <c r="AP219" t="s">
        <v>2243</v>
      </c>
      <c r="AQ219" t="s">
        <v>74</v>
      </c>
      <c r="AR219" t="s">
        <v>2244</v>
      </c>
      <c r="AS219" t="s">
        <v>2245</v>
      </c>
      <c r="AT219" t="s">
        <v>74</v>
      </c>
      <c r="AU219">
        <v>2016</v>
      </c>
      <c r="AV219">
        <v>62</v>
      </c>
      <c r="AW219">
        <v>232</v>
      </c>
      <c r="AX219" t="s">
        <v>74</v>
      </c>
      <c r="AY219" t="s">
        <v>74</v>
      </c>
      <c r="AZ219" t="s">
        <v>74</v>
      </c>
      <c r="BA219" t="s">
        <v>74</v>
      </c>
      <c r="BB219">
        <v>215</v>
      </c>
      <c r="BC219">
        <v>229</v>
      </c>
      <c r="BD219" t="s">
        <v>74</v>
      </c>
      <c r="BE219" t="s">
        <v>4292</v>
      </c>
      <c r="BF219" t="str">
        <f>HYPERLINK("http://dx.doi.org/10.1017/jog.2015.2","http://dx.doi.org/10.1017/jog.2015.2")</f>
        <v>http://dx.doi.org/10.1017/jog.2015.2</v>
      </c>
      <c r="BG219" t="s">
        <v>74</v>
      </c>
      <c r="BH219" t="s">
        <v>74</v>
      </c>
      <c r="BI219">
        <v>15</v>
      </c>
      <c r="BJ219" t="s">
        <v>2247</v>
      </c>
      <c r="BK219" t="s">
        <v>264</v>
      </c>
      <c r="BL219" t="s">
        <v>2248</v>
      </c>
      <c r="BM219" t="s">
        <v>4293</v>
      </c>
      <c r="BN219" t="s">
        <v>74</v>
      </c>
      <c r="BO219" t="s">
        <v>4294</v>
      </c>
      <c r="BP219" t="s">
        <v>74</v>
      </c>
      <c r="BQ219" t="s">
        <v>74</v>
      </c>
      <c r="BR219" t="s">
        <v>100</v>
      </c>
      <c r="BS219" t="s">
        <v>4295</v>
      </c>
      <c r="BT219" t="str">
        <f>HYPERLINK("https%3A%2F%2Fwww.webofscience.com%2Fwos%2Fwoscc%2Ffull-record%2FWOS:000378825100001","View Full Record in Web of Science")</f>
        <v>View Full Record in Web of Science</v>
      </c>
    </row>
    <row r="220" spans="1:72" x14ac:dyDescent="0.15">
      <c r="A220" t="s">
        <v>72</v>
      </c>
      <c r="B220" t="s">
        <v>4296</v>
      </c>
      <c r="C220" t="s">
        <v>74</v>
      </c>
      <c r="D220" t="s">
        <v>74</v>
      </c>
      <c r="E220" t="s">
        <v>74</v>
      </c>
      <c r="F220" t="s">
        <v>4297</v>
      </c>
      <c r="G220" t="s">
        <v>74</v>
      </c>
      <c r="H220" t="s">
        <v>74</v>
      </c>
      <c r="I220" t="s">
        <v>4298</v>
      </c>
      <c r="J220" t="s">
        <v>2226</v>
      </c>
      <c r="K220" t="s">
        <v>74</v>
      </c>
      <c r="L220" t="s">
        <v>74</v>
      </c>
      <c r="M220" t="s">
        <v>200</v>
      </c>
      <c r="N220" t="s">
        <v>79</v>
      </c>
      <c r="O220" t="s">
        <v>74</v>
      </c>
      <c r="P220" t="s">
        <v>74</v>
      </c>
      <c r="Q220" t="s">
        <v>74</v>
      </c>
      <c r="R220" t="s">
        <v>74</v>
      </c>
      <c r="S220" t="s">
        <v>74</v>
      </c>
      <c r="T220" t="s">
        <v>4299</v>
      </c>
      <c r="U220" t="s">
        <v>4300</v>
      </c>
      <c r="V220" t="s">
        <v>4301</v>
      </c>
      <c r="W220" t="s">
        <v>4302</v>
      </c>
      <c r="X220" t="s">
        <v>4303</v>
      </c>
      <c r="Y220" t="s">
        <v>4304</v>
      </c>
      <c r="Z220" t="s">
        <v>4305</v>
      </c>
      <c r="AA220" t="s">
        <v>4306</v>
      </c>
      <c r="AB220" t="s">
        <v>4307</v>
      </c>
      <c r="AC220" t="s">
        <v>4308</v>
      </c>
      <c r="AD220" t="s">
        <v>4309</v>
      </c>
      <c r="AE220" t="s">
        <v>4310</v>
      </c>
      <c r="AF220" t="s">
        <v>74</v>
      </c>
      <c r="AG220">
        <v>48</v>
      </c>
      <c r="AH220">
        <v>44</v>
      </c>
      <c r="AI220">
        <v>46</v>
      </c>
      <c r="AJ220">
        <v>0</v>
      </c>
      <c r="AK220">
        <v>19</v>
      </c>
      <c r="AL220" t="s">
        <v>2239</v>
      </c>
      <c r="AM220" t="s">
        <v>2240</v>
      </c>
      <c r="AN220" t="s">
        <v>2241</v>
      </c>
      <c r="AO220" t="s">
        <v>2242</v>
      </c>
      <c r="AP220" t="s">
        <v>2243</v>
      </c>
      <c r="AQ220" t="s">
        <v>74</v>
      </c>
      <c r="AR220" t="s">
        <v>2244</v>
      </c>
      <c r="AS220" t="s">
        <v>2245</v>
      </c>
      <c r="AT220" t="s">
        <v>74</v>
      </c>
      <c r="AU220">
        <v>2016</v>
      </c>
      <c r="AV220">
        <v>62</v>
      </c>
      <c r="AW220">
        <v>232</v>
      </c>
      <c r="AX220" t="s">
        <v>74</v>
      </c>
      <c r="AY220" t="s">
        <v>74</v>
      </c>
      <c r="AZ220" t="s">
        <v>74</v>
      </c>
      <c r="BA220" t="s">
        <v>74</v>
      </c>
      <c r="BB220">
        <v>391</v>
      </c>
      <c r="BC220">
        <v>401</v>
      </c>
      <c r="BD220" t="s">
        <v>74</v>
      </c>
      <c r="BE220" t="s">
        <v>4311</v>
      </c>
      <c r="BF220" t="str">
        <f>HYPERLINK("http://dx.doi.org/10.1017/jog.2016.43","http://dx.doi.org/10.1017/jog.2016.43")</f>
        <v>http://dx.doi.org/10.1017/jog.2016.43</v>
      </c>
      <c r="BG220" t="s">
        <v>74</v>
      </c>
      <c r="BH220" t="s">
        <v>74</v>
      </c>
      <c r="BI220">
        <v>11</v>
      </c>
      <c r="BJ220" t="s">
        <v>2247</v>
      </c>
      <c r="BK220" t="s">
        <v>264</v>
      </c>
      <c r="BL220" t="s">
        <v>2248</v>
      </c>
      <c r="BM220" t="s">
        <v>4293</v>
      </c>
      <c r="BN220" t="s">
        <v>74</v>
      </c>
      <c r="BO220" t="s">
        <v>99</v>
      </c>
      <c r="BP220" t="s">
        <v>74</v>
      </c>
      <c r="BQ220" t="s">
        <v>74</v>
      </c>
      <c r="BR220" t="s">
        <v>100</v>
      </c>
      <c r="BS220" t="s">
        <v>4312</v>
      </c>
      <c r="BT220" t="str">
        <f>HYPERLINK("https%3A%2F%2Fwww.webofscience.com%2Fwos%2Fwoscc%2Ffull-record%2FWOS:000378825100014","View Full Record in Web of Science")</f>
        <v>View Full Record in Web of Science</v>
      </c>
    </row>
    <row r="221" spans="1:72" x14ac:dyDescent="0.15">
      <c r="A221" t="s">
        <v>72</v>
      </c>
      <c r="B221" t="s">
        <v>4313</v>
      </c>
      <c r="C221" t="s">
        <v>74</v>
      </c>
      <c r="D221" t="s">
        <v>74</v>
      </c>
      <c r="E221" t="s">
        <v>74</v>
      </c>
      <c r="F221" t="s">
        <v>4314</v>
      </c>
      <c r="G221" t="s">
        <v>74</v>
      </c>
      <c r="H221" t="s">
        <v>74</v>
      </c>
      <c r="I221" t="s">
        <v>4315</v>
      </c>
      <c r="J221" t="s">
        <v>4316</v>
      </c>
      <c r="K221" t="s">
        <v>74</v>
      </c>
      <c r="L221" t="s">
        <v>74</v>
      </c>
      <c r="M221" t="s">
        <v>200</v>
      </c>
      <c r="N221" t="s">
        <v>79</v>
      </c>
      <c r="O221" t="s">
        <v>74</v>
      </c>
      <c r="P221" t="s">
        <v>74</v>
      </c>
      <c r="Q221" t="s">
        <v>74</v>
      </c>
      <c r="R221" t="s">
        <v>74</v>
      </c>
      <c r="S221" t="s">
        <v>74</v>
      </c>
      <c r="T221" t="s">
        <v>74</v>
      </c>
      <c r="U221" t="s">
        <v>4317</v>
      </c>
      <c r="V221" t="s">
        <v>4318</v>
      </c>
      <c r="W221" t="s">
        <v>4319</v>
      </c>
      <c r="X221" t="s">
        <v>2183</v>
      </c>
      <c r="Y221" t="s">
        <v>4320</v>
      </c>
      <c r="Z221" t="s">
        <v>4321</v>
      </c>
      <c r="AA221" t="s">
        <v>74</v>
      </c>
      <c r="AB221" t="s">
        <v>4322</v>
      </c>
      <c r="AC221" t="s">
        <v>74</v>
      </c>
      <c r="AD221" t="s">
        <v>74</v>
      </c>
      <c r="AE221" t="s">
        <v>74</v>
      </c>
      <c r="AF221" t="s">
        <v>74</v>
      </c>
      <c r="AG221">
        <v>52</v>
      </c>
      <c r="AH221">
        <v>18</v>
      </c>
      <c r="AI221">
        <v>19</v>
      </c>
      <c r="AJ221">
        <v>1</v>
      </c>
      <c r="AK221">
        <v>12</v>
      </c>
      <c r="AL221" t="s">
        <v>358</v>
      </c>
      <c r="AM221" t="s">
        <v>359</v>
      </c>
      <c r="AN221" t="s">
        <v>3238</v>
      </c>
      <c r="AO221" t="s">
        <v>4323</v>
      </c>
      <c r="AP221" t="s">
        <v>4324</v>
      </c>
      <c r="AQ221" t="s">
        <v>74</v>
      </c>
      <c r="AR221" t="s">
        <v>4325</v>
      </c>
      <c r="AS221" t="s">
        <v>4326</v>
      </c>
      <c r="AT221" t="s">
        <v>74</v>
      </c>
      <c r="AU221">
        <v>2016</v>
      </c>
      <c r="AV221">
        <v>8</v>
      </c>
      <c r="AW221">
        <v>1</v>
      </c>
      <c r="AX221" t="s">
        <v>74</v>
      </c>
      <c r="AY221" t="s">
        <v>74</v>
      </c>
      <c r="AZ221" t="s">
        <v>74</v>
      </c>
      <c r="BA221" t="s">
        <v>74</v>
      </c>
      <c r="BB221">
        <v>15</v>
      </c>
      <c r="BC221">
        <v>40</v>
      </c>
      <c r="BD221" t="s">
        <v>74</v>
      </c>
      <c r="BE221" t="s">
        <v>4327</v>
      </c>
      <c r="BF221" t="str">
        <f>HYPERLINK("http://dx.doi.org/10.5194/essd-8-15-2016","http://dx.doi.org/10.5194/essd-8-15-2016")</f>
        <v>http://dx.doi.org/10.5194/essd-8-15-2016</v>
      </c>
      <c r="BG221" t="s">
        <v>74</v>
      </c>
      <c r="BH221" t="s">
        <v>74</v>
      </c>
      <c r="BI221">
        <v>26</v>
      </c>
      <c r="BJ221" t="s">
        <v>4328</v>
      </c>
      <c r="BK221" t="s">
        <v>264</v>
      </c>
      <c r="BL221" t="s">
        <v>4329</v>
      </c>
      <c r="BM221" t="s">
        <v>4330</v>
      </c>
      <c r="BN221" t="s">
        <v>74</v>
      </c>
      <c r="BO221" t="s">
        <v>369</v>
      </c>
      <c r="BP221" t="s">
        <v>74</v>
      </c>
      <c r="BQ221" t="s">
        <v>74</v>
      </c>
      <c r="BR221" t="s">
        <v>100</v>
      </c>
      <c r="BS221" t="s">
        <v>4331</v>
      </c>
      <c r="BT221" t="str">
        <f>HYPERLINK("https%3A%2F%2Fwww.webofscience.com%2Fwos%2Fwoscc%2Ffull-record%2FWOS:000378206900002","View Full Record in Web of Science")</f>
        <v>View Full Record in Web of Science</v>
      </c>
    </row>
    <row r="222" spans="1:72" x14ac:dyDescent="0.15">
      <c r="A222" t="s">
        <v>72</v>
      </c>
      <c r="B222" t="s">
        <v>4332</v>
      </c>
      <c r="C222" t="s">
        <v>74</v>
      </c>
      <c r="D222" t="s">
        <v>74</v>
      </c>
      <c r="E222" t="s">
        <v>74</v>
      </c>
      <c r="F222" t="s">
        <v>4333</v>
      </c>
      <c r="G222" t="s">
        <v>74</v>
      </c>
      <c r="H222" t="s">
        <v>74</v>
      </c>
      <c r="I222" t="s">
        <v>4334</v>
      </c>
      <c r="J222" t="s">
        <v>4316</v>
      </c>
      <c r="K222" t="s">
        <v>74</v>
      </c>
      <c r="L222" t="s">
        <v>74</v>
      </c>
      <c r="M222" t="s">
        <v>200</v>
      </c>
      <c r="N222" t="s">
        <v>79</v>
      </c>
      <c r="O222" t="s">
        <v>74</v>
      </c>
      <c r="P222" t="s">
        <v>74</v>
      </c>
      <c r="Q222" t="s">
        <v>74</v>
      </c>
      <c r="R222" t="s">
        <v>74</v>
      </c>
      <c r="S222" t="s">
        <v>74</v>
      </c>
      <c r="T222" t="s">
        <v>74</v>
      </c>
      <c r="U222" t="s">
        <v>4335</v>
      </c>
      <c r="V222" t="s">
        <v>4336</v>
      </c>
      <c r="W222" t="s">
        <v>4337</v>
      </c>
      <c r="X222" t="s">
        <v>4017</v>
      </c>
      <c r="Y222" t="s">
        <v>4338</v>
      </c>
      <c r="Z222" t="s">
        <v>4339</v>
      </c>
      <c r="AA222" t="s">
        <v>4340</v>
      </c>
      <c r="AB222" t="s">
        <v>4341</v>
      </c>
      <c r="AC222" t="s">
        <v>4342</v>
      </c>
      <c r="AD222" t="s">
        <v>4343</v>
      </c>
      <c r="AE222" t="s">
        <v>4344</v>
      </c>
      <c r="AF222" t="s">
        <v>74</v>
      </c>
      <c r="AG222">
        <v>40</v>
      </c>
      <c r="AH222">
        <v>33</v>
      </c>
      <c r="AI222">
        <v>40</v>
      </c>
      <c r="AJ222">
        <v>1</v>
      </c>
      <c r="AK222">
        <v>17</v>
      </c>
      <c r="AL222" t="s">
        <v>358</v>
      </c>
      <c r="AM222" t="s">
        <v>359</v>
      </c>
      <c r="AN222" t="s">
        <v>3238</v>
      </c>
      <c r="AO222" t="s">
        <v>4323</v>
      </c>
      <c r="AP222" t="s">
        <v>4324</v>
      </c>
      <c r="AQ222" t="s">
        <v>74</v>
      </c>
      <c r="AR222" t="s">
        <v>4325</v>
      </c>
      <c r="AS222" t="s">
        <v>4326</v>
      </c>
      <c r="AT222" t="s">
        <v>74</v>
      </c>
      <c r="AU222">
        <v>2016</v>
      </c>
      <c r="AV222">
        <v>8</v>
      </c>
      <c r="AW222">
        <v>1</v>
      </c>
      <c r="AX222" t="s">
        <v>74</v>
      </c>
      <c r="AY222" t="s">
        <v>74</v>
      </c>
      <c r="AZ222" t="s">
        <v>74</v>
      </c>
      <c r="BA222" t="s">
        <v>74</v>
      </c>
      <c r="BB222">
        <v>191</v>
      </c>
      <c r="BC222">
        <v>198</v>
      </c>
      <c r="BD222" t="s">
        <v>74</v>
      </c>
      <c r="BE222" t="s">
        <v>4345</v>
      </c>
      <c r="BF222" t="str">
        <f>HYPERLINK("http://dx.doi.org/10.5194/essd-8-191-2016","http://dx.doi.org/10.5194/essd-8-191-2016")</f>
        <v>http://dx.doi.org/10.5194/essd-8-191-2016</v>
      </c>
      <c r="BG222" t="s">
        <v>74</v>
      </c>
      <c r="BH222" t="s">
        <v>74</v>
      </c>
      <c r="BI222">
        <v>8</v>
      </c>
      <c r="BJ222" t="s">
        <v>4328</v>
      </c>
      <c r="BK222" t="s">
        <v>264</v>
      </c>
      <c r="BL222" t="s">
        <v>4329</v>
      </c>
      <c r="BM222" t="s">
        <v>4330</v>
      </c>
      <c r="BN222" t="s">
        <v>74</v>
      </c>
      <c r="BO222" t="s">
        <v>2134</v>
      </c>
      <c r="BP222" t="s">
        <v>74</v>
      </c>
      <c r="BQ222" t="s">
        <v>74</v>
      </c>
      <c r="BR222" t="s">
        <v>100</v>
      </c>
      <c r="BS222" t="s">
        <v>4346</v>
      </c>
      <c r="BT222" t="str">
        <f>HYPERLINK("https%3A%2F%2Fwww.webofscience.com%2Fwos%2Fwoscc%2Ffull-record%2FWOS:000378206900015","View Full Record in Web of Science")</f>
        <v>View Full Record in Web of Science</v>
      </c>
    </row>
    <row r="223" spans="1:72" x14ac:dyDescent="0.15">
      <c r="A223" t="s">
        <v>72</v>
      </c>
      <c r="B223" t="s">
        <v>4347</v>
      </c>
      <c r="C223" t="s">
        <v>74</v>
      </c>
      <c r="D223" t="s">
        <v>74</v>
      </c>
      <c r="E223" t="s">
        <v>74</v>
      </c>
      <c r="F223" t="s">
        <v>4348</v>
      </c>
      <c r="G223" t="s">
        <v>74</v>
      </c>
      <c r="H223" t="s">
        <v>74</v>
      </c>
      <c r="I223" t="s">
        <v>4349</v>
      </c>
      <c r="J223" t="s">
        <v>4316</v>
      </c>
      <c r="K223" t="s">
        <v>74</v>
      </c>
      <c r="L223" t="s">
        <v>74</v>
      </c>
      <c r="M223" t="s">
        <v>200</v>
      </c>
      <c r="N223" t="s">
        <v>717</v>
      </c>
      <c r="O223" t="s">
        <v>74</v>
      </c>
      <c r="P223" t="s">
        <v>74</v>
      </c>
      <c r="Q223" t="s">
        <v>74</v>
      </c>
      <c r="R223" t="s">
        <v>74</v>
      </c>
      <c r="S223" t="s">
        <v>74</v>
      </c>
      <c r="T223" t="s">
        <v>74</v>
      </c>
      <c r="U223" t="s">
        <v>4350</v>
      </c>
      <c r="V223" t="s">
        <v>4351</v>
      </c>
      <c r="W223" t="s">
        <v>4352</v>
      </c>
      <c r="X223" t="s">
        <v>2183</v>
      </c>
      <c r="Y223" t="s">
        <v>4353</v>
      </c>
      <c r="Z223" t="s">
        <v>4354</v>
      </c>
      <c r="AA223" t="s">
        <v>74</v>
      </c>
      <c r="AB223" t="s">
        <v>4355</v>
      </c>
      <c r="AC223" t="s">
        <v>74</v>
      </c>
      <c r="AD223" t="s">
        <v>74</v>
      </c>
      <c r="AE223" t="s">
        <v>74</v>
      </c>
      <c r="AF223" t="s">
        <v>74</v>
      </c>
      <c r="AG223">
        <v>19</v>
      </c>
      <c r="AH223">
        <v>5</v>
      </c>
      <c r="AI223">
        <v>6</v>
      </c>
      <c r="AJ223">
        <v>2</v>
      </c>
      <c r="AK223">
        <v>8</v>
      </c>
      <c r="AL223" t="s">
        <v>358</v>
      </c>
      <c r="AM223" t="s">
        <v>359</v>
      </c>
      <c r="AN223" t="s">
        <v>3238</v>
      </c>
      <c r="AO223" t="s">
        <v>4323</v>
      </c>
      <c r="AP223" t="s">
        <v>4324</v>
      </c>
      <c r="AQ223" t="s">
        <v>74</v>
      </c>
      <c r="AR223" t="s">
        <v>4325</v>
      </c>
      <c r="AS223" t="s">
        <v>4326</v>
      </c>
      <c r="AT223" t="s">
        <v>74</v>
      </c>
      <c r="AU223">
        <v>2016</v>
      </c>
      <c r="AV223">
        <v>8</v>
      </c>
      <c r="AW223">
        <v>1</v>
      </c>
      <c r="AX223" t="s">
        <v>74</v>
      </c>
      <c r="AY223" t="s">
        <v>74</v>
      </c>
      <c r="AZ223" t="s">
        <v>74</v>
      </c>
      <c r="BA223" t="s">
        <v>74</v>
      </c>
      <c r="BB223">
        <v>213</v>
      </c>
      <c r="BC223">
        <v>220</v>
      </c>
      <c r="BD223" t="s">
        <v>74</v>
      </c>
      <c r="BE223" t="s">
        <v>4356</v>
      </c>
      <c r="BF223" t="str">
        <f>HYPERLINK("http://dx.doi.org/10.5194/essd-8-213-2016","http://dx.doi.org/10.5194/essd-8-213-2016")</f>
        <v>http://dx.doi.org/10.5194/essd-8-213-2016</v>
      </c>
      <c r="BG223" t="s">
        <v>74</v>
      </c>
      <c r="BH223" t="s">
        <v>74</v>
      </c>
      <c r="BI223">
        <v>8</v>
      </c>
      <c r="BJ223" t="s">
        <v>4328</v>
      </c>
      <c r="BK223" t="s">
        <v>264</v>
      </c>
      <c r="BL223" t="s">
        <v>4329</v>
      </c>
      <c r="BM223" t="s">
        <v>4330</v>
      </c>
      <c r="BN223" t="s">
        <v>74</v>
      </c>
      <c r="BO223" t="s">
        <v>2134</v>
      </c>
      <c r="BP223" t="s">
        <v>74</v>
      </c>
      <c r="BQ223" t="s">
        <v>74</v>
      </c>
      <c r="BR223" t="s">
        <v>100</v>
      </c>
      <c r="BS223" t="s">
        <v>4357</v>
      </c>
      <c r="BT223" t="str">
        <f>HYPERLINK("https%3A%2F%2Fwww.webofscience.com%2Fwos%2Fwoscc%2Ffull-record%2FWOS:000378206900017","View Full Record in Web of Science")</f>
        <v>View Full Record in Web of Science</v>
      </c>
    </row>
    <row r="224" spans="1:72" x14ac:dyDescent="0.15">
      <c r="A224" t="s">
        <v>72</v>
      </c>
      <c r="B224" t="s">
        <v>4358</v>
      </c>
      <c r="C224" t="s">
        <v>74</v>
      </c>
      <c r="D224" t="s">
        <v>74</v>
      </c>
      <c r="E224" t="s">
        <v>74</v>
      </c>
      <c r="F224" t="s">
        <v>4359</v>
      </c>
      <c r="G224" t="s">
        <v>74</v>
      </c>
      <c r="H224" t="s">
        <v>74</v>
      </c>
      <c r="I224" t="s">
        <v>4360</v>
      </c>
      <c r="J224" t="s">
        <v>4316</v>
      </c>
      <c r="K224" t="s">
        <v>74</v>
      </c>
      <c r="L224" t="s">
        <v>74</v>
      </c>
      <c r="M224" t="s">
        <v>200</v>
      </c>
      <c r="N224" t="s">
        <v>717</v>
      </c>
      <c r="O224" t="s">
        <v>74</v>
      </c>
      <c r="P224" t="s">
        <v>74</v>
      </c>
      <c r="Q224" t="s">
        <v>74</v>
      </c>
      <c r="R224" t="s">
        <v>74</v>
      </c>
      <c r="S224" t="s">
        <v>74</v>
      </c>
      <c r="T224" t="s">
        <v>74</v>
      </c>
      <c r="U224" t="s">
        <v>4361</v>
      </c>
      <c r="V224" t="s">
        <v>4362</v>
      </c>
      <c r="W224" t="s">
        <v>4363</v>
      </c>
      <c r="X224" t="s">
        <v>4364</v>
      </c>
      <c r="Y224" t="s">
        <v>4365</v>
      </c>
      <c r="Z224" t="s">
        <v>4366</v>
      </c>
      <c r="AA224" t="s">
        <v>4367</v>
      </c>
      <c r="AB224" t="s">
        <v>4368</v>
      </c>
      <c r="AC224" t="s">
        <v>4369</v>
      </c>
      <c r="AD224" t="s">
        <v>4370</v>
      </c>
      <c r="AE224" t="s">
        <v>4371</v>
      </c>
      <c r="AF224" t="s">
        <v>74</v>
      </c>
      <c r="AG224">
        <v>72</v>
      </c>
      <c r="AH224">
        <v>6</v>
      </c>
      <c r="AI224">
        <v>6</v>
      </c>
      <c r="AJ224">
        <v>0</v>
      </c>
      <c r="AK224">
        <v>12</v>
      </c>
      <c r="AL224" t="s">
        <v>358</v>
      </c>
      <c r="AM224" t="s">
        <v>359</v>
      </c>
      <c r="AN224" t="s">
        <v>3238</v>
      </c>
      <c r="AO224" t="s">
        <v>4323</v>
      </c>
      <c r="AP224" t="s">
        <v>4324</v>
      </c>
      <c r="AQ224" t="s">
        <v>74</v>
      </c>
      <c r="AR224" t="s">
        <v>4325</v>
      </c>
      <c r="AS224" t="s">
        <v>4326</v>
      </c>
      <c r="AT224" t="s">
        <v>74</v>
      </c>
      <c r="AU224">
        <v>2016</v>
      </c>
      <c r="AV224">
        <v>8</v>
      </c>
      <c r="AW224">
        <v>1</v>
      </c>
      <c r="AX224" t="s">
        <v>74</v>
      </c>
      <c r="AY224" t="s">
        <v>74</v>
      </c>
      <c r="AZ224" t="s">
        <v>74</v>
      </c>
      <c r="BA224" t="s">
        <v>74</v>
      </c>
      <c r="BB224">
        <v>253</v>
      </c>
      <c r="BC224">
        <v>263</v>
      </c>
      <c r="BD224" t="s">
        <v>74</v>
      </c>
      <c r="BE224" t="s">
        <v>4372</v>
      </c>
      <c r="BF224" t="str">
        <f>HYPERLINK("http://dx.doi.org/10.5194/essd-8-253-2016","http://dx.doi.org/10.5194/essd-8-253-2016")</f>
        <v>http://dx.doi.org/10.5194/essd-8-253-2016</v>
      </c>
      <c r="BG224" t="s">
        <v>74</v>
      </c>
      <c r="BH224" t="s">
        <v>74</v>
      </c>
      <c r="BI224">
        <v>11</v>
      </c>
      <c r="BJ224" t="s">
        <v>4328</v>
      </c>
      <c r="BK224" t="s">
        <v>264</v>
      </c>
      <c r="BL224" t="s">
        <v>4329</v>
      </c>
      <c r="BM224" t="s">
        <v>4330</v>
      </c>
      <c r="BN224" t="s">
        <v>74</v>
      </c>
      <c r="BO224" t="s">
        <v>4373</v>
      </c>
      <c r="BP224" t="s">
        <v>74</v>
      </c>
      <c r="BQ224" t="s">
        <v>74</v>
      </c>
      <c r="BR224" t="s">
        <v>100</v>
      </c>
      <c r="BS224" t="s">
        <v>4374</v>
      </c>
      <c r="BT224" t="str">
        <f>HYPERLINK("https%3A%2F%2Fwww.webofscience.com%2Fwos%2Fwoscc%2Ffull-record%2FWOS:000378206900020","View Full Record in Web of Science")</f>
        <v>View Full Record in Web of Science</v>
      </c>
    </row>
    <row r="225" spans="1:72" x14ac:dyDescent="0.15">
      <c r="A225" t="s">
        <v>72</v>
      </c>
      <c r="B225" t="s">
        <v>4375</v>
      </c>
      <c r="C225" t="s">
        <v>74</v>
      </c>
      <c r="D225" t="s">
        <v>74</v>
      </c>
      <c r="E225" t="s">
        <v>74</v>
      </c>
      <c r="F225" t="s">
        <v>4376</v>
      </c>
      <c r="G225" t="s">
        <v>74</v>
      </c>
      <c r="H225" t="s">
        <v>74</v>
      </c>
      <c r="I225" t="s">
        <v>4377</v>
      </c>
      <c r="J225" t="s">
        <v>3750</v>
      </c>
      <c r="K225" t="s">
        <v>74</v>
      </c>
      <c r="L225" t="s">
        <v>74</v>
      </c>
      <c r="M225" t="s">
        <v>200</v>
      </c>
      <c r="N225" t="s">
        <v>79</v>
      </c>
      <c r="O225" t="s">
        <v>74</v>
      </c>
      <c r="P225" t="s">
        <v>74</v>
      </c>
      <c r="Q225" t="s">
        <v>74</v>
      </c>
      <c r="R225" t="s">
        <v>74</v>
      </c>
      <c r="S225" t="s">
        <v>74</v>
      </c>
      <c r="T225" t="s">
        <v>74</v>
      </c>
      <c r="U225" t="s">
        <v>4378</v>
      </c>
      <c r="V225" t="s">
        <v>4379</v>
      </c>
      <c r="W225" t="s">
        <v>4380</v>
      </c>
      <c r="X225" t="s">
        <v>4381</v>
      </c>
      <c r="Y225" t="s">
        <v>4382</v>
      </c>
      <c r="Z225" t="s">
        <v>4383</v>
      </c>
      <c r="AA225" t="s">
        <v>4384</v>
      </c>
      <c r="AB225" t="s">
        <v>4385</v>
      </c>
      <c r="AC225" t="s">
        <v>4386</v>
      </c>
      <c r="AD225" t="s">
        <v>4387</v>
      </c>
      <c r="AE225" t="s">
        <v>4388</v>
      </c>
      <c r="AF225" t="s">
        <v>74</v>
      </c>
      <c r="AG225">
        <v>46</v>
      </c>
      <c r="AH225">
        <v>6</v>
      </c>
      <c r="AI225">
        <v>6</v>
      </c>
      <c r="AJ225">
        <v>1</v>
      </c>
      <c r="AK225">
        <v>4</v>
      </c>
      <c r="AL225" t="s">
        <v>358</v>
      </c>
      <c r="AM225" t="s">
        <v>359</v>
      </c>
      <c r="AN225" t="s">
        <v>3238</v>
      </c>
      <c r="AO225" t="s">
        <v>3762</v>
      </c>
      <c r="AP225" t="s">
        <v>74</v>
      </c>
      <c r="AQ225" t="s">
        <v>74</v>
      </c>
      <c r="AR225" t="s">
        <v>3763</v>
      </c>
      <c r="AS225" t="s">
        <v>3764</v>
      </c>
      <c r="AT225" t="s">
        <v>74</v>
      </c>
      <c r="AU225">
        <v>2016</v>
      </c>
      <c r="AV225">
        <v>12</v>
      </c>
      <c r="AW225">
        <v>2</v>
      </c>
      <c r="AX225" t="s">
        <v>74</v>
      </c>
      <c r="AY225" t="s">
        <v>74</v>
      </c>
      <c r="AZ225" t="s">
        <v>74</v>
      </c>
      <c r="BA225" t="s">
        <v>74</v>
      </c>
      <c r="BB225">
        <v>451</v>
      </c>
      <c r="BC225">
        <v>470</v>
      </c>
      <c r="BD225" t="s">
        <v>74</v>
      </c>
      <c r="BE225" t="s">
        <v>4389</v>
      </c>
      <c r="BF225" t="str">
        <f>HYPERLINK("http://dx.doi.org/10.5194/os-12-451-2016","http://dx.doi.org/10.5194/os-12-451-2016")</f>
        <v>http://dx.doi.org/10.5194/os-12-451-2016</v>
      </c>
      <c r="BG225" t="s">
        <v>74</v>
      </c>
      <c r="BH225" t="s">
        <v>74</v>
      </c>
      <c r="BI225">
        <v>20</v>
      </c>
      <c r="BJ225" t="s">
        <v>3766</v>
      </c>
      <c r="BK225" t="s">
        <v>264</v>
      </c>
      <c r="BL225" t="s">
        <v>3766</v>
      </c>
      <c r="BM225" t="s">
        <v>4390</v>
      </c>
      <c r="BN225" t="s">
        <v>74</v>
      </c>
      <c r="BO225" t="s">
        <v>369</v>
      </c>
      <c r="BP225" t="s">
        <v>74</v>
      </c>
      <c r="BQ225" t="s">
        <v>74</v>
      </c>
      <c r="BR225" t="s">
        <v>100</v>
      </c>
      <c r="BS225" t="s">
        <v>4391</v>
      </c>
      <c r="BT225" t="str">
        <f>HYPERLINK("https%3A%2F%2Fwww.webofscience.com%2Fwos%2Fwoscc%2Ffull-record%2FWOS:000378176300009","View Full Record in Web of Science")</f>
        <v>View Full Record in Web of Science</v>
      </c>
    </row>
    <row r="226" spans="1:72" x14ac:dyDescent="0.15">
      <c r="A226" t="s">
        <v>72</v>
      </c>
      <c r="B226" t="s">
        <v>4392</v>
      </c>
      <c r="C226" t="s">
        <v>74</v>
      </c>
      <c r="D226" t="s">
        <v>74</v>
      </c>
      <c r="E226" t="s">
        <v>74</v>
      </c>
      <c r="F226" t="s">
        <v>4393</v>
      </c>
      <c r="G226" t="s">
        <v>74</v>
      </c>
      <c r="H226" t="s">
        <v>74</v>
      </c>
      <c r="I226" t="s">
        <v>4394</v>
      </c>
      <c r="J226" t="s">
        <v>3750</v>
      </c>
      <c r="K226" t="s">
        <v>74</v>
      </c>
      <c r="L226" t="s">
        <v>74</v>
      </c>
      <c r="M226" t="s">
        <v>200</v>
      </c>
      <c r="N226" t="s">
        <v>79</v>
      </c>
      <c r="O226" t="s">
        <v>74</v>
      </c>
      <c r="P226" t="s">
        <v>74</v>
      </c>
      <c r="Q226" t="s">
        <v>74</v>
      </c>
      <c r="R226" t="s">
        <v>74</v>
      </c>
      <c r="S226" t="s">
        <v>74</v>
      </c>
      <c r="T226" t="s">
        <v>74</v>
      </c>
      <c r="U226" t="s">
        <v>4395</v>
      </c>
      <c r="V226" t="s">
        <v>4396</v>
      </c>
      <c r="W226" t="s">
        <v>4397</v>
      </c>
      <c r="X226" t="s">
        <v>4398</v>
      </c>
      <c r="Y226" t="s">
        <v>4399</v>
      </c>
      <c r="Z226" t="s">
        <v>4400</v>
      </c>
      <c r="AA226" t="s">
        <v>4401</v>
      </c>
      <c r="AB226" t="s">
        <v>74</v>
      </c>
      <c r="AC226" t="s">
        <v>4402</v>
      </c>
      <c r="AD226" t="s">
        <v>4403</v>
      </c>
      <c r="AE226" t="s">
        <v>4404</v>
      </c>
      <c r="AF226" t="s">
        <v>74</v>
      </c>
      <c r="AG226">
        <v>51</v>
      </c>
      <c r="AH226">
        <v>12</v>
      </c>
      <c r="AI226">
        <v>12</v>
      </c>
      <c r="AJ226">
        <v>0</v>
      </c>
      <c r="AK226">
        <v>11</v>
      </c>
      <c r="AL226" t="s">
        <v>358</v>
      </c>
      <c r="AM226" t="s">
        <v>359</v>
      </c>
      <c r="AN226" t="s">
        <v>3238</v>
      </c>
      <c r="AO226" t="s">
        <v>3762</v>
      </c>
      <c r="AP226" t="s">
        <v>4405</v>
      </c>
      <c r="AQ226" t="s">
        <v>74</v>
      </c>
      <c r="AR226" t="s">
        <v>3763</v>
      </c>
      <c r="AS226" t="s">
        <v>3764</v>
      </c>
      <c r="AT226" t="s">
        <v>74</v>
      </c>
      <c r="AU226">
        <v>2016</v>
      </c>
      <c r="AV226">
        <v>12</v>
      </c>
      <c r="AW226">
        <v>2</v>
      </c>
      <c r="AX226" t="s">
        <v>74</v>
      </c>
      <c r="AY226" t="s">
        <v>74</v>
      </c>
      <c r="AZ226" t="s">
        <v>74</v>
      </c>
      <c r="BA226" t="s">
        <v>74</v>
      </c>
      <c r="BB226">
        <v>507</v>
      </c>
      <c r="BC226">
        <v>515</v>
      </c>
      <c r="BD226" t="s">
        <v>74</v>
      </c>
      <c r="BE226" t="s">
        <v>4406</v>
      </c>
      <c r="BF226" t="str">
        <f>HYPERLINK("http://dx.doi.org/10.5194/os-12-507-2016","http://dx.doi.org/10.5194/os-12-507-2016")</f>
        <v>http://dx.doi.org/10.5194/os-12-507-2016</v>
      </c>
      <c r="BG226" t="s">
        <v>74</v>
      </c>
      <c r="BH226" t="s">
        <v>74</v>
      </c>
      <c r="BI226">
        <v>9</v>
      </c>
      <c r="BJ226" t="s">
        <v>3766</v>
      </c>
      <c r="BK226" t="s">
        <v>264</v>
      </c>
      <c r="BL226" t="s">
        <v>3766</v>
      </c>
      <c r="BM226" t="s">
        <v>4390</v>
      </c>
      <c r="BN226" t="s">
        <v>74</v>
      </c>
      <c r="BO226" t="s">
        <v>2134</v>
      </c>
      <c r="BP226" t="s">
        <v>74</v>
      </c>
      <c r="BQ226" t="s">
        <v>74</v>
      </c>
      <c r="BR226" t="s">
        <v>100</v>
      </c>
      <c r="BS226" t="s">
        <v>4407</v>
      </c>
      <c r="BT226" t="str">
        <f>HYPERLINK("https%3A%2F%2Fwww.webofscience.com%2Fwos%2Fwoscc%2Ffull-record%2FWOS:000378176300013","View Full Record in Web of Science")</f>
        <v>View Full Record in Web of Science</v>
      </c>
    </row>
    <row r="227" spans="1:72" x14ac:dyDescent="0.15">
      <c r="A227" t="s">
        <v>72</v>
      </c>
      <c r="B227" t="s">
        <v>4408</v>
      </c>
      <c r="C227" t="s">
        <v>74</v>
      </c>
      <c r="D227" t="s">
        <v>74</v>
      </c>
      <c r="E227" t="s">
        <v>74</v>
      </c>
      <c r="F227" t="s">
        <v>4409</v>
      </c>
      <c r="G227" t="s">
        <v>74</v>
      </c>
      <c r="H227" t="s">
        <v>74</v>
      </c>
      <c r="I227" t="s">
        <v>4410</v>
      </c>
      <c r="J227" t="s">
        <v>4411</v>
      </c>
      <c r="K227" t="s">
        <v>74</v>
      </c>
      <c r="L227" t="s">
        <v>74</v>
      </c>
      <c r="M227" t="s">
        <v>200</v>
      </c>
      <c r="N227" t="s">
        <v>79</v>
      </c>
      <c r="O227" t="s">
        <v>74</v>
      </c>
      <c r="P227" t="s">
        <v>74</v>
      </c>
      <c r="Q227" t="s">
        <v>74</v>
      </c>
      <c r="R227" t="s">
        <v>74</v>
      </c>
      <c r="S227" t="s">
        <v>74</v>
      </c>
      <c r="T227" t="s">
        <v>4412</v>
      </c>
      <c r="U227" t="s">
        <v>4413</v>
      </c>
      <c r="V227" t="s">
        <v>4414</v>
      </c>
      <c r="W227" t="s">
        <v>4415</v>
      </c>
      <c r="X227" t="s">
        <v>4416</v>
      </c>
      <c r="Y227" t="s">
        <v>4417</v>
      </c>
      <c r="Z227" t="s">
        <v>4418</v>
      </c>
      <c r="AA227" t="s">
        <v>4419</v>
      </c>
      <c r="AB227" t="s">
        <v>4420</v>
      </c>
      <c r="AC227" t="s">
        <v>4421</v>
      </c>
      <c r="AD227" t="s">
        <v>4422</v>
      </c>
      <c r="AE227" t="s">
        <v>4423</v>
      </c>
      <c r="AF227" t="s">
        <v>74</v>
      </c>
      <c r="AG227">
        <v>26</v>
      </c>
      <c r="AH227">
        <v>7</v>
      </c>
      <c r="AI227">
        <v>9</v>
      </c>
      <c r="AJ227">
        <v>0</v>
      </c>
      <c r="AK227">
        <v>12</v>
      </c>
      <c r="AL227" t="s">
        <v>358</v>
      </c>
      <c r="AM227" t="s">
        <v>359</v>
      </c>
      <c r="AN227" t="s">
        <v>3238</v>
      </c>
      <c r="AO227" t="s">
        <v>4424</v>
      </c>
      <c r="AP227" t="s">
        <v>4425</v>
      </c>
      <c r="AQ227" t="s">
        <v>74</v>
      </c>
      <c r="AR227" t="s">
        <v>4426</v>
      </c>
      <c r="AS227" t="s">
        <v>4427</v>
      </c>
      <c r="AT227" t="s">
        <v>74</v>
      </c>
      <c r="AU227">
        <v>2016</v>
      </c>
      <c r="AV227">
        <v>34</v>
      </c>
      <c r="AW227">
        <v>5</v>
      </c>
      <c r="AX227" t="s">
        <v>74</v>
      </c>
      <c r="AY227" t="s">
        <v>74</v>
      </c>
      <c r="AZ227" t="s">
        <v>74</v>
      </c>
      <c r="BA227" t="s">
        <v>74</v>
      </c>
      <c r="BB227">
        <v>543</v>
      </c>
      <c r="BC227">
        <v>555</v>
      </c>
      <c r="BD227" t="s">
        <v>74</v>
      </c>
      <c r="BE227" t="s">
        <v>4428</v>
      </c>
      <c r="BF227" t="str">
        <f>HYPERLINK("http://dx.doi.org/10.5194/angeo-34-543-2016","http://dx.doi.org/10.5194/angeo-34-543-2016")</f>
        <v>http://dx.doi.org/10.5194/angeo-34-543-2016</v>
      </c>
      <c r="BG227" t="s">
        <v>74</v>
      </c>
      <c r="BH227" t="s">
        <v>74</v>
      </c>
      <c r="BI227">
        <v>13</v>
      </c>
      <c r="BJ227" t="s">
        <v>4429</v>
      </c>
      <c r="BK227" t="s">
        <v>264</v>
      </c>
      <c r="BL227" t="s">
        <v>4430</v>
      </c>
      <c r="BM227" t="s">
        <v>4431</v>
      </c>
      <c r="BN227" t="s">
        <v>74</v>
      </c>
      <c r="BO227" t="s">
        <v>2134</v>
      </c>
      <c r="BP227" t="s">
        <v>74</v>
      </c>
      <c r="BQ227" t="s">
        <v>74</v>
      </c>
      <c r="BR227" t="s">
        <v>100</v>
      </c>
      <c r="BS227" t="s">
        <v>4432</v>
      </c>
      <c r="BT227" t="str">
        <f>HYPERLINK("https%3A%2F%2Fwww.webofscience.com%2Fwos%2Fwoscc%2Ffull-record%2FWOS:000377678200004","View Full Record in Web of Science")</f>
        <v>View Full Record in Web of Science</v>
      </c>
    </row>
    <row r="228" spans="1:72" x14ac:dyDescent="0.15">
      <c r="A228" t="s">
        <v>72</v>
      </c>
      <c r="B228" t="s">
        <v>4433</v>
      </c>
      <c r="C228" t="s">
        <v>74</v>
      </c>
      <c r="D228" t="s">
        <v>74</v>
      </c>
      <c r="E228" t="s">
        <v>74</v>
      </c>
      <c r="F228" t="s">
        <v>4434</v>
      </c>
      <c r="G228" t="s">
        <v>74</v>
      </c>
      <c r="H228" t="s">
        <v>74</v>
      </c>
      <c r="I228" t="s">
        <v>4435</v>
      </c>
      <c r="J228" t="s">
        <v>3961</v>
      </c>
      <c r="K228" t="s">
        <v>74</v>
      </c>
      <c r="L228" t="s">
        <v>74</v>
      </c>
      <c r="M228" t="s">
        <v>200</v>
      </c>
      <c r="N228" t="s">
        <v>79</v>
      </c>
      <c r="O228" t="s">
        <v>74</v>
      </c>
      <c r="P228" t="s">
        <v>74</v>
      </c>
      <c r="Q228" t="s">
        <v>74</v>
      </c>
      <c r="R228" t="s">
        <v>74</v>
      </c>
      <c r="S228" t="s">
        <v>74</v>
      </c>
      <c r="T228" t="s">
        <v>74</v>
      </c>
      <c r="U228" t="s">
        <v>4436</v>
      </c>
      <c r="V228" t="s">
        <v>4437</v>
      </c>
      <c r="W228" t="s">
        <v>4438</v>
      </c>
      <c r="X228" t="s">
        <v>4439</v>
      </c>
      <c r="Y228" t="s">
        <v>4440</v>
      </c>
      <c r="Z228" t="s">
        <v>4441</v>
      </c>
      <c r="AA228" t="s">
        <v>4442</v>
      </c>
      <c r="AB228" t="s">
        <v>4443</v>
      </c>
      <c r="AC228" t="s">
        <v>4444</v>
      </c>
      <c r="AD228" t="s">
        <v>4445</v>
      </c>
      <c r="AE228" t="s">
        <v>74</v>
      </c>
      <c r="AF228" t="s">
        <v>74</v>
      </c>
      <c r="AG228">
        <v>13</v>
      </c>
      <c r="AH228">
        <v>33</v>
      </c>
      <c r="AI228">
        <v>33</v>
      </c>
      <c r="AJ228">
        <v>1</v>
      </c>
      <c r="AK228">
        <v>7</v>
      </c>
      <c r="AL228" t="s">
        <v>358</v>
      </c>
      <c r="AM228" t="s">
        <v>359</v>
      </c>
      <c r="AN228" t="s">
        <v>3238</v>
      </c>
      <c r="AO228" t="s">
        <v>3973</v>
      </c>
      <c r="AP228" t="s">
        <v>3974</v>
      </c>
      <c r="AQ228" t="s">
        <v>74</v>
      </c>
      <c r="AR228" t="s">
        <v>3961</v>
      </c>
      <c r="AS228" t="s">
        <v>3975</v>
      </c>
      <c r="AT228" t="s">
        <v>74</v>
      </c>
      <c r="AU228">
        <v>2016</v>
      </c>
      <c r="AV228">
        <v>10</v>
      </c>
      <c r="AW228">
        <v>1</v>
      </c>
      <c r="AX228" t="s">
        <v>74</v>
      </c>
      <c r="AY228" t="s">
        <v>74</v>
      </c>
      <c r="AZ228" t="s">
        <v>74</v>
      </c>
      <c r="BA228" t="s">
        <v>74</v>
      </c>
      <c r="BB228">
        <v>459</v>
      </c>
      <c r="BC228">
        <v>463</v>
      </c>
      <c r="BD228" t="s">
        <v>74</v>
      </c>
      <c r="BE228" t="s">
        <v>4446</v>
      </c>
      <c r="BF228" t="str">
        <f>HYPERLINK("http://dx.doi.org/10.5194/tc-10-459-2016","http://dx.doi.org/10.5194/tc-10-459-2016")</f>
        <v>http://dx.doi.org/10.5194/tc-10-459-2016</v>
      </c>
      <c r="BG228" t="s">
        <v>74</v>
      </c>
      <c r="BH228" t="s">
        <v>74</v>
      </c>
      <c r="BI228">
        <v>5</v>
      </c>
      <c r="BJ228" t="s">
        <v>2247</v>
      </c>
      <c r="BK228" t="s">
        <v>264</v>
      </c>
      <c r="BL228" t="s">
        <v>2248</v>
      </c>
      <c r="BM228" t="s">
        <v>4447</v>
      </c>
      <c r="BN228">
        <v>32742591</v>
      </c>
      <c r="BO228" t="s">
        <v>4448</v>
      </c>
      <c r="BP228" t="s">
        <v>74</v>
      </c>
      <c r="BQ228" t="s">
        <v>74</v>
      </c>
      <c r="BR228" t="s">
        <v>100</v>
      </c>
      <c r="BS228" t="s">
        <v>4449</v>
      </c>
      <c r="BT228" t="str">
        <f>HYPERLINK("https%3A%2F%2Fwww.webofscience.com%2Fwos%2Fwoscc%2Ffull-record%2FWOS:000377602600030","View Full Record in Web of Science")</f>
        <v>View Full Record in Web of Science</v>
      </c>
    </row>
    <row r="229" spans="1:72" x14ac:dyDescent="0.15">
      <c r="A229" t="s">
        <v>72</v>
      </c>
      <c r="B229" t="s">
        <v>4450</v>
      </c>
      <c r="C229" t="s">
        <v>74</v>
      </c>
      <c r="D229" t="s">
        <v>74</v>
      </c>
      <c r="E229" t="s">
        <v>74</v>
      </c>
      <c r="F229" t="s">
        <v>4451</v>
      </c>
      <c r="G229" t="s">
        <v>74</v>
      </c>
      <c r="H229" t="s">
        <v>74</v>
      </c>
      <c r="I229" t="s">
        <v>4452</v>
      </c>
      <c r="J229" t="s">
        <v>4453</v>
      </c>
      <c r="K229" t="s">
        <v>74</v>
      </c>
      <c r="L229" t="s">
        <v>74</v>
      </c>
      <c r="M229" t="s">
        <v>200</v>
      </c>
      <c r="N229" t="s">
        <v>79</v>
      </c>
      <c r="O229" t="s">
        <v>74</v>
      </c>
      <c r="P229" t="s">
        <v>74</v>
      </c>
      <c r="Q229" t="s">
        <v>74</v>
      </c>
      <c r="R229" t="s">
        <v>74</v>
      </c>
      <c r="S229" t="s">
        <v>74</v>
      </c>
      <c r="T229" t="s">
        <v>74</v>
      </c>
      <c r="U229" t="s">
        <v>4454</v>
      </c>
      <c r="V229" t="s">
        <v>4455</v>
      </c>
      <c r="W229" t="s">
        <v>4456</v>
      </c>
      <c r="X229" t="s">
        <v>4457</v>
      </c>
      <c r="Y229" t="s">
        <v>4458</v>
      </c>
      <c r="Z229" t="s">
        <v>4459</v>
      </c>
      <c r="AA229" t="s">
        <v>74</v>
      </c>
      <c r="AB229" t="s">
        <v>4460</v>
      </c>
      <c r="AC229" t="s">
        <v>4461</v>
      </c>
      <c r="AD229" t="s">
        <v>4462</v>
      </c>
      <c r="AE229" t="s">
        <v>4463</v>
      </c>
      <c r="AF229" t="s">
        <v>74</v>
      </c>
      <c r="AG229">
        <v>32</v>
      </c>
      <c r="AH229">
        <v>5</v>
      </c>
      <c r="AI229">
        <v>5</v>
      </c>
      <c r="AJ229">
        <v>0</v>
      </c>
      <c r="AK229">
        <v>20</v>
      </c>
      <c r="AL229" t="s">
        <v>4464</v>
      </c>
      <c r="AM229" t="s">
        <v>4465</v>
      </c>
      <c r="AN229" t="s">
        <v>4466</v>
      </c>
      <c r="AO229" t="s">
        <v>4467</v>
      </c>
      <c r="AP229" t="s">
        <v>4468</v>
      </c>
      <c r="AQ229" t="s">
        <v>74</v>
      </c>
      <c r="AR229" t="s">
        <v>4453</v>
      </c>
      <c r="AS229" t="s">
        <v>4469</v>
      </c>
      <c r="AT229" t="s">
        <v>4470</v>
      </c>
      <c r="AU229">
        <v>2016</v>
      </c>
      <c r="AV229">
        <v>81</v>
      </c>
      <c r="AW229">
        <v>1</v>
      </c>
      <c r="AX229" t="s">
        <v>74</v>
      </c>
      <c r="AY229" t="s">
        <v>74</v>
      </c>
      <c r="AZ229" t="s">
        <v>74</v>
      </c>
      <c r="BA229" t="s">
        <v>74</v>
      </c>
      <c r="BB229" t="s">
        <v>4471</v>
      </c>
      <c r="BC229" t="s">
        <v>4472</v>
      </c>
      <c r="BD229" t="s">
        <v>74</v>
      </c>
      <c r="BE229" t="s">
        <v>4473</v>
      </c>
      <c r="BF229" t="str">
        <f>HYPERLINK("http://dx.doi.org/10.1190/GEO2015-0159.1","http://dx.doi.org/10.1190/GEO2015-0159.1")</f>
        <v>http://dx.doi.org/10.1190/GEO2015-0159.1</v>
      </c>
      <c r="BG229" t="s">
        <v>74</v>
      </c>
      <c r="BH229" t="s">
        <v>74</v>
      </c>
      <c r="BI229">
        <v>8</v>
      </c>
      <c r="BJ229" t="s">
        <v>4474</v>
      </c>
      <c r="BK229" t="s">
        <v>264</v>
      </c>
      <c r="BL229" t="s">
        <v>4474</v>
      </c>
      <c r="BM229" t="s">
        <v>4475</v>
      </c>
      <c r="BN229" t="s">
        <v>74</v>
      </c>
      <c r="BO229" t="s">
        <v>74</v>
      </c>
      <c r="BP229" t="s">
        <v>74</v>
      </c>
      <c r="BQ229" t="s">
        <v>74</v>
      </c>
      <c r="BR229" t="s">
        <v>100</v>
      </c>
      <c r="BS229" t="s">
        <v>4476</v>
      </c>
      <c r="BT229" t="str">
        <f>HYPERLINK("https%3A%2F%2Fwww.webofscience.com%2Fwos%2Fwoscc%2Ffull-record%2FWOS:000377880100039","View Full Record in Web of Science")</f>
        <v>View Full Record in Web of Science</v>
      </c>
    </row>
    <row r="230" spans="1:72" x14ac:dyDescent="0.15">
      <c r="A230" t="s">
        <v>72</v>
      </c>
      <c r="B230" t="s">
        <v>4477</v>
      </c>
      <c r="C230" t="s">
        <v>74</v>
      </c>
      <c r="D230" t="s">
        <v>74</v>
      </c>
      <c r="E230" t="s">
        <v>74</v>
      </c>
      <c r="F230" t="s">
        <v>4478</v>
      </c>
      <c r="G230" t="s">
        <v>74</v>
      </c>
      <c r="H230" t="s">
        <v>74</v>
      </c>
      <c r="I230" t="s">
        <v>4479</v>
      </c>
      <c r="J230" t="s">
        <v>1174</v>
      </c>
      <c r="K230" t="s">
        <v>74</v>
      </c>
      <c r="L230" t="s">
        <v>74</v>
      </c>
      <c r="M230" t="s">
        <v>200</v>
      </c>
      <c r="N230" t="s">
        <v>79</v>
      </c>
      <c r="O230" t="s">
        <v>74</v>
      </c>
      <c r="P230" t="s">
        <v>74</v>
      </c>
      <c r="Q230" t="s">
        <v>74</v>
      </c>
      <c r="R230" t="s">
        <v>74</v>
      </c>
      <c r="S230" t="s">
        <v>74</v>
      </c>
      <c r="T230" t="s">
        <v>4480</v>
      </c>
      <c r="U230" t="s">
        <v>74</v>
      </c>
      <c r="V230" t="s">
        <v>4481</v>
      </c>
      <c r="W230" t="s">
        <v>4482</v>
      </c>
      <c r="X230" t="s">
        <v>4483</v>
      </c>
      <c r="Y230" t="s">
        <v>4484</v>
      </c>
      <c r="Z230" t="s">
        <v>4485</v>
      </c>
      <c r="AA230" t="s">
        <v>74</v>
      </c>
      <c r="AB230" t="s">
        <v>74</v>
      </c>
      <c r="AC230" t="s">
        <v>4486</v>
      </c>
      <c r="AD230" t="s">
        <v>4487</v>
      </c>
      <c r="AE230" t="s">
        <v>4488</v>
      </c>
      <c r="AF230" t="s">
        <v>74</v>
      </c>
      <c r="AG230">
        <v>7</v>
      </c>
      <c r="AH230">
        <v>7</v>
      </c>
      <c r="AI230">
        <v>7</v>
      </c>
      <c r="AJ230">
        <v>0</v>
      </c>
      <c r="AK230">
        <v>3</v>
      </c>
      <c r="AL230" t="s">
        <v>502</v>
      </c>
      <c r="AM230" t="s">
        <v>503</v>
      </c>
      <c r="AN230" t="s">
        <v>504</v>
      </c>
      <c r="AO230" t="s">
        <v>1184</v>
      </c>
      <c r="AP230" t="s">
        <v>1185</v>
      </c>
      <c r="AQ230" t="s">
        <v>74</v>
      </c>
      <c r="AR230" t="s">
        <v>1186</v>
      </c>
      <c r="AS230" t="s">
        <v>1187</v>
      </c>
      <c r="AT230" t="s">
        <v>74</v>
      </c>
      <c r="AU230">
        <v>2016</v>
      </c>
      <c r="AV230">
        <v>27</v>
      </c>
      <c r="AW230">
        <v>3</v>
      </c>
      <c r="AX230" t="s">
        <v>74</v>
      </c>
      <c r="AY230" t="s">
        <v>74</v>
      </c>
      <c r="AZ230" t="s">
        <v>74</v>
      </c>
      <c r="BA230" t="s">
        <v>74</v>
      </c>
      <c r="BB230">
        <v>1677</v>
      </c>
      <c r="BC230">
        <v>1678</v>
      </c>
      <c r="BD230" t="s">
        <v>74</v>
      </c>
      <c r="BE230" t="s">
        <v>4489</v>
      </c>
      <c r="BF230" t="str">
        <f>HYPERLINK("http://dx.doi.org/10.3109/19401736.2014.958724","http://dx.doi.org/10.3109/19401736.2014.958724")</f>
        <v>http://dx.doi.org/10.3109/19401736.2014.958724</v>
      </c>
      <c r="BG230" t="s">
        <v>74</v>
      </c>
      <c r="BH230" t="s">
        <v>74</v>
      </c>
      <c r="BI230">
        <v>2</v>
      </c>
      <c r="BJ230" t="s">
        <v>509</v>
      </c>
      <c r="BK230" t="s">
        <v>264</v>
      </c>
      <c r="BL230" t="s">
        <v>509</v>
      </c>
      <c r="BM230" t="s">
        <v>4490</v>
      </c>
      <c r="BN230">
        <v>25228375</v>
      </c>
      <c r="BO230" t="s">
        <v>74</v>
      </c>
      <c r="BP230" t="s">
        <v>74</v>
      </c>
      <c r="BQ230" t="s">
        <v>74</v>
      </c>
      <c r="BR230" t="s">
        <v>100</v>
      </c>
      <c r="BS230" t="s">
        <v>4491</v>
      </c>
      <c r="BT230" t="str">
        <f>HYPERLINK("https%3A%2F%2Fwww.webofscience.com%2Fwos%2Fwoscc%2Ffull-record%2FWOS:000377538000049","View Full Record in Web of Science")</f>
        <v>View Full Record in Web of Science</v>
      </c>
    </row>
    <row r="231" spans="1:72" x14ac:dyDescent="0.15">
      <c r="A231" t="s">
        <v>72</v>
      </c>
      <c r="B231" t="s">
        <v>4492</v>
      </c>
      <c r="C231" t="s">
        <v>74</v>
      </c>
      <c r="D231" t="s">
        <v>74</v>
      </c>
      <c r="E231" t="s">
        <v>74</v>
      </c>
      <c r="F231" t="s">
        <v>4493</v>
      </c>
      <c r="G231" t="s">
        <v>74</v>
      </c>
      <c r="H231" t="s">
        <v>74</v>
      </c>
      <c r="I231" t="s">
        <v>4494</v>
      </c>
      <c r="J231" t="s">
        <v>1174</v>
      </c>
      <c r="K231" t="s">
        <v>74</v>
      </c>
      <c r="L231" t="s">
        <v>74</v>
      </c>
      <c r="M231" t="s">
        <v>200</v>
      </c>
      <c r="N231" t="s">
        <v>79</v>
      </c>
      <c r="O231" t="s">
        <v>74</v>
      </c>
      <c r="P231" t="s">
        <v>74</v>
      </c>
      <c r="Q231" t="s">
        <v>74</v>
      </c>
      <c r="R231" t="s">
        <v>74</v>
      </c>
      <c r="S231" t="s">
        <v>74</v>
      </c>
      <c r="T231" t="s">
        <v>4495</v>
      </c>
      <c r="U231" t="s">
        <v>4496</v>
      </c>
      <c r="V231" t="s">
        <v>4497</v>
      </c>
      <c r="W231" t="s">
        <v>4498</v>
      </c>
      <c r="X231" t="s">
        <v>4499</v>
      </c>
      <c r="Y231" t="s">
        <v>4500</v>
      </c>
      <c r="Z231" t="s">
        <v>4501</v>
      </c>
      <c r="AA231" t="s">
        <v>4502</v>
      </c>
      <c r="AB231" t="s">
        <v>74</v>
      </c>
      <c r="AC231" t="s">
        <v>4486</v>
      </c>
      <c r="AD231" t="s">
        <v>4487</v>
      </c>
      <c r="AE231" t="s">
        <v>4503</v>
      </c>
      <c r="AF231" t="s">
        <v>74</v>
      </c>
      <c r="AG231">
        <v>8</v>
      </c>
      <c r="AH231">
        <v>3</v>
      </c>
      <c r="AI231">
        <v>3</v>
      </c>
      <c r="AJ231">
        <v>0</v>
      </c>
      <c r="AK231">
        <v>6</v>
      </c>
      <c r="AL231" t="s">
        <v>502</v>
      </c>
      <c r="AM231" t="s">
        <v>503</v>
      </c>
      <c r="AN231" t="s">
        <v>504</v>
      </c>
      <c r="AO231" t="s">
        <v>1184</v>
      </c>
      <c r="AP231" t="s">
        <v>1185</v>
      </c>
      <c r="AQ231" t="s">
        <v>74</v>
      </c>
      <c r="AR231" t="s">
        <v>1186</v>
      </c>
      <c r="AS231" t="s">
        <v>1187</v>
      </c>
      <c r="AT231" t="s">
        <v>74</v>
      </c>
      <c r="AU231">
        <v>2016</v>
      </c>
      <c r="AV231">
        <v>27</v>
      </c>
      <c r="AW231">
        <v>3</v>
      </c>
      <c r="AX231" t="s">
        <v>74</v>
      </c>
      <c r="AY231" t="s">
        <v>74</v>
      </c>
      <c r="AZ231" t="s">
        <v>74</v>
      </c>
      <c r="BA231" t="s">
        <v>74</v>
      </c>
      <c r="BB231">
        <v>1783</v>
      </c>
      <c r="BC231">
        <v>1784</v>
      </c>
      <c r="BD231" t="s">
        <v>74</v>
      </c>
      <c r="BE231" t="s">
        <v>4504</v>
      </c>
      <c r="BF231" t="str">
        <f>HYPERLINK("http://dx.doi.org/10.3109/19401736.2014.963811","http://dx.doi.org/10.3109/19401736.2014.963811")</f>
        <v>http://dx.doi.org/10.3109/19401736.2014.963811</v>
      </c>
      <c r="BG231" t="s">
        <v>74</v>
      </c>
      <c r="BH231" t="s">
        <v>74</v>
      </c>
      <c r="BI231">
        <v>2</v>
      </c>
      <c r="BJ231" t="s">
        <v>509</v>
      </c>
      <c r="BK231" t="s">
        <v>264</v>
      </c>
      <c r="BL231" t="s">
        <v>509</v>
      </c>
      <c r="BM231" t="s">
        <v>4490</v>
      </c>
      <c r="BN231">
        <v>25268998</v>
      </c>
      <c r="BO231" t="s">
        <v>74</v>
      </c>
      <c r="BP231" t="s">
        <v>74</v>
      </c>
      <c r="BQ231" t="s">
        <v>74</v>
      </c>
      <c r="BR231" t="s">
        <v>100</v>
      </c>
      <c r="BS231" t="s">
        <v>4505</v>
      </c>
      <c r="BT231" t="str">
        <f>HYPERLINK("https%3A%2F%2Fwww.webofscience.com%2Fwos%2Fwoscc%2Ffull-record%2FWOS:000377538000094","View Full Record in Web of Science")</f>
        <v>View Full Record in Web of Science</v>
      </c>
    </row>
    <row r="232" spans="1:72" x14ac:dyDescent="0.15">
      <c r="A232" t="s">
        <v>72</v>
      </c>
      <c r="B232" t="s">
        <v>4506</v>
      </c>
      <c r="C232" t="s">
        <v>74</v>
      </c>
      <c r="D232" t="s">
        <v>74</v>
      </c>
      <c r="E232" t="s">
        <v>74</v>
      </c>
      <c r="F232" t="s">
        <v>4507</v>
      </c>
      <c r="G232" t="s">
        <v>74</v>
      </c>
      <c r="H232" t="s">
        <v>74</v>
      </c>
      <c r="I232" t="s">
        <v>4508</v>
      </c>
      <c r="J232" t="s">
        <v>1174</v>
      </c>
      <c r="K232" t="s">
        <v>74</v>
      </c>
      <c r="L232" t="s">
        <v>74</v>
      </c>
      <c r="M232" t="s">
        <v>200</v>
      </c>
      <c r="N232" t="s">
        <v>79</v>
      </c>
      <c r="O232" t="s">
        <v>74</v>
      </c>
      <c r="P232" t="s">
        <v>74</v>
      </c>
      <c r="Q232" t="s">
        <v>74</v>
      </c>
      <c r="R232" t="s">
        <v>74</v>
      </c>
      <c r="S232" t="s">
        <v>74</v>
      </c>
      <c r="T232" t="s">
        <v>4509</v>
      </c>
      <c r="U232" t="s">
        <v>74</v>
      </c>
      <c r="V232" t="s">
        <v>4510</v>
      </c>
      <c r="W232" t="s">
        <v>4511</v>
      </c>
      <c r="X232" t="s">
        <v>4512</v>
      </c>
      <c r="Y232" t="s">
        <v>4513</v>
      </c>
      <c r="Z232" t="s">
        <v>4514</v>
      </c>
      <c r="AA232" t="s">
        <v>74</v>
      </c>
      <c r="AB232" t="s">
        <v>1181</v>
      </c>
      <c r="AC232" t="s">
        <v>4515</v>
      </c>
      <c r="AD232" t="s">
        <v>974</v>
      </c>
      <c r="AE232" t="s">
        <v>4516</v>
      </c>
      <c r="AF232" t="s">
        <v>74</v>
      </c>
      <c r="AG232">
        <v>8</v>
      </c>
      <c r="AH232">
        <v>9</v>
      </c>
      <c r="AI232">
        <v>9</v>
      </c>
      <c r="AJ232">
        <v>0</v>
      </c>
      <c r="AK232">
        <v>3</v>
      </c>
      <c r="AL232" t="s">
        <v>502</v>
      </c>
      <c r="AM232" t="s">
        <v>503</v>
      </c>
      <c r="AN232" t="s">
        <v>504</v>
      </c>
      <c r="AO232" t="s">
        <v>1184</v>
      </c>
      <c r="AP232" t="s">
        <v>1185</v>
      </c>
      <c r="AQ232" t="s">
        <v>74</v>
      </c>
      <c r="AR232" t="s">
        <v>1186</v>
      </c>
      <c r="AS232" t="s">
        <v>1187</v>
      </c>
      <c r="AT232" t="s">
        <v>74</v>
      </c>
      <c r="AU232">
        <v>2016</v>
      </c>
      <c r="AV232">
        <v>27</v>
      </c>
      <c r="AW232">
        <v>4</v>
      </c>
      <c r="AX232" t="s">
        <v>74</v>
      </c>
      <c r="AY232" t="s">
        <v>74</v>
      </c>
      <c r="AZ232" t="s">
        <v>74</v>
      </c>
      <c r="BA232" t="s">
        <v>74</v>
      </c>
      <c r="BB232">
        <v>2779</v>
      </c>
      <c r="BC232">
        <v>2780</v>
      </c>
      <c r="BD232" t="s">
        <v>74</v>
      </c>
      <c r="BE232" t="s">
        <v>4517</v>
      </c>
      <c r="BF232" t="str">
        <f>HYPERLINK("http://dx.doi.org/10.3109/19401736.2015.1053062","http://dx.doi.org/10.3109/19401736.2015.1053062")</f>
        <v>http://dx.doi.org/10.3109/19401736.2015.1053062</v>
      </c>
      <c r="BG232" t="s">
        <v>74</v>
      </c>
      <c r="BH232" t="s">
        <v>74</v>
      </c>
      <c r="BI232">
        <v>2</v>
      </c>
      <c r="BJ232" t="s">
        <v>509</v>
      </c>
      <c r="BK232" t="s">
        <v>264</v>
      </c>
      <c r="BL232" t="s">
        <v>509</v>
      </c>
      <c r="BM232" t="s">
        <v>4518</v>
      </c>
      <c r="BN232">
        <v>26114320</v>
      </c>
      <c r="BO232" t="s">
        <v>74</v>
      </c>
      <c r="BP232" t="s">
        <v>74</v>
      </c>
      <c r="BQ232" t="s">
        <v>74</v>
      </c>
      <c r="BR232" t="s">
        <v>100</v>
      </c>
      <c r="BS232" t="s">
        <v>4519</v>
      </c>
      <c r="BT232" t="str">
        <f>HYPERLINK("https%3A%2F%2Fwww.webofscience.com%2Fwos%2Fwoscc%2Ffull-record%2FWOS:000377956300174","View Full Record in Web of Science")</f>
        <v>View Full Record in Web of Science</v>
      </c>
    </row>
    <row r="233" spans="1:72" x14ac:dyDescent="0.15">
      <c r="A233" t="s">
        <v>72</v>
      </c>
      <c r="B233" t="s">
        <v>4520</v>
      </c>
      <c r="C233" t="s">
        <v>74</v>
      </c>
      <c r="D233" t="s">
        <v>74</v>
      </c>
      <c r="E233" t="s">
        <v>74</v>
      </c>
      <c r="F233" t="s">
        <v>4521</v>
      </c>
      <c r="G233" t="s">
        <v>74</v>
      </c>
      <c r="H233" t="s">
        <v>74</v>
      </c>
      <c r="I233" t="s">
        <v>4522</v>
      </c>
      <c r="J233" t="s">
        <v>1174</v>
      </c>
      <c r="K233" t="s">
        <v>74</v>
      </c>
      <c r="L233" t="s">
        <v>74</v>
      </c>
      <c r="M233" t="s">
        <v>200</v>
      </c>
      <c r="N233" t="s">
        <v>79</v>
      </c>
      <c r="O233" t="s">
        <v>74</v>
      </c>
      <c r="P233" t="s">
        <v>74</v>
      </c>
      <c r="Q233" t="s">
        <v>74</v>
      </c>
      <c r="R233" t="s">
        <v>74</v>
      </c>
      <c r="S233" t="s">
        <v>74</v>
      </c>
      <c r="T233" t="s">
        <v>4523</v>
      </c>
      <c r="U233" t="s">
        <v>4524</v>
      </c>
      <c r="V233" t="s">
        <v>4525</v>
      </c>
      <c r="W233" t="s">
        <v>4526</v>
      </c>
      <c r="X233" t="s">
        <v>4527</v>
      </c>
      <c r="Y233" t="s">
        <v>4528</v>
      </c>
      <c r="Z233" t="s">
        <v>4529</v>
      </c>
      <c r="AA233" t="s">
        <v>74</v>
      </c>
      <c r="AB233" t="s">
        <v>74</v>
      </c>
      <c r="AC233" t="s">
        <v>4530</v>
      </c>
      <c r="AD233" t="s">
        <v>974</v>
      </c>
      <c r="AE233" t="s">
        <v>4531</v>
      </c>
      <c r="AF233" t="s">
        <v>74</v>
      </c>
      <c r="AG233">
        <v>9</v>
      </c>
      <c r="AH233">
        <v>11</v>
      </c>
      <c r="AI233">
        <v>11</v>
      </c>
      <c r="AJ233">
        <v>0</v>
      </c>
      <c r="AK233">
        <v>7</v>
      </c>
      <c r="AL233" t="s">
        <v>502</v>
      </c>
      <c r="AM233" t="s">
        <v>503</v>
      </c>
      <c r="AN233" t="s">
        <v>504</v>
      </c>
      <c r="AO233" t="s">
        <v>1184</v>
      </c>
      <c r="AP233" t="s">
        <v>1185</v>
      </c>
      <c r="AQ233" t="s">
        <v>74</v>
      </c>
      <c r="AR233" t="s">
        <v>1186</v>
      </c>
      <c r="AS233" t="s">
        <v>1187</v>
      </c>
      <c r="AT233" t="s">
        <v>74</v>
      </c>
      <c r="AU233">
        <v>2016</v>
      </c>
      <c r="AV233">
        <v>27</v>
      </c>
      <c r="AW233">
        <v>5</v>
      </c>
      <c r="AX233" t="s">
        <v>74</v>
      </c>
      <c r="AY233" t="s">
        <v>74</v>
      </c>
      <c r="AZ233" t="s">
        <v>74</v>
      </c>
      <c r="BA233" t="s">
        <v>74</v>
      </c>
      <c r="BB233">
        <v>3475</v>
      </c>
      <c r="BC233">
        <v>3476</v>
      </c>
      <c r="BD233" t="s">
        <v>74</v>
      </c>
      <c r="BE233" t="s">
        <v>4532</v>
      </c>
      <c r="BF233" t="str">
        <f>HYPERLINK("http://dx.doi.org/10.3109/19401736.2015.1066355","http://dx.doi.org/10.3109/19401736.2015.1066355")</f>
        <v>http://dx.doi.org/10.3109/19401736.2015.1066355</v>
      </c>
      <c r="BG233" t="s">
        <v>74</v>
      </c>
      <c r="BH233" t="s">
        <v>74</v>
      </c>
      <c r="BI233">
        <v>2</v>
      </c>
      <c r="BJ233" t="s">
        <v>509</v>
      </c>
      <c r="BK233" t="s">
        <v>264</v>
      </c>
      <c r="BL233" t="s">
        <v>509</v>
      </c>
      <c r="BM233" t="s">
        <v>4533</v>
      </c>
      <c r="BN233">
        <v>26642812</v>
      </c>
      <c r="BO233" t="s">
        <v>74</v>
      </c>
      <c r="BP233" t="s">
        <v>74</v>
      </c>
      <c r="BQ233" t="s">
        <v>74</v>
      </c>
      <c r="BR233" t="s">
        <v>100</v>
      </c>
      <c r="BS233" t="s">
        <v>4534</v>
      </c>
      <c r="BT233" t="str">
        <f>HYPERLINK("https%3A%2F%2Fwww.webofscience.com%2Fwos%2Fwoscc%2Ffull-record%2FWOS:000377956700161","View Full Record in Web of Science")</f>
        <v>View Full Record in Web of Science</v>
      </c>
    </row>
    <row r="234" spans="1:72" x14ac:dyDescent="0.15">
      <c r="A234" t="s">
        <v>72</v>
      </c>
      <c r="B234" t="s">
        <v>4535</v>
      </c>
      <c r="C234" t="s">
        <v>74</v>
      </c>
      <c r="D234" t="s">
        <v>74</v>
      </c>
      <c r="E234" t="s">
        <v>74</v>
      </c>
      <c r="F234" t="s">
        <v>4536</v>
      </c>
      <c r="G234" t="s">
        <v>74</v>
      </c>
      <c r="H234" t="s">
        <v>74</v>
      </c>
      <c r="I234" t="s">
        <v>4537</v>
      </c>
      <c r="J234" t="s">
        <v>2777</v>
      </c>
      <c r="K234" t="s">
        <v>74</v>
      </c>
      <c r="L234" t="s">
        <v>74</v>
      </c>
      <c r="M234" t="s">
        <v>200</v>
      </c>
      <c r="N234" t="s">
        <v>79</v>
      </c>
      <c r="O234" t="s">
        <v>74</v>
      </c>
      <c r="P234" t="s">
        <v>74</v>
      </c>
      <c r="Q234" t="s">
        <v>74</v>
      </c>
      <c r="R234" t="s">
        <v>74</v>
      </c>
      <c r="S234" t="s">
        <v>74</v>
      </c>
      <c r="T234" t="s">
        <v>4538</v>
      </c>
      <c r="U234" t="s">
        <v>4539</v>
      </c>
      <c r="V234" t="s">
        <v>4540</v>
      </c>
      <c r="W234" t="s">
        <v>4541</v>
      </c>
      <c r="X234" t="s">
        <v>968</v>
      </c>
      <c r="Y234" t="s">
        <v>4542</v>
      </c>
      <c r="Z234" t="s">
        <v>4543</v>
      </c>
      <c r="AA234" t="s">
        <v>74</v>
      </c>
      <c r="AB234" t="s">
        <v>4544</v>
      </c>
      <c r="AC234" t="s">
        <v>4545</v>
      </c>
      <c r="AD234" t="s">
        <v>4546</v>
      </c>
      <c r="AE234" t="s">
        <v>4547</v>
      </c>
      <c r="AF234" t="s">
        <v>74</v>
      </c>
      <c r="AG234">
        <v>40</v>
      </c>
      <c r="AH234">
        <v>12</v>
      </c>
      <c r="AI234">
        <v>13</v>
      </c>
      <c r="AJ234">
        <v>0</v>
      </c>
      <c r="AK234">
        <v>9</v>
      </c>
      <c r="AL234" t="s">
        <v>2263</v>
      </c>
      <c r="AM234" t="s">
        <v>2264</v>
      </c>
      <c r="AN234" t="s">
        <v>2265</v>
      </c>
      <c r="AO234" t="s">
        <v>2788</v>
      </c>
      <c r="AP234" t="s">
        <v>2789</v>
      </c>
      <c r="AQ234" t="s">
        <v>74</v>
      </c>
      <c r="AR234" t="s">
        <v>2790</v>
      </c>
      <c r="AS234" t="s">
        <v>2791</v>
      </c>
      <c r="AT234" t="s">
        <v>74</v>
      </c>
      <c r="AU234">
        <v>2016</v>
      </c>
      <c r="AV234">
        <v>46</v>
      </c>
      <c r="AW234">
        <v>4</v>
      </c>
      <c r="AX234" t="s">
        <v>74</v>
      </c>
      <c r="AY234" t="s">
        <v>74</v>
      </c>
      <c r="AZ234" t="s">
        <v>74</v>
      </c>
      <c r="BA234" t="s">
        <v>74</v>
      </c>
      <c r="BB234">
        <v>328</v>
      </c>
      <c r="BC234">
        <v>335</v>
      </c>
      <c r="BD234" t="s">
        <v>74</v>
      </c>
      <c r="BE234" t="s">
        <v>4548</v>
      </c>
      <c r="BF234" t="str">
        <f>HYPERLINK("http://dx.doi.org/10.1080/10826068.2015.1031390","http://dx.doi.org/10.1080/10826068.2015.1031390")</f>
        <v>http://dx.doi.org/10.1080/10826068.2015.1031390</v>
      </c>
      <c r="BG234" t="s">
        <v>74</v>
      </c>
      <c r="BH234" t="s">
        <v>74</v>
      </c>
      <c r="BI234">
        <v>8</v>
      </c>
      <c r="BJ234" t="s">
        <v>2793</v>
      </c>
      <c r="BK234" t="s">
        <v>264</v>
      </c>
      <c r="BL234" t="s">
        <v>2794</v>
      </c>
      <c r="BM234" t="s">
        <v>4549</v>
      </c>
      <c r="BN234">
        <v>25830556</v>
      </c>
      <c r="BO234" t="s">
        <v>74</v>
      </c>
      <c r="BP234" t="s">
        <v>74</v>
      </c>
      <c r="BQ234" t="s">
        <v>74</v>
      </c>
      <c r="BR234" t="s">
        <v>100</v>
      </c>
      <c r="BS234" t="s">
        <v>4550</v>
      </c>
      <c r="BT234" t="str">
        <f>HYPERLINK("https%3A%2F%2Fwww.webofscience.com%2Fwos%2Fwoscc%2Ffull-record%2FWOS:000377930000002","View Full Record in Web of Science")</f>
        <v>View Full Record in Web of Science</v>
      </c>
    </row>
    <row r="235" spans="1:72" x14ac:dyDescent="0.15">
      <c r="A235" t="s">
        <v>72</v>
      </c>
      <c r="B235" t="s">
        <v>4551</v>
      </c>
      <c r="C235" t="s">
        <v>74</v>
      </c>
      <c r="D235" t="s">
        <v>74</v>
      </c>
      <c r="E235" t="s">
        <v>74</v>
      </c>
      <c r="F235" t="s">
        <v>4552</v>
      </c>
      <c r="G235" t="s">
        <v>74</v>
      </c>
      <c r="H235" t="s">
        <v>74</v>
      </c>
      <c r="I235" t="s">
        <v>4553</v>
      </c>
      <c r="J235" t="s">
        <v>3843</v>
      </c>
      <c r="K235" t="s">
        <v>74</v>
      </c>
      <c r="L235" t="s">
        <v>74</v>
      </c>
      <c r="M235" t="s">
        <v>200</v>
      </c>
      <c r="N235" t="s">
        <v>79</v>
      </c>
      <c r="O235" t="s">
        <v>74</v>
      </c>
      <c r="P235" t="s">
        <v>74</v>
      </c>
      <c r="Q235" t="s">
        <v>74</v>
      </c>
      <c r="R235" t="s">
        <v>74</v>
      </c>
      <c r="S235" t="s">
        <v>74</v>
      </c>
      <c r="T235" t="s">
        <v>4554</v>
      </c>
      <c r="U235" t="s">
        <v>4555</v>
      </c>
      <c r="V235" t="s">
        <v>4556</v>
      </c>
      <c r="W235" t="s">
        <v>4557</v>
      </c>
      <c r="X235" t="s">
        <v>4558</v>
      </c>
      <c r="Y235" t="s">
        <v>4559</v>
      </c>
      <c r="Z235" t="s">
        <v>4560</v>
      </c>
      <c r="AA235" t="s">
        <v>4561</v>
      </c>
      <c r="AB235" t="s">
        <v>74</v>
      </c>
      <c r="AC235" t="s">
        <v>4562</v>
      </c>
      <c r="AD235" t="s">
        <v>4563</v>
      </c>
      <c r="AE235" t="s">
        <v>4564</v>
      </c>
      <c r="AF235" t="s">
        <v>74</v>
      </c>
      <c r="AG235">
        <v>76</v>
      </c>
      <c r="AH235">
        <v>36</v>
      </c>
      <c r="AI235">
        <v>40</v>
      </c>
      <c r="AJ235">
        <v>0</v>
      </c>
      <c r="AK235">
        <v>4</v>
      </c>
      <c r="AL235" t="s">
        <v>3855</v>
      </c>
      <c r="AM235" t="s">
        <v>3856</v>
      </c>
      <c r="AN235" t="s">
        <v>3857</v>
      </c>
      <c r="AO235" t="s">
        <v>3858</v>
      </c>
      <c r="AP235" t="s">
        <v>3859</v>
      </c>
      <c r="AQ235" t="s">
        <v>74</v>
      </c>
      <c r="AR235" t="s">
        <v>3843</v>
      </c>
      <c r="AS235" t="s">
        <v>3860</v>
      </c>
      <c r="AT235" t="s">
        <v>74</v>
      </c>
      <c r="AU235">
        <v>2016</v>
      </c>
      <c r="AV235">
        <v>53</v>
      </c>
      <c r="AW235">
        <v>3</v>
      </c>
      <c r="AX235" t="s">
        <v>74</v>
      </c>
      <c r="AY235" t="s">
        <v>74</v>
      </c>
      <c r="AZ235" t="s">
        <v>74</v>
      </c>
      <c r="BA235" t="s">
        <v>74</v>
      </c>
      <c r="BB235">
        <v>245</v>
      </c>
      <c r="BC235">
        <v>268</v>
      </c>
      <c r="BD235" t="s">
        <v>74</v>
      </c>
      <c r="BE235" t="s">
        <v>4565</v>
      </c>
      <c r="BF235" t="str">
        <f>HYPERLINK("http://dx.doi.org/10.5710/AMGH.29.11.2015.2928","http://dx.doi.org/10.5710/AMGH.29.11.2015.2928")</f>
        <v>http://dx.doi.org/10.5710/AMGH.29.11.2015.2928</v>
      </c>
      <c r="BG235" t="s">
        <v>74</v>
      </c>
      <c r="BH235" t="s">
        <v>74</v>
      </c>
      <c r="BI235">
        <v>24</v>
      </c>
      <c r="BJ235" t="s">
        <v>2542</v>
      </c>
      <c r="BK235" t="s">
        <v>264</v>
      </c>
      <c r="BL235" t="s">
        <v>2542</v>
      </c>
      <c r="BM235" t="s">
        <v>4566</v>
      </c>
      <c r="BN235" t="s">
        <v>74</v>
      </c>
      <c r="BO235" t="s">
        <v>241</v>
      </c>
      <c r="BP235" t="s">
        <v>74</v>
      </c>
      <c r="BQ235" t="s">
        <v>74</v>
      </c>
      <c r="BR235" t="s">
        <v>100</v>
      </c>
      <c r="BS235" t="s">
        <v>4567</v>
      </c>
      <c r="BT235" t="str">
        <f>HYPERLINK("https%3A%2F%2Fwww.webofscience.com%2Fwos%2Fwoscc%2Ffull-record%2FWOS:000377529400002","View Full Record in Web of Science")</f>
        <v>View Full Record in Web of Science</v>
      </c>
    </row>
    <row r="236" spans="1:72" x14ac:dyDescent="0.15">
      <c r="A236" t="s">
        <v>72</v>
      </c>
      <c r="B236" t="s">
        <v>4568</v>
      </c>
      <c r="C236" t="s">
        <v>74</v>
      </c>
      <c r="D236" t="s">
        <v>74</v>
      </c>
      <c r="E236" t="s">
        <v>74</v>
      </c>
      <c r="F236" t="s">
        <v>4569</v>
      </c>
      <c r="G236" t="s">
        <v>74</v>
      </c>
      <c r="H236" t="s">
        <v>74</v>
      </c>
      <c r="I236" t="s">
        <v>4570</v>
      </c>
      <c r="J236" t="s">
        <v>3843</v>
      </c>
      <c r="K236" t="s">
        <v>74</v>
      </c>
      <c r="L236" t="s">
        <v>74</v>
      </c>
      <c r="M236" t="s">
        <v>200</v>
      </c>
      <c r="N236" t="s">
        <v>79</v>
      </c>
      <c r="O236" t="s">
        <v>74</v>
      </c>
      <c r="P236" t="s">
        <v>74</v>
      </c>
      <c r="Q236" t="s">
        <v>74</v>
      </c>
      <c r="R236" t="s">
        <v>74</v>
      </c>
      <c r="S236" t="s">
        <v>74</v>
      </c>
      <c r="T236" t="s">
        <v>4571</v>
      </c>
      <c r="U236" t="s">
        <v>4572</v>
      </c>
      <c r="V236" t="s">
        <v>4573</v>
      </c>
      <c r="W236" t="s">
        <v>4574</v>
      </c>
      <c r="X236" t="s">
        <v>4558</v>
      </c>
      <c r="Y236" t="s">
        <v>4575</v>
      </c>
      <c r="Z236" t="s">
        <v>4576</v>
      </c>
      <c r="AA236" t="s">
        <v>3154</v>
      </c>
      <c r="AB236" t="s">
        <v>3155</v>
      </c>
      <c r="AC236" t="s">
        <v>74</v>
      </c>
      <c r="AD236" t="s">
        <v>74</v>
      </c>
      <c r="AE236" t="s">
        <v>74</v>
      </c>
      <c r="AF236" t="s">
        <v>74</v>
      </c>
      <c r="AG236">
        <v>40</v>
      </c>
      <c r="AH236">
        <v>6</v>
      </c>
      <c r="AI236">
        <v>6</v>
      </c>
      <c r="AJ236">
        <v>0</v>
      </c>
      <c r="AK236">
        <v>4</v>
      </c>
      <c r="AL236" t="s">
        <v>3855</v>
      </c>
      <c r="AM236" t="s">
        <v>3856</v>
      </c>
      <c r="AN236" t="s">
        <v>3857</v>
      </c>
      <c r="AO236" t="s">
        <v>3858</v>
      </c>
      <c r="AP236" t="s">
        <v>3859</v>
      </c>
      <c r="AQ236" t="s">
        <v>74</v>
      </c>
      <c r="AR236" t="s">
        <v>3843</v>
      </c>
      <c r="AS236" t="s">
        <v>3860</v>
      </c>
      <c r="AT236" t="s">
        <v>74</v>
      </c>
      <c r="AU236">
        <v>2016</v>
      </c>
      <c r="AV236">
        <v>53</v>
      </c>
      <c r="AW236">
        <v>3</v>
      </c>
      <c r="AX236" t="s">
        <v>74</v>
      </c>
      <c r="AY236" t="s">
        <v>74</v>
      </c>
      <c r="AZ236" t="s">
        <v>74</v>
      </c>
      <c r="BA236" t="s">
        <v>74</v>
      </c>
      <c r="BB236">
        <v>269</v>
      </c>
      <c r="BC236">
        <v>281</v>
      </c>
      <c r="BD236" t="s">
        <v>74</v>
      </c>
      <c r="BE236" t="s">
        <v>4577</v>
      </c>
      <c r="BF236" t="str">
        <f>HYPERLINK("http://dx.doi.org/10.5710/AMGH.27.08.2015.2890","http://dx.doi.org/10.5710/AMGH.27.08.2015.2890")</f>
        <v>http://dx.doi.org/10.5710/AMGH.27.08.2015.2890</v>
      </c>
      <c r="BG236" t="s">
        <v>74</v>
      </c>
      <c r="BH236" t="s">
        <v>74</v>
      </c>
      <c r="BI236">
        <v>13</v>
      </c>
      <c r="BJ236" t="s">
        <v>2542</v>
      </c>
      <c r="BK236" t="s">
        <v>264</v>
      </c>
      <c r="BL236" t="s">
        <v>2542</v>
      </c>
      <c r="BM236" t="s">
        <v>4566</v>
      </c>
      <c r="BN236" t="s">
        <v>74</v>
      </c>
      <c r="BO236" t="s">
        <v>74</v>
      </c>
      <c r="BP236" t="s">
        <v>74</v>
      </c>
      <c r="BQ236" t="s">
        <v>74</v>
      </c>
      <c r="BR236" t="s">
        <v>100</v>
      </c>
      <c r="BS236" t="s">
        <v>4578</v>
      </c>
      <c r="BT236" t="str">
        <f>HYPERLINK("https%3A%2F%2Fwww.webofscience.com%2Fwos%2Fwoscc%2Ffull-record%2FWOS:000377529400003","View Full Record in Web of Science")</f>
        <v>View Full Record in Web of Science</v>
      </c>
    </row>
    <row r="237" spans="1:72" x14ac:dyDescent="0.15">
      <c r="A237" t="s">
        <v>72</v>
      </c>
      <c r="B237" t="s">
        <v>4579</v>
      </c>
      <c r="C237" t="s">
        <v>74</v>
      </c>
      <c r="D237" t="s">
        <v>74</v>
      </c>
      <c r="E237" t="s">
        <v>74</v>
      </c>
      <c r="F237" t="s">
        <v>4580</v>
      </c>
      <c r="G237" t="s">
        <v>74</v>
      </c>
      <c r="H237" t="s">
        <v>74</v>
      </c>
      <c r="I237" t="s">
        <v>4581</v>
      </c>
      <c r="J237" t="s">
        <v>3843</v>
      </c>
      <c r="K237" t="s">
        <v>74</v>
      </c>
      <c r="L237" t="s">
        <v>74</v>
      </c>
      <c r="M237" t="s">
        <v>200</v>
      </c>
      <c r="N237" t="s">
        <v>79</v>
      </c>
      <c r="O237" t="s">
        <v>74</v>
      </c>
      <c r="P237" t="s">
        <v>74</v>
      </c>
      <c r="Q237" t="s">
        <v>74</v>
      </c>
      <c r="R237" t="s">
        <v>74</v>
      </c>
      <c r="S237" t="s">
        <v>74</v>
      </c>
      <c r="T237" t="s">
        <v>4582</v>
      </c>
      <c r="U237" t="s">
        <v>4583</v>
      </c>
      <c r="V237" t="s">
        <v>4584</v>
      </c>
      <c r="W237" t="s">
        <v>4585</v>
      </c>
      <c r="X237" t="s">
        <v>4586</v>
      </c>
      <c r="Y237" t="s">
        <v>4587</v>
      </c>
      <c r="Z237" t="s">
        <v>4588</v>
      </c>
      <c r="AA237" t="s">
        <v>4589</v>
      </c>
      <c r="AB237" t="s">
        <v>4590</v>
      </c>
      <c r="AC237" t="s">
        <v>4591</v>
      </c>
      <c r="AD237" t="s">
        <v>4592</v>
      </c>
      <c r="AE237" t="s">
        <v>4593</v>
      </c>
      <c r="AF237" t="s">
        <v>74</v>
      </c>
      <c r="AG237">
        <v>42</v>
      </c>
      <c r="AH237">
        <v>2</v>
      </c>
      <c r="AI237">
        <v>3</v>
      </c>
      <c r="AJ237">
        <v>0</v>
      </c>
      <c r="AK237">
        <v>3</v>
      </c>
      <c r="AL237" t="s">
        <v>3855</v>
      </c>
      <c r="AM237" t="s">
        <v>3856</v>
      </c>
      <c r="AN237" t="s">
        <v>3857</v>
      </c>
      <c r="AO237" t="s">
        <v>3858</v>
      </c>
      <c r="AP237" t="s">
        <v>3859</v>
      </c>
      <c r="AQ237" t="s">
        <v>74</v>
      </c>
      <c r="AR237" t="s">
        <v>3843</v>
      </c>
      <c r="AS237" t="s">
        <v>3860</v>
      </c>
      <c r="AT237" t="s">
        <v>74</v>
      </c>
      <c r="AU237">
        <v>2016</v>
      </c>
      <c r="AV237">
        <v>53</v>
      </c>
      <c r="AW237">
        <v>3</v>
      </c>
      <c r="AX237" t="s">
        <v>74</v>
      </c>
      <c r="AY237" t="s">
        <v>74</v>
      </c>
      <c r="AZ237" t="s">
        <v>74</v>
      </c>
      <c r="BA237" t="s">
        <v>74</v>
      </c>
      <c r="BB237">
        <v>282</v>
      </c>
      <c r="BC237">
        <v>295</v>
      </c>
      <c r="BD237" t="s">
        <v>74</v>
      </c>
      <c r="BE237" t="s">
        <v>4594</v>
      </c>
      <c r="BF237" t="str">
        <f>HYPERLINK("http://dx.doi.org/10.5710/AMGH.24.08.2015.2917","http://dx.doi.org/10.5710/AMGH.24.08.2015.2917")</f>
        <v>http://dx.doi.org/10.5710/AMGH.24.08.2015.2917</v>
      </c>
      <c r="BG237" t="s">
        <v>74</v>
      </c>
      <c r="BH237" t="s">
        <v>74</v>
      </c>
      <c r="BI237">
        <v>14</v>
      </c>
      <c r="BJ237" t="s">
        <v>2542</v>
      </c>
      <c r="BK237" t="s">
        <v>264</v>
      </c>
      <c r="BL237" t="s">
        <v>2542</v>
      </c>
      <c r="BM237" t="s">
        <v>4566</v>
      </c>
      <c r="BN237" t="s">
        <v>74</v>
      </c>
      <c r="BO237" t="s">
        <v>241</v>
      </c>
      <c r="BP237" t="s">
        <v>74</v>
      </c>
      <c r="BQ237" t="s">
        <v>74</v>
      </c>
      <c r="BR237" t="s">
        <v>100</v>
      </c>
      <c r="BS237" t="s">
        <v>4595</v>
      </c>
      <c r="BT237" t="str">
        <f>HYPERLINK("https%3A%2F%2Fwww.webofscience.com%2Fwos%2Fwoscc%2Ffull-record%2FWOS:000377529400004","View Full Record in Web of Science")</f>
        <v>View Full Record in Web of Science</v>
      </c>
    </row>
    <row r="238" spans="1:72" x14ac:dyDescent="0.15">
      <c r="A238" t="s">
        <v>72</v>
      </c>
      <c r="B238" t="s">
        <v>4596</v>
      </c>
      <c r="C238" t="s">
        <v>74</v>
      </c>
      <c r="D238" t="s">
        <v>74</v>
      </c>
      <c r="E238" t="s">
        <v>74</v>
      </c>
      <c r="F238" t="s">
        <v>4597</v>
      </c>
      <c r="G238" t="s">
        <v>74</v>
      </c>
      <c r="H238" t="s">
        <v>74</v>
      </c>
      <c r="I238" t="s">
        <v>4598</v>
      </c>
      <c r="J238" t="s">
        <v>3843</v>
      </c>
      <c r="K238" t="s">
        <v>74</v>
      </c>
      <c r="L238" t="s">
        <v>74</v>
      </c>
      <c r="M238" t="s">
        <v>200</v>
      </c>
      <c r="N238" t="s">
        <v>79</v>
      </c>
      <c r="O238" t="s">
        <v>74</v>
      </c>
      <c r="P238" t="s">
        <v>74</v>
      </c>
      <c r="Q238" t="s">
        <v>74</v>
      </c>
      <c r="R238" t="s">
        <v>74</v>
      </c>
      <c r="S238" t="s">
        <v>74</v>
      </c>
      <c r="T238" t="s">
        <v>4599</v>
      </c>
      <c r="U238" t="s">
        <v>4600</v>
      </c>
      <c r="V238" t="s">
        <v>4601</v>
      </c>
      <c r="W238" t="s">
        <v>4602</v>
      </c>
      <c r="X238" t="s">
        <v>4603</v>
      </c>
      <c r="Y238" t="s">
        <v>4604</v>
      </c>
      <c r="Z238" t="s">
        <v>4605</v>
      </c>
      <c r="AA238" t="s">
        <v>4606</v>
      </c>
      <c r="AB238" t="s">
        <v>4607</v>
      </c>
      <c r="AC238" t="s">
        <v>4608</v>
      </c>
      <c r="AD238" t="s">
        <v>4609</v>
      </c>
      <c r="AE238" t="s">
        <v>4610</v>
      </c>
      <c r="AF238" t="s">
        <v>74</v>
      </c>
      <c r="AG238">
        <v>81</v>
      </c>
      <c r="AH238">
        <v>24</v>
      </c>
      <c r="AI238">
        <v>28</v>
      </c>
      <c r="AJ238">
        <v>0</v>
      </c>
      <c r="AK238">
        <v>9</v>
      </c>
      <c r="AL238" t="s">
        <v>3855</v>
      </c>
      <c r="AM238" t="s">
        <v>3856</v>
      </c>
      <c r="AN238" t="s">
        <v>3857</v>
      </c>
      <c r="AO238" t="s">
        <v>3858</v>
      </c>
      <c r="AP238" t="s">
        <v>3859</v>
      </c>
      <c r="AQ238" t="s">
        <v>74</v>
      </c>
      <c r="AR238" t="s">
        <v>3843</v>
      </c>
      <c r="AS238" t="s">
        <v>3860</v>
      </c>
      <c r="AT238" t="s">
        <v>74</v>
      </c>
      <c r="AU238">
        <v>2016</v>
      </c>
      <c r="AV238">
        <v>53</v>
      </c>
      <c r="AW238">
        <v>3</v>
      </c>
      <c r="AX238" t="s">
        <v>74</v>
      </c>
      <c r="AY238" t="s">
        <v>74</v>
      </c>
      <c r="AZ238" t="s">
        <v>74</v>
      </c>
      <c r="BA238" t="s">
        <v>74</v>
      </c>
      <c r="BB238">
        <v>296</v>
      </c>
      <c r="BC238">
        <v>315</v>
      </c>
      <c r="BD238" t="s">
        <v>74</v>
      </c>
      <c r="BE238" t="s">
        <v>4611</v>
      </c>
      <c r="BF238" t="str">
        <f>HYPERLINK("http://dx.doi.org/10.5710/AMGH.02.02.2016.2922","http://dx.doi.org/10.5710/AMGH.02.02.2016.2922")</f>
        <v>http://dx.doi.org/10.5710/AMGH.02.02.2016.2922</v>
      </c>
      <c r="BG238" t="s">
        <v>74</v>
      </c>
      <c r="BH238" t="s">
        <v>74</v>
      </c>
      <c r="BI238">
        <v>20</v>
      </c>
      <c r="BJ238" t="s">
        <v>2542</v>
      </c>
      <c r="BK238" t="s">
        <v>264</v>
      </c>
      <c r="BL238" t="s">
        <v>2542</v>
      </c>
      <c r="BM238" t="s">
        <v>4566</v>
      </c>
      <c r="BN238" t="s">
        <v>74</v>
      </c>
      <c r="BO238" t="s">
        <v>74</v>
      </c>
      <c r="BP238" t="s">
        <v>74</v>
      </c>
      <c r="BQ238" t="s">
        <v>74</v>
      </c>
      <c r="BR238" t="s">
        <v>100</v>
      </c>
      <c r="BS238" t="s">
        <v>4612</v>
      </c>
      <c r="BT238" t="str">
        <f>HYPERLINK("https%3A%2F%2Fwww.webofscience.com%2Fwos%2Fwoscc%2Ffull-record%2FWOS:000377529400005","View Full Record in Web of Science")</f>
        <v>View Full Record in Web of Science</v>
      </c>
    </row>
    <row r="239" spans="1:72" x14ac:dyDescent="0.15">
      <c r="A239" t="s">
        <v>72</v>
      </c>
      <c r="B239" t="s">
        <v>4613</v>
      </c>
      <c r="C239" t="s">
        <v>74</v>
      </c>
      <c r="D239" t="s">
        <v>74</v>
      </c>
      <c r="E239" t="s">
        <v>74</v>
      </c>
      <c r="F239" t="s">
        <v>4614</v>
      </c>
      <c r="G239" t="s">
        <v>74</v>
      </c>
      <c r="H239" t="s">
        <v>74</v>
      </c>
      <c r="I239" t="s">
        <v>4615</v>
      </c>
      <c r="J239" t="s">
        <v>3843</v>
      </c>
      <c r="K239" t="s">
        <v>74</v>
      </c>
      <c r="L239" t="s">
        <v>74</v>
      </c>
      <c r="M239" t="s">
        <v>200</v>
      </c>
      <c r="N239" t="s">
        <v>79</v>
      </c>
      <c r="O239" t="s">
        <v>74</v>
      </c>
      <c r="P239" t="s">
        <v>74</v>
      </c>
      <c r="Q239" t="s">
        <v>74</v>
      </c>
      <c r="R239" t="s">
        <v>74</v>
      </c>
      <c r="S239" t="s">
        <v>74</v>
      </c>
      <c r="T239" t="s">
        <v>4616</v>
      </c>
      <c r="U239" t="s">
        <v>4617</v>
      </c>
      <c r="V239" t="s">
        <v>4618</v>
      </c>
      <c r="W239" t="s">
        <v>4619</v>
      </c>
      <c r="X239" t="s">
        <v>4620</v>
      </c>
      <c r="Y239" t="s">
        <v>4621</v>
      </c>
      <c r="Z239" t="s">
        <v>4622</v>
      </c>
      <c r="AA239" t="s">
        <v>4623</v>
      </c>
      <c r="AB239" t="s">
        <v>4624</v>
      </c>
      <c r="AC239" t="s">
        <v>4625</v>
      </c>
      <c r="AD239" t="s">
        <v>4626</v>
      </c>
      <c r="AE239" t="s">
        <v>4627</v>
      </c>
      <c r="AF239" t="s">
        <v>74</v>
      </c>
      <c r="AG239">
        <v>67</v>
      </c>
      <c r="AH239">
        <v>7</v>
      </c>
      <c r="AI239">
        <v>8</v>
      </c>
      <c r="AJ239">
        <v>1</v>
      </c>
      <c r="AK239">
        <v>8</v>
      </c>
      <c r="AL239" t="s">
        <v>3855</v>
      </c>
      <c r="AM239" t="s">
        <v>3856</v>
      </c>
      <c r="AN239" t="s">
        <v>3857</v>
      </c>
      <c r="AO239" t="s">
        <v>3858</v>
      </c>
      <c r="AP239" t="s">
        <v>3859</v>
      </c>
      <c r="AQ239" t="s">
        <v>74</v>
      </c>
      <c r="AR239" t="s">
        <v>3843</v>
      </c>
      <c r="AS239" t="s">
        <v>3860</v>
      </c>
      <c r="AT239" t="s">
        <v>74</v>
      </c>
      <c r="AU239">
        <v>2016</v>
      </c>
      <c r="AV239">
        <v>53</v>
      </c>
      <c r="AW239">
        <v>3</v>
      </c>
      <c r="AX239" t="s">
        <v>74</v>
      </c>
      <c r="AY239" t="s">
        <v>74</v>
      </c>
      <c r="AZ239" t="s">
        <v>74</v>
      </c>
      <c r="BA239" t="s">
        <v>74</v>
      </c>
      <c r="BB239">
        <v>316</v>
      </c>
      <c r="BC239">
        <v>332</v>
      </c>
      <c r="BD239" t="s">
        <v>74</v>
      </c>
      <c r="BE239" t="s">
        <v>4628</v>
      </c>
      <c r="BF239" t="str">
        <f>HYPERLINK("http://dx.doi.org/10.5710/AMGH.14.09.2015.2934","http://dx.doi.org/10.5710/AMGH.14.09.2015.2934")</f>
        <v>http://dx.doi.org/10.5710/AMGH.14.09.2015.2934</v>
      </c>
      <c r="BG239" t="s">
        <v>74</v>
      </c>
      <c r="BH239" t="s">
        <v>74</v>
      </c>
      <c r="BI239">
        <v>17</v>
      </c>
      <c r="BJ239" t="s">
        <v>2542</v>
      </c>
      <c r="BK239" t="s">
        <v>264</v>
      </c>
      <c r="BL239" t="s">
        <v>2542</v>
      </c>
      <c r="BM239" t="s">
        <v>4566</v>
      </c>
      <c r="BN239" t="s">
        <v>74</v>
      </c>
      <c r="BO239" t="s">
        <v>74</v>
      </c>
      <c r="BP239" t="s">
        <v>74</v>
      </c>
      <c r="BQ239" t="s">
        <v>74</v>
      </c>
      <c r="BR239" t="s">
        <v>100</v>
      </c>
      <c r="BS239" t="s">
        <v>4629</v>
      </c>
      <c r="BT239" t="str">
        <f>HYPERLINK("https%3A%2F%2Fwww.webofscience.com%2Fwos%2Fwoscc%2Ffull-record%2FWOS:000377529400006","View Full Record in Web of Science")</f>
        <v>View Full Record in Web of Science</v>
      </c>
    </row>
    <row r="240" spans="1:72" x14ac:dyDescent="0.15">
      <c r="A240" t="s">
        <v>72</v>
      </c>
      <c r="B240" t="s">
        <v>4630</v>
      </c>
      <c r="C240" t="s">
        <v>74</v>
      </c>
      <c r="D240" t="s">
        <v>74</v>
      </c>
      <c r="E240" t="s">
        <v>74</v>
      </c>
      <c r="F240" t="s">
        <v>4631</v>
      </c>
      <c r="G240" t="s">
        <v>74</v>
      </c>
      <c r="H240" t="s">
        <v>74</v>
      </c>
      <c r="I240" t="s">
        <v>4632</v>
      </c>
      <c r="J240" t="s">
        <v>3843</v>
      </c>
      <c r="K240" t="s">
        <v>74</v>
      </c>
      <c r="L240" t="s">
        <v>74</v>
      </c>
      <c r="M240" t="s">
        <v>200</v>
      </c>
      <c r="N240" t="s">
        <v>79</v>
      </c>
      <c r="O240" t="s">
        <v>74</v>
      </c>
      <c r="P240" t="s">
        <v>74</v>
      </c>
      <c r="Q240" t="s">
        <v>74</v>
      </c>
      <c r="R240" t="s">
        <v>74</v>
      </c>
      <c r="S240" t="s">
        <v>74</v>
      </c>
      <c r="T240" t="s">
        <v>4633</v>
      </c>
      <c r="U240" t="s">
        <v>4634</v>
      </c>
      <c r="V240" t="s">
        <v>4635</v>
      </c>
      <c r="W240" t="s">
        <v>4636</v>
      </c>
      <c r="X240" t="s">
        <v>4637</v>
      </c>
      <c r="Y240" t="s">
        <v>4638</v>
      </c>
      <c r="Z240" t="s">
        <v>4639</v>
      </c>
      <c r="AA240" t="s">
        <v>74</v>
      </c>
      <c r="AB240" t="s">
        <v>74</v>
      </c>
      <c r="AC240" t="s">
        <v>4640</v>
      </c>
      <c r="AD240" t="s">
        <v>74</v>
      </c>
      <c r="AE240" t="s">
        <v>4641</v>
      </c>
      <c r="AF240" t="s">
        <v>74</v>
      </c>
      <c r="AG240">
        <v>113</v>
      </c>
      <c r="AH240">
        <v>4</v>
      </c>
      <c r="AI240">
        <v>5</v>
      </c>
      <c r="AJ240">
        <v>0</v>
      </c>
      <c r="AK240">
        <v>3</v>
      </c>
      <c r="AL240" t="s">
        <v>3855</v>
      </c>
      <c r="AM240" t="s">
        <v>3856</v>
      </c>
      <c r="AN240" t="s">
        <v>3857</v>
      </c>
      <c r="AO240" t="s">
        <v>3858</v>
      </c>
      <c r="AP240" t="s">
        <v>3859</v>
      </c>
      <c r="AQ240" t="s">
        <v>74</v>
      </c>
      <c r="AR240" t="s">
        <v>3843</v>
      </c>
      <c r="AS240" t="s">
        <v>3860</v>
      </c>
      <c r="AT240" t="s">
        <v>74</v>
      </c>
      <c r="AU240">
        <v>2016</v>
      </c>
      <c r="AV240">
        <v>53</v>
      </c>
      <c r="AW240">
        <v>3</v>
      </c>
      <c r="AX240" t="s">
        <v>74</v>
      </c>
      <c r="AY240" t="s">
        <v>74</v>
      </c>
      <c r="AZ240" t="s">
        <v>74</v>
      </c>
      <c r="BA240" t="s">
        <v>74</v>
      </c>
      <c r="BB240">
        <v>333</v>
      </c>
      <c r="BC240">
        <v>357</v>
      </c>
      <c r="BD240" t="s">
        <v>74</v>
      </c>
      <c r="BE240" t="s">
        <v>4642</v>
      </c>
      <c r="BF240" t="str">
        <f>HYPERLINK("http://dx.doi.org/10.5710/AMGH.27.01.2016.2963","http://dx.doi.org/10.5710/AMGH.27.01.2016.2963")</f>
        <v>http://dx.doi.org/10.5710/AMGH.27.01.2016.2963</v>
      </c>
      <c r="BG240" t="s">
        <v>74</v>
      </c>
      <c r="BH240" t="s">
        <v>74</v>
      </c>
      <c r="BI240">
        <v>25</v>
      </c>
      <c r="BJ240" t="s">
        <v>2542</v>
      </c>
      <c r="BK240" t="s">
        <v>264</v>
      </c>
      <c r="BL240" t="s">
        <v>2542</v>
      </c>
      <c r="BM240" t="s">
        <v>4566</v>
      </c>
      <c r="BN240" t="s">
        <v>74</v>
      </c>
      <c r="BO240" t="s">
        <v>74</v>
      </c>
      <c r="BP240" t="s">
        <v>74</v>
      </c>
      <c r="BQ240" t="s">
        <v>74</v>
      </c>
      <c r="BR240" t="s">
        <v>100</v>
      </c>
      <c r="BS240" t="s">
        <v>4643</v>
      </c>
      <c r="BT240" t="str">
        <f>HYPERLINK("https%3A%2F%2Fwww.webofscience.com%2Fwos%2Fwoscc%2Ffull-record%2FWOS:000377529400007","View Full Record in Web of Science")</f>
        <v>View Full Record in Web of Science</v>
      </c>
    </row>
    <row r="241" spans="1:72" x14ac:dyDescent="0.15">
      <c r="A241" t="s">
        <v>72</v>
      </c>
      <c r="B241" t="s">
        <v>4644</v>
      </c>
      <c r="C241" t="s">
        <v>74</v>
      </c>
      <c r="D241" t="s">
        <v>74</v>
      </c>
      <c r="E241" t="s">
        <v>74</v>
      </c>
      <c r="F241" t="s">
        <v>4645</v>
      </c>
      <c r="G241" t="s">
        <v>74</v>
      </c>
      <c r="H241" t="s">
        <v>74</v>
      </c>
      <c r="I241" t="s">
        <v>4646</v>
      </c>
      <c r="J241" t="s">
        <v>3843</v>
      </c>
      <c r="K241" t="s">
        <v>74</v>
      </c>
      <c r="L241" t="s">
        <v>74</v>
      </c>
      <c r="M241" t="s">
        <v>200</v>
      </c>
      <c r="N241" t="s">
        <v>79</v>
      </c>
      <c r="O241" t="s">
        <v>74</v>
      </c>
      <c r="P241" t="s">
        <v>74</v>
      </c>
      <c r="Q241" t="s">
        <v>74</v>
      </c>
      <c r="R241" t="s">
        <v>74</v>
      </c>
      <c r="S241" t="s">
        <v>74</v>
      </c>
      <c r="T241" t="s">
        <v>4647</v>
      </c>
      <c r="U241" t="s">
        <v>4648</v>
      </c>
      <c r="V241" t="s">
        <v>4649</v>
      </c>
      <c r="W241" t="s">
        <v>4650</v>
      </c>
      <c r="X241" t="s">
        <v>4651</v>
      </c>
      <c r="Y241" t="s">
        <v>4652</v>
      </c>
      <c r="Z241" t="s">
        <v>4653</v>
      </c>
      <c r="AA241" t="s">
        <v>74</v>
      </c>
      <c r="AB241" t="s">
        <v>4654</v>
      </c>
      <c r="AC241" t="s">
        <v>4655</v>
      </c>
      <c r="AD241" t="s">
        <v>4656</v>
      </c>
      <c r="AE241" t="s">
        <v>4657</v>
      </c>
      <c r="AF241" t="s">
        <v>74</v>
      </c>
      <c r="AG241">
        <v>110</v>
      </c>
      <c r="AH241">
        <v>11</v>
      </c>
      <c r="AI241">
        <v>11</v>
      </c>
      <c r="AJ241">
        <v>1</v>
      </c>
      <c r="AK241">
        <v>8</v>
      </c>
      <c r="AL241" t="s">
        <v>3855</v>
      </c>
      <c r="AM241" t="s">
        <v>3856</v>
      </c>
      <c r="AN241" t="s">
        <v>3857</v>
      </c>
      <c r="AO241" t="s">
        <v>3858</v>
      </c>
      <c r="AP241" t="s">
        <v>3859</v>
      </c>
      <c r="AQ241" t="s">
        <v>74</v>
      </c>
      <c r="AR241" t="s">
        <v>3843</v>
      </c>
      <c r="AS241" t="s">
        <v>3860</v>
      </c>
      <c r="AT241" t="s">
        <v>74</v>
      </c>
      <c r="AU241">
        <v>2016</v>
      </c>
      <c r="AV241">
        <v>53</v>
      </c>
      <c r="AW241">
        <v>3</v>
      </c>
      <c r="AX241" t="s">
        <v>74</v>
      </c>
      <c r="AY241" t="s">
        <v>74</v>
      </c>
      <c r="AZ241" t="s">
        <v>74</v>
      </c>
      <c r="BA241" t="s">
        <v>74</v>
      </c>
      <c r="BB241">
        <v>358</v>
      </c>
      <c r="BC241">
        <v>374</v>
      </c>
      <c r="BD241" t="s">
        <v>74</v>
      </c>
      <c r="BE241" t="s">
        <v>4658</v>
      </c>
      <c r="BF241" t="str">
        <f>HYPERLINK("http://dx.doi.org/10.5710/AMGH.17.02.2016.2930","http://dx.doi.org/10.5710/AMGH.17.02.2016.2930")</f>
        <v>http://dx.doi.org/10.5710/AMGH.17.02.2016.2930</v>
      </c>
      <c r="BG241" t="s">
        <v>74</v>
      </c>
      <c r="BH241" t="s">
        <v>74</v>
      </c>
      <c r="BI241">
        <v>17</v>
      </c>
      <c r="BJ241" t="s">
        <v>2542</v>
      </c>
      <c r="BK241" t="s">
        <v>264</v>
      </c>
      <c r="BL241" t="s">
        <v>2542</v>
      </c>
      <c r="BM241" t="s">
        <v>4566</v>
      </c>
      <c r="BN241" t="s">
        <v>74</v>
      </c>
      <c r="BO241" t="s">
        <v>241</v>
      </c>
      <c r="BP241" t="s">
        <v>74</v>
      </c>
      <c r="BQ241" t="s">
        <v>74</v>
      </c>
      <c r="BR241" t="s">
        <v>100</v>
      </c>
      <c r="BS241" t="s">
        <v>4659</v>
      </c>
      <c r="BT241" t="str">
        <f>HYPERLINK("https%3A%2F%2Fwww.webofscience.com%2Fwos%2Fwoscc%2Ffull-record%2FWOS:000377529400008","View Full Record in Web of Science")</f>
        <v>View Full Record in Web of Science</v>
      </c>
    </row>
    <row r="242" spans="1:72" x14ac:dyDescent="0.15">
      <c r="A242" t="s">
        <v>72</v>
      </c>
      <c r="B242" t="s">
        <v>4660</v>
      </c>
      <c r="C242" t="s">
        <v>74</v>
      </c>
      <c r="D242" t="s">
        <v>74</v>
      </c>
      <c r="E242" t="s">
        <v>74</v>
      </c>
      <c r="F242" t="s">
        <v>4661</v>
      </c>
      <c r="G242" t="s">
        <v>74</v>
      </c>
      <c r="H242" t="s">
        <v>74</v>
      </c>
      <c r="I242" t="s">
        <v>4662</v>
      </c>
      <c r="J242" t="s">
        <v>3843</v>
      </c>
      <c r="K242" t="s">
        <v>74</v>
      </c>
      <c r="L242" t="s">
        <v>74</v>
      </c>
      <c r="M242" t="s">
        <v>200</v>
      </c>
      <c r="N242" t="s">
        <v>79</v>
      </c>
      <c r="O242" t="s">
        <v>74</v>
      </c>
      <c r="P242" t="s">
        <v>74</v>
      </c>
      <c r="Q242" t="s">
        <v>74</v>
      </c>
      <c r="R242" t="s">
        <v>74</v>
      </c>
      <c r="S242" t="s">
        <v>74</v>
      </c>
      <c r="T242" t="s">
        <v>4663</v>
      </c>
      <c r="U242" t="s">
        <v>4664</v>
      </c>
      <c r="V242" t="s">
        <v>4665</v>
      </c>
      <c r="W242" t="s">
        <v>4666</v>
      </c>
      <c r="X242" t="s">
        <v>3852</v>
      </c>
      <c r="Y242" t="s">
        <v>4667</v>
      </c>
      <c r="Z242" t="s">
        <v>4668</v>
      </c>
      <c r="AA242" t="s">
        <v>4669</v>
      </c>
      <c r="AB242" t="s">
        <v>74</v>
      </c>
      <c r="AC242" t="s">
        <v>4670</v>
      </c>
      <c r="AD242" t="s">
        <v>4671</v>
      </c>
      <c r="AE242" t="s">
        <v>4672</v>
      </c>
      <c r="AF242" t="s">
        <v>74</v>
      </c>
      <c r="AG242">
        <v>55</v>
      </c>
      <c r="AH242">
        <v>7</v>
      </c>
      <c r="AI242">
        <v>7</v>
      </c>
      <c r="AJ242">
        <v>0</v>
      </c>
      <c r="AK242">
        <v>2</v>
      </c>
      <c r="AL242" t="s">
        <v>3855</v>
      </c>
      <c r="AM242" t="s">
        <v>3856</v>
      </c>
      <c r="AN242" t="s">
        <v>3857</v>
      </c>
      <c r="AO242" t="s">
        <v>3858</v>
      </c>
      <c r="AP242" t="s">
        <v>3859</v>
      </c>
      <c r="AQ242" t="s">
        <v>74</v>
      </c>
      <c r="AR242" t="s">
        <v>3843</v>
      </c>
      <c r="AS242" t="s">
        <v>3860</v>
      </c>
      <c r="AT242" t="s">
        <v>74</v>
      </c>
      <c r="AU242">
        <v>2016</v>
      </c>
      <c r="AV242">
        <v>53</v>
      </c>
      <c r="AW242">
        <v>3</v>
      </c>
      <c r="AX242" t="s">
        <v>74</v>
      </c>
      <c r="AY242" t="s">
        <v>74</v>
      </c>
      <c r="AZ242" t="s">
        <v>74</v>
      </c>
      <c r="BA242" t="s">
        <v>74</v>
      </c>
      <c r="BB242">
        <v>375</v>
      </c>
      <c r="BC242">
        <v>396</v>
      </c>
      <c r="BD242" t="s">
        <v>74</v>
      </c>
      <c r="BE242" t="s">
        <v>4673</v>
      </c>
      <c r="BF242" t="str">
        <f>HYPERLINK("http://dx.doi.org/10.5710/AMGH.29.02.2016.2972","http://dx.doi.org/10.5710/AMGH.29.02.2016.2972")</f>
        <v>http://dx.doi.org/10.5710/AMGH.29.02.2016.2972</v>
      </c>
      <c r="BG242" t="s">
        <v>74</v>
      </c>
      <c r="BH242" t="s">
        <v>74</v>
      </c>
      <c r="BI242">
        <v>22</v>
      </c>
      <c r="BJ242" t="s">
        <v>2542</v>
      </c>
      <c r="BK242" t="s">
        <v>264</v>
      </c>
      <c r="BL242" t="s">
        <v>2542</v>
      </c>
      <c r="BM242" t="s">
        <v>4566</v>
      </c>
      <c r="BN242" t="s">
        <v>74</v>
      </c>
      <c r="BO242" t="s">
        <v>74</v>
      </c>
      <c r="BP242" t="s">
        <v>74</v>
      </c>
      <c r="BQ242" t="s">
        <v>74</v>
      </c>
      <c r="BR242" t="s">
        <v>100</v>
      </c>
      <c r="BS242" t="s">
        <v>4674</v>
      </c>
      <c r="BT242" t="str">
        <f>HYPERLINK("https%3A%2F%2Fwww.webofscience.com%2Fwos%2Fwoscc%2Ffull-record%2FWOS:000377529400009","View Full Record in Web of Science")</f>
        <v>View Full Record in Web of Science</v>
      </c>
    </row>
    <row r="243" spans="1:72" x14ac:dyDescent="0.15">
      <c r="A243" t="s">
        <v>193</v>
      </c>
      <c r="B243" t="s">
        <v>4675</v>
      </c>
      <c r="C243" t="s">
        <v>74</v>
      </c>
      <c r="D243" t="s">
        <v>4676</v>
      </c>
      <c r="E243" t="s">
        <v>74</v>
      </c>
      <c r="F243" t="s">
        <v>4677</v>
      </c>
      <c r="G243" t="s">
        <v>74</v>
      </c>
      <c r="H243" t="s">
        <v>74</v>
      </c>
      <c r="I243" t="s">
        <v>4678</v>
      </c>
      <c r="J243" t="s">
        <v>4679</v>
      </c>
      <c r="K243" t="s">
        <v>4680</v>
      </c>
      <c r="L243" t="s">
        <v>74</v>
      </c>
      <c r="M243" t="s">
        <v>200</v>
      </c>
      <c r="N243" t="s">
        <v>201</v>
      </c>
      <c r="O243" t="s">
        <v>74</v>
      </c>
      <c r="P243" t="s">
        <v>74</v>
      </c>
      <c r="Q243" t="s">
        <v>74</v>
      </c>
      <c r="R243" t="s">
        <v>74</v>
      </c>
      <c r="S243" t="s">
        <v>74</v>
      </c>
      <c r="T243" t="s">
        <v>74</v>
      </c>
      <c r="U243" t="s">
        <v>4681</v>
      </c>
      <c r="V243" t="s">
        <v>4682</v>
      </c>
      <c r="W243" t="s">
        <v>4683</v>
      </c>
      <c r="X243" t="s">
        <v>4684</v>
      </c>
      <c r="Y243" t="s">
        <v>4685</v>
      </c>
      <c r="Z243" t="s">
        <v>4686</v>
      </c>
      <c r="AA243" t="s">
        <v>4687</v>
      </c>
      <c r="AB243" t="s">
        <v>4688</v>
      </c>
      <c r="AC243" t="s">
        <v>74</v>
      </c>
      <c r="AD243" t="s">
        <v>74</v>
      </c>
      <c r="AE243" t="s">
        <v>74</v>
      </c>
      <c r="AF243" t="s">
        <v>74</v>
      </c>
      <c r="AG243">
        <v>192</v>
      </c>
      <c r="AH243">
        <v>4</v>
      </c>
      <c r="AI243">
        <v>4</v>
      </c>
      <c r="AJ243">
        <v>0</v>
      </c>
      <c r="AK243">
        <v>0</v>
      </c>
      <c r="AL243" t="s">
        <v>4689</v>
      </c>
      <c r="AM243" t="s">
        <v>4690</v>
      </c>
      <c r="AN243" t="s">
        <v>4691</v>
      </c>
      <c r="AO243" t="s">
        <v>4692</v>
      </c>
      <c r="AP243" t="s">
        <v>74</v>
      </c>
      <c r="AQ243" t="s">
        <v>4693</v>
      </c>
      <c r="AR243" t="s">
        <v>4694</v>
      </c>
      <c r="AS243" t="s">
        <v>4695</v>
      </c>
      <c r="AT243" t="s">
        <v>74</v>
      </c>
      <c r="AU243">
        <v>2016</v>
      </c>
      <c r="AV243">
        <v>430</v>
      </c>
      <c r="AW243" t="s">
        <v>74</v>
      </c>
      <c r="AX243" t="s">
        <v>74</v>
      </c>
      <c r="AY243" t="s">
        <v>74</v>
      </c>
      <c r="AZ243" t="s">
        <v>74</v>
      </c>
      <c r="BA243" t="s">
        <v>74</v>
      </c>
      <c r="BB243">
        <v>261</v>
      </c>
      <c r="BC243">
        <v>288</v>
      </c>
      <c r="BD243" t="s">
        <v>74</v>
      </c>
      <c r="BE243" t="s">
        <v>4696</v>
      </c>
      <c r="BF243" t="str">
        <f>HYPERLINK("http://dx.doi.org/10.1144/SP430.15","http://dx.doi.org/10.1144/SP430.15")</f>
        <v>http://dx.doi.org/10.1144/SP430.15</v>
      </c>
      <c r="BG243" t="s">
        <v>4697</v>
      </c>
      <c r="BH243" t="s">
        <v>74</v>
      </c>
      <c r="BI243">
        <v>28</v>
      </c>
      <c r="BJ243" t="s">
        <v>4698</v>
      </c>
      <c r="BK243" t="s">
        <v>216</v>
      </c>
      <c r="BL243" t="s">
        <v>4698</v>
      </c>
      <c r="BM243" t="s">
        <v>4699</v>
      </c>
      <c r="BN243" t="s">
        <v>74</v>
      </c>
      <c r="BO243" t="s">
        <v>74</v>
      </c>
      <c r="BP243" t="s">
        <v>74</v>
      </c>
      <c r="BQ243" t="s">
        <v>74</v>
      </c>
      <c r="BR243" t="s">
        <v>100</v>
      </c>
      <c r="BS243" t="s">
        <v>4700</v>
      </c>
      <c r="BT243" t="str">
        <f>HYPERLINK("https%3A%2F%2Fwww.webofscience.com%2Fwos%2Fwoscc%2Ffull-record%2FWOS:000377566400015","View Full Record in Web of Science")</f>
        <v>View Full Record in Web of Science</v>
      </c>
    </row>
    <row r="244" spans="1:72" x14ac:dyDescent="0.15">
      <c r="A244" t="s">
        <v>72</v>
      </c>
      <c r="B244" t="s">
        <v>4701</v>
      </c>
      <c r="C244" t="s">
        <v>74</v>
      </c>
      <c r="D244" t="s">
        <v>74</v>
      </c>
      <c r="E244" t="s">
        <v>74</v>
      </c>
      <c r="F244" t="s">
        <v>4702</v>
      </c>
      <c r="G244" t="s">
        <v>74</v>
      </c>
      <c r="H244" t="s">
        <v>74</v>
      </c>
      <c r="I244" t="s">
        <v>4703</v>
      </c>
      <c r="J244" t="s">
        <v>3502</v>
      </c>
      <c r="K244" t="s">
        <v>74</v>
      </c>
      <c r="L244" t="s">
        <v>74</v>
      </c>
      <c r="M244" t="s">
        <v>200</v>
      </c>
      <c r="N244" t="s">
        <v>79</v>
      </c>
      <c r="O244" t="s">
        <v>74</v>
      </c>
      <c r="P244" t="s">
        <v>74</v>
      </c>
      <c r="Q244" t="s">
        <v>74</v>
      </c>
      <c r="R244" t="s">
        <v>74</v>
      </c>
      <c r="S244" t="s">
        <v>74</v>
      </c>
      <c r="T244" t="s">
        <v>74</v>
      </c>
      <c r="U244" t="s">
        <v>4704</v>
      </c>
      <c r="V244" t="s">
        <v>4705</v>
      </c>
      <c r="W244" t="s">
        <v>4706</v>
      </c>
      <c r="X244" t="s">
        <v>4707</v>
      </c>
      <c r="Y244" t="s">
        <v>4708</v>
      </c>
      <c r="Z244" t="s">
        <v>4709</v>
      </c>
      <c r="AA244" t="s">
        <v>4710</v>
      </c>
      <c r="AB244" t="s">
        <v>4711</v>
      </c>
      <c r="AC244" t="s">
        <v>4712</v>
      </c>
      <c r="AD244" t="s">
        <v>4713</v>
      </c>
      <c r="AE244" t="s">
        <v>4714</v>
      </c>
      <c r="AF244" t="s">
        <v>74</v>
      </c>
      <c r="AG244">
        <v>59</v>
      </c>
      <c r="AH244">
        <v>9</v>
      </c>
      <c r="AI244">
        <v>9</v>
      </c>
      <c r="AJ244">
        <v>0</v>
      </c>
      <c r="AK244">
        <v>31</v>
      </c>
      <c r="AL244" t="s">
        <v>358</v>
      </c>
      <c r="AM244" t="s">
        <v>359</v>
      </c>
      <c r="AN244" t="s">
        <v>3238</v>
      </c>
      <c r="AO244" t="s">
        <v>3514</v>
      </c>
      <c r="AP244" t="s">
        <v>3515</v>
      </c>
      <c r="AQ244" t="s">
        <v>74</v>
      </c>
      <c r="AR244" t="s">
        <v>3502</v>
      </c>
      <c r="AS244" t="s">
        <v>3516</v>
      </c>
      <c r="AT244" t="s">
        <v>74</v>
      </c>
      <c r="AU244">
        <v>2016</v>
      </c>
      <c r="AV244">
        <v>13</v>
      </c>
      <c r="AW244">
        <v>6</v>
      </c>
      <c r="AX244" t="s">
        <v>74</v>
      </c>
      <c r="AY244" t="s">
        <v>74</v>
      </c>
      <c r="AZ244" t="s">
        <v>74</v>
      </c>
      <c r="BA244" t="s">
        <v>74</v>
      </c>
      <c r="BB244">
        <v>1753</v>
      </c>
      <c r="BC244">
        <v>1765</v>
      </c>
      <c r="BD244" t="s">
        <v>74</v>
      </c>
      <c r="BE244" t="s">
        <v>4715</v>
      </c>
      <c r="BF244" t="str">
        <f>HYPERLINK("http://dx.doi.org/10.5194/bg-13-1753-2016","http://dx.doi.org/10.5194/bg-13-1753-2016")</f>
        <v>http://dx.doi.org/10.5194/bg-13-1753-2016</v>
      </c>
      <c r="BG244" t="s">
        <v>74</v>
      </c>
      <c r="BH244" t="s">
        <v>74</v>
      </c>
      <c r="BI244">
        <v>13</v>
      </c>
      <c r="BJ244" t="s">
        <v>2839</v>
      </c>
      <c r="BK244" t="s">
        <v>264</v>
      </c>
      <c r="BL244" t="s">
        <v>2840</v>
      </c>
      <c r="BM244" t="s">
        <v>4716</v>
      </c>
      <c r="BN244" t="s">
        <v>74</v>
      </c>
      <c r="BO244" t="s">
        <v>4448</v>
      </c>
      <c r="BP244" t="s">
        <v>74</v>
      </c>
      <c r="BQ244" t="s">
        <v>74</v>
      </c>
      <c r="BR244" t="s">
        <v>100</v>
      </c>
      <c r="BS244" t="s">
        <v>4717</v>
      </c>
      <c r="BT244" t="str">
        <f>HYPERLINK("https%3A%2F%2Fwww.webofscience.com%2Fwos%2Fwoscc%2Ffull-record%2FWOS:000377274100003","View Full Record in Web of Science")</f>
        <v>View Full Record in Web of Science</v>
      </c>
    </row>
    <row r="245" spans="1:72" x14ac:dyDescent="0.15">
      <c r="A245" t="s">
        <v>193</v>
      </c>
      <c r="B245" t="s">
        <v>4718</v>
      </c>
      <c r="C245" t="s">
        <v>74</v>
      </c>
      <c r="D245" t="s">
        <v>4719</v>
      </c>
      <c r="E245" t="s">
        <v>74</v>
      </c>
      <c r="F245" t="s">
        <v>4720</v>
      </c>
      <c r="G245" t="s">
        <v>74</v>
      </c>
      <c r="H245" t="s">
        <v>74</v>
      </c>
      <c r="I245" t="s">
        <v>4721</v>
      </c>
      <c r="J245" t="s">
        <v>4722</v>
      </c>
      <c r="K245" t="s">
        <v>4723</v>
      </c>
      <c r="L245" t="s">
        <v>74</v>
      </c>
      <c r="M245" t="s">
        <v>200</v>
      </c>
      <c r="N245" t="s">
        <v>201</v>
      </c>
      <c r="O245" t="s">
        <v>74</v>
      </c>
      <c r="P245" t="s">
        <v>74</v>
      </c>
      <c r="Q245" t="s">
        <v>74</v>
      </c>
      <c r="R245" t="s">
        <v>74</v>
      </c>
      <c r="S245" t="s">
        <v>74</v>
      </c>
      <c r="T245" t="s">
        <v>74</v>
      </c>
      <c r="U245" t="s">
        <v>4724</v>
      </c>
      <c r="V245" t="s">
        <v>4725</v>
      </c>
      <c r="W245" t="s">
        <v>4726</v>
      </c>
      <c r="X245" t="s">
        <v>4727</v>
      </c>
      <c r="Y245" t="s">
        <v>4728</v>
      </c>
      <c r="Z245" t="s">
        <v>4729</v>
      </c>
      <c r="AA245" t="s">
        <v>4730</v>
      </c>
      <c r="AB245" t="s">
        <v>4731</v>
      </c>
      <c r="AC245" t="s">
        <v>74</v>
      </c>
      <c r="AD245" t="s">
        <v>74</v>
      </c>
      <c r="AE245" t="s">
        <v>74</v>
      </c>
      <c r="AF245" t="s">
        <v>74</v>
      </c>
      <c r="AG245">
        <v>79</v>
      </c>
      <c r="AH245">
        <v>10</v>
      </c>
      <c r="AI245">
        <v>10</v>
      </c>
      <c r="AJ245">
        <v>0</v>
      </c>
      <c r="AK245">
        <v>4</v>
      </c>
      <c r="AL245" t="s">
        <v>2353</v>
      </c>
      <c r="AM245" t="s">
        <v>2354</v>
      </c>
      <c r="AN245" t="s">
        <v>2355</v>
      </c>
      <c r="AO245" t="s">
        <v>4732</v>
      </c>
      <c r="AP245" t="s">
        <v>4733</v>
      </c>
      <c r="AQ245" t="s">
        <v>4734</v>
      </c>
      <c r="AR245" t="s">
        <v>4735</v>
      </c>
      <c r="AS245" t="s">
        <v>74</v>
      </c>
      <c r="AT245" t="s">
        <v>74</v>
      </c>
      <c r="AU245">
        <v>2016</v>
      </c>
      <c r="AV245">
        <v>13</v>
      </c>
      <c r="AW245" t="s">
        <v>74</v>
      </c>
      <c r="AX245" t="s">
        <v>74</v>
      </c>
      <c r="AY245" t="s">
        <v>74</v>
      </c>
      <c r="AZ245" t="s">
        <v>74</v>
      </c>
      <c r="BA245" t="s">
        <v>74</v>
      </c>
      <c r="BB245">
        <v>53</v>
      </c>
      <c r="BC245">
        <v>67</v>
      </c>
      <c r="BD245" t="s">
        <v>74</v>
      </c>
      <c r="BE245" t="s">
        <v>4736</v>
      </c>
      <c r="BF245" t="str">
        <f>HYPERLINK("http://dx.doi.org/10.1007/978-3-319-25121-9_2","http://dx.doi.org/10.1007/978-3-319-25121-9_2")</f>
        <v>http://dx.doi.org/10.1007/978-3-319-25121-9_2</v>
      </c>
      <c r="BG245" t="s">
        <v>4737</v>
      </c>
      <c r="BH245" t="s">
        <v>74</v>
      </c>
      <c r="BI245">
        <v>15</v>
      </c>
      <c r="BJ245" t="s">
        <v>4738</v>
      </c>
      <c r="BK245" t="s">
        <v>216</v>
      </c>
      <c r="BL245" t="s">
        <v>4739</v>
      </c>
      <c r="BM245" t="s">
        <v>4740</v>
      </c>
      <c r="BN245" t="s">
        <v>74</v>
      </c>
      <c r="BO245" t="s">
        <v>74</v>
      </c>
      <c r="BP245" t="s">
        <v>74</v>
      </c>
      <c r="BQ245" t="s">
        <v>74</v>
      </c>
      <c r="BR245" t="s">
        <v>100</v>
      </c>
      <c r="BS245" t="s">
        <v>4741</v>
      </c>
      <c r="BT245" t="str">
        <f>HYPERLINK("https%3A%2F%2Fwww.webofscience.com%2Fwos%2Fwoscc%2Ffull-record%2FWOS:000376129800003","View Full Record in Web of Science")</f>
        <v>View Full Record in Web of Science</v>
      </c>
    </row>
    <row r="246" spans="1:72" x14ac:dyDescent="0.15">
      <c r="A246" t="s">
        <v>72</v>
      </c>
      <c r="B246" t="s">
        <v>4742</v>
      </c>
      <c r="C246" t="s">
        <v>74</v>
      </c>
      <c r="D246" t="s">
        <v>74</v>
      </c>
      <c r="E246" t="s">
        <v>74</v>
      </c>
      <c r="F246" t="s">
        <v>4743</v>
      </c>
      <c r="G246" t="s">
        <v>74</v>
      </c>
      <c r="H246" t="s">
        <v>74</v>
      </c>
      <c r="I246" t="s">
        <v>4744</v>
      </c>
      <c r="J246" t="s">
        <v>3226</v>
      </c>
      <c r="K246" t="s">
        <v>74</v>
      </c>
      <c r="L246" t="s">
        <v>74</v>
      </c>
      <c r="M246" t="s">
        <v>200</v>
      </c>
      <c r="N246" t="s">
        <v>79</v>
      </c>
      <c r="O246" t="s">
        <v>74</v>
      </c>
      <c r="P246" t="s">
        <v>74</v>
      </c>
      <c r="Q246" t="s">
        <v>74</v>
      </c>
      <c r="R246" t="s">
        <v>74</v>
      </c>
      <c r="S246" t="s">
        <v>74</v>
      </c>
      <c r="T246" t="s">
        <v>74</v>
      </c>
      <c r="U246" t="s">
        <v>4745</v>
      </c>
      <c r="V246" t="s">
        <v>4746</v>
      </c>
      <c r="W246" t="s">
        <v>4747</v>
      </c>
      <c r="X246" t="s">
        <v>4748</v>
      </c>
      <c r="Y246" t="s">
        <v>4749</v>
      </c>
      <c r="Z246" t="s">
        <v>4750</v>
      </c>
      <c r="AA246" t="s">
        <v>74</v>
      </c>
      <c r="AB246" t="s">
        <v>4751</v>
      </c>
      <c r="AC246" t="s">
        <v>4752</v>
      </c>
      <c r="AD246" t="s">
        <v>4753</v>
      </c>
      <c r="AE246" t="s">
        <v>4754</v>
      </c>
      <c r="AF246" t="s">
        <v>74</v>
      </c>
      <c r="AG246">
        <v>70</v>
      </c>
      <c r="AH246">
        <v>28</v>
      </c>
      <c r="AI246">
        <v>28</v>
      </c>
      <c r="AJ246">
        <v>2</v>
      </c>
      <c r="AK246">
        <v>18</v>
      </c>
      <c r="AL246" t="s">
        <v>358</v>
      </c>
      <c r="AM246" t="s">
        <v>359</v>
      </c>
      <c r="AN246" t="s">
        <v>3238</v>
      </c>
      <c r="AO246" t="s">
        <v>3239</v>
      </c>
      <c r="AP246" t="s">
        <v>3240</v>
      </c>
      <c r="AQ246" t="s">
        <v>74</v>
      </c>
      <c r="AR246" t="s">
        <v>3241</v>
      </c>
      <c r="AS246" t="s">
        <v>3242</v>
      </c>
      <c r="AT246" t="s">
        <v>74</v>
      </c>
      <c r="AU246">
        <v>2016</v>
      </c>
      <c r="AV246">
        <v>16</v>
      </c>
      <c r="AW246">
        <v>8</v>
      </c>
      <c r="AX246" t="s">
        <v>74</v>
      </c>
      <c r="AY246" t="s">
        <v>74</v>
      </c>
      <c r="AZ246" t="s">
        <v>74</v>
      </c>
      <c r="BA246" t="s">
        <v>74</v>
      </c>
      <c r="BB246">
        <v>4757</v>
      </c>
      <c r="BC246">
        <v>4770</v>
      </c>
      <c r="BD246" t="s">
        <v>74</v>
      </c>
      <c r="BE246" t="s">
        <v>4755</v>
      </c>
      <c r="BF246" t="str">
        <f>HYPERLINK("http://dx.doi.org/10.5194/acp-16-4757-2016","http://dx.doi.org/10.5194/acp-16-4757-2016")</f>
        <v>http://dx.doi.org/10.5194/acp-16-4757-2016</v>
      </c>
      <c r="BG246" t="s">
        <v>74</v>
      </c>
      <c r="BH246" t="s">
        <v>74</v>
      </c>
      <c r="BI246">
        <v>14</v>
      </c>
      <c r="BJ246" t="s">
        <v>3244</v>
      </c>
      <c r="BK246" t="s">
        <v>264</v>
      </c>
      <c r="BL246" t="s">
        <v>3245</v>
      </c>
      <c r="BM246" t="s">
        <v>4756</v>
      </c>
      <c r="BN246" t="s">
        <v>74</v>
      </c>
      <c r="BO246" t="s">
        <v>2110</v>
      </c>
      <c r="BP246" t="s">
        <v>74</v>
      </c>
      <c r="BQ246" t="s">
        <v>74</v>
      </c>
      <c r="BR246" t="s">
        <v>100</v>
      </c>
      <c r="BS246" t="s">
        <v>4757</v>
      </c>
      <c r="BT246" t="str">
        <f>HYPERLINK("https%3A%2F%2Fwww.webofscience.com%2Fwos%2Fwoscc%2Ffull-record%2FWOS:000376937000001","View Full Record in Web of Science")</f>
        <v>View Full Record in Web of Science</v>
      </c>
    </row>
    <row r="247" spans="1:72" x14ac:dyDescent="0.15">
      <c r="A247" t="s">
        <v>72</v>
      </c>
      <c r="B247" t="s">
        <v>4758</v>
      </c>
      <c r="C247" t="s">
        <v>74</v>
      </c>
      <c r="D247" t="s">
        <v>74</v>
      </c>
      <c r="E247" t="s">
        <v>74</v>
      </c>
      <c r="F247" t="s">
        <v>4759</v>
      </c>
      <c r="G247" t="s">
        <v>74</v>
      </c>
      <c r="H247" t="s">
        <v>74</v>
      </c>
      <c r="I247" t="s">
        <v>4760</v>
      </c>
      <c r="J247" t="s">
        <v>4761</v>
      </c>
      <c r="K247" t="s">
        <v>74</v>
      </c>
      <c r="L247" t="s">
        <v>74</v>
      </c>
      <c r="M247" t="s">
        <v>200</v>
      </c>
      <c r="N247" t="s">
        <v>79</v>
      </c>
      <c r="O247" t="s">
        <v>74</v>
      </c>
      <c r="P247" t="s">
        <v>74</v>
      </c>
      <c r="Q247" t="s">
        <v>74</v>
      </c>
      <c r="R247" t="s">
        <v>74</v>
      </c>
      <c r="S247" t="s">
        <v>74</v>
      </c>
      <c r="T247" t="s">
        <v>4762</v>
      </c>
      <c r="U247" t="s">
        <v>4763</v>
      </c>
      <c r="V247" t="s">
        <v>4764</v>
      </c>
      <c r="W247" t="s">
        <v>4765</v>
      </c>
      <c r="X247" t="s">
        <v>4766</v>
      </c>
      <c r="Y247" t="s">
        <v>4767</v>
      </c>
      <c r="Z247" t="s">
        <v>4768</v>
      </c>
      <c r="AA247" t="s">
        <v>4769</v>
      </c>
      <c r="AB247" t="s">
        <v>4770</v>
      </c>
      <c r="AC247" t="s">
        <v>4771</v>
      </c>
      <c r="AD247" t="s">
        <v>4772</v>
      </c>
      <c r="AE247" t="s">
        <v>4773</v>
      </c>
      <c r="AF247" t="s">
        <v>74</v>
      </c>
      <c r="AG247">
        <v>26</v>
      </c>
      <c r="AH247">
        <v>2</v>
      </c>
      <c r="AI247">
        <v>2</v>
      </c>
      <c r="AJ247">
        <v>1</v>
      </c>
      <c r="AK247">
        <v>11</v>
      </c>
      <c r="AL247" t="s">
        <v>502</v>
      </c>
      <c r="AM247" t="s">
        <v>503</v>
      </c>
      <c r="AN247" t="s">
        <v>504</v>
      </c>
      <c r="AO247" t="s">
        <v>4774</v>
      </c>
      <c r="AP247" t="s">
        <v>4775</v>
      </c>
      <c r="AQ247" t="s">
        <v>74</v>
      </c>
      <c r="AR247" t="s">
        <v>4761</v>
      </c>
      <c r="AS247" t="s">
        <v>4776</v>
      </c>
      <c r="AT247" t="s">
        <v>74</v>
      </c>
      <c r="AU247">
        <v>2016</v>
      </c>
      <c r="AV247">
        <v>32</v>
      </c>
      <c r="AW247">
        <v>6</v>
      </c>
      <c r="AX247" t="s">
        <v>74</v>
      </c>
      <c r="AY247" t="s">
        <v>74</v>
      </c>
      <c r="AZ247" t="s">
        <v>74</v>
      </c>
      <c r="BA247" t="s">
        <v>74</v>
      </c>
      <c r="BB247">
        <v>685</v>
      </c>
      <c r="BC247">
        <v>697</v>
      </c>
      <c r="BD247" t="s">
        <v>74</v>
      </c>
      <c r="BE247" t="s">
        <v>4777</v>
      </c>
      <c r="BF247" t="str">
        <f>HYPERLINK("http://dx.doi.org/10.1080/08927014.2016.1184255","http://dx.doi.org/10.1080/08927014.2016.1184255")</f>
        <v>http://dx.doi.org/10.1080/08927014.2016.1184255</v>
      </c>
      <c r="BG247" t="s">
        <v>74</v>
      </c>
      <c r="BH247" t="s">
        <v>74</v>
      </c>
      <c r="BI247">
        <v>13</v>
      </c>
      <c r="BJ247" t="s">
        <v>4778</v>
      </c>
      <c r="BK247" t="s">
        <v>264</v>
      </c>
      <c r="BL247" t="s">
        <v>4778</v>
      </c>
      <c r="BM247" t="s">
        <v>4779</v>
      </c>
      <c r="BN247">
        <v>27244248</v>
      </c>
      <c r="BO247" t="s">
        <v>74</v>
      </c>
      <c r="BP247" t="s">
        <v>74</v>
      </c>
      <c r="BQ247" t="s">
        <v>74</v>
      </c>
      <c r="BR247" t="s">
        <v>100</v>
      </c>
      <c r="BS247" t="s">
        <v>4780</v>
      </c>
      <c r="BT247" t="str">
        <f>HYPERLINK("https%3A%2F%2Fwww.webofscience.com%2Fwos%2Fwoscc%2Ffull-record%2FWOS:000377117900007","View Full Record in Web of Science")</f>
        <v>View Full Record in Web of Science</v>
      </c>
    </row>
    <row r="248" spans="1:72" x14ac:dyDescent="0.15">
      <c r="A248" t="s">
        <v>72</v>
      </c>
      <c r="B248" t="s">
        <v>4781</v>
      </c>
      <c r="C248" t="s">
        <v>74</v>
      </c>
      <c r="D248" t="s">
        <v>74</v>
      </c>
      <c r="E248" t="s">
        <v>74</v>
      </c>
      <c r="F248" t="s">
        <v>4782</v>
      </c>
      <c r="G248" t="s">
        <v>74</v>
      </c>
      <c r="H248" t="s">
        <v>74</v>
      </c>
      <c r="I248" t="s">
        <v>4783</v>
      </c>
      <c r="J248" t="s">
        <v>4784</v>
      </c>
      <c r="K248" t="s">
        <v>74</v>
      </c>
      <c r="L248" t="s">
        <v>74</v>
      </c>
      <c r="M248" t="s">
        <v>200</v>
      </c>
      <c r="N248" t="s">
        <v>79</v>
      </c>
      <c r="O248" t="s">
        <v>74</v>
      </c>
      <c r="P248" t="s">
        <v>74</v>
      </c>
      <c r="Q248" t="s">
        <v>74</v>
      </c>
      <c r="R248" t="s">
        <v>74</v>
      </c>
      <c r="S248" t="s">
        <v>74</v>
      </c>
      <c r="T248" t="s">
        <v>74</v>
      </c>
      <c r="U248" t="s">
        <v>4785</v>
      </c>
      <c r="V248" t="s">
        <v>4786</v>
      </c>
      <c r="W248" t="s">
        <v>4787</v>
      </c>
      <c r="X248" t="s">
        <v>4788</v>
      </c>
      <c r="Y248" t="s">
        <v>4789</v>
      </c>
      <c r="Z248" t="s">
        <v>4790</v>
      </c>
      <c r="AA248" t="s">
        <v>4791</v>
      </c>
      <c r="AB248" t="s">
        <v>4792</v>
      </c>
      <c r="AC248" t="s">
        <v>74</v>
      </c>
      <c r="AD248" t="s">
        <v>74</v>
      </c>
      <c r="AE248" t="s">
        <v>74</v>
      </c>
      <c r="AF248" t="s">
        <v>74</v>
      </c>
      <c r="AG248">
        <v>42</v>
      </c>
      <c r="AH248">
        <v>14</v>
      </c>
      <c r="AI248">
        <v>14</v>
      </c>
      <c r="AJ248">
        <v>0</v>
      </c>
      <c r="AK248">
        <v>10</v>
      </c>
      <c r="AL248" t="s">
        <v>358</v>
      </c>
      <c r="AM248" t="s">
        <v>359</v>
      </c>
      <c r="AN248" t="s">
        <v>3238</v>
      </c>
      <c r="AO248" t="s">
        <v>4793</v>
      </c>
      <c r="AP248" t="s">
        <v>4794</v>
      </c>
      <c r="AQ248" t="s">
        <v>74</v>
      </c>
      <c r="AR248" t="s">
        <v>4795</v>
      </c>
      <c r="AS248" t="s">
        <v>4796</v>
      </c>
      <c r="AT248" t="s">
        <v>74</v>
      </c>
      <c r="AU248">
        <v>2016</v>
      </c>
      <c r="AV248">
        <v>7</v>
      </c>
      <c r="AW248">
        <v>1</v>
      </c>
      <c r="AX248" t="s">
        <v>74</v>
      </c>
      <c r="AY248" t="s">
        <v>74</v>
      </c>
      <c r="AZ248" t="s">
        <v>74</v>
      </c>
      <c r="BA248" t="s">
        <v>74</v>
      </c>
      <c r="BB248">
        <v>203</v>
      </c>
      <c r="BC248">
        <v>210</v>
      </c>
      <c r="BD248" t="s">
        <v>74</v>
      </c>
      <c r="BE248" t="s">
        <v>4797</v>
      </c>
      <c r="BF248" t="str">
        <f>HYPERLINK("http://dx.doi.org/10.5194/esd-7-203-2016","http://dx.doi.org/10.5194/esd-7-203-2016")</f>
        <v>http://dx.doi.org/10.5194/esd-7-203-2016</v>
      </c>
      <c r="BG248" t="s">
        <v>74</v>
      </c>
      <c r="BH248" t="s">
        <v>74</v>
      </c>
      <c r="BI248">
        <v>8</v>
      </c>
      <c r="BJ248" t="s">
        <v>95</v>
      </c>
      <c r="BK248" t="s">
        <v>264</v>
      </c>
      <c r="BL248" t="s">
        <v>97</v>
      </c>
      <c r="BM248" t="s">
        <v>4798</v>
      </c>
      <c r="BN248" t="s">
        <v>74</v>
      </c>
      <c r="BO248" t="s">
        <v>2134</v>
      </c>
      <c r="BP248" t="s">
        <v>74</v>
      </c>
      <c r="BQ248" t="s">
        <v>74</v>
      </c>
      <c r="BR248" t="s">
        <v>100</v>
      </c>
      <c r="BS248" t="s">
        <v>4799</v>
      </c>
      <c r="BT248" t="str">
        <f>HYPERLINK("https%3A%2F%2Fwww.webofscience.com%2Fwos%2Fwoscc%2Ffull-record%2FWOS:000377217200012","View Full Record in Web of Science")</f>
        <v>View Full Record in Web of Science</v>
      </c>
    </row>
    <row r="249" spans="1:72" x14ac:dyDescent="0.15">
      <c r="A249" t="s">
        <v>72</v>
      </c>
      <c r="B249" t="s">
        <v>4800</v>
      </c>
      <c r="C249" t="s">
        <v>74</v>
      </c>
      <c r="D249" t="s">
        <v>74</v>
      </c>
      <c r="E249" t="s">
        <v>74</v>
      </c>
      <c r="F249" t="s">
        <v>4801</v>
      </c>
      <c r="G249" t="s">
        <v>74</v>
      </c>
      <c r="H249" t="s">
        <v>74</v>
      </c>
      <c r="I249" t="s">
        <v>4802</v>
      </c>
      <c r="J249" t="s">
        <v>4153</v>
      </c>
      <c r="K249" t="s">
        <v>74</v>
      </c>
      <c r="L249" t="s">
        <v>74</v>
      </c>
      <c r="M249" t="s">
        <v>200</v>
      </c>
      <c r="N249" t="s">
        <v>79</v>
      </c>
      <c r="O249" t="s">
        <v>74</v>
      </c>
      <c r="P249" t="s">
        <v>74</v>
      </c>
      <c r="Q249" t="s">
        <v>74</v>
      </c>
      <c r="R249" t="s">
        <v>74</v>
      </c>
      <c r="S249" t="s">
        <v>74</v>
      </c>
      <c r="T249" t="s">
        <v>74</v>
      </c>
      <c r="U249" t="s">
        <v>4803</v>
      </c>
      <c r="V249" t="s">
        <v>4804</v>
      </c>
      <c r="W249" t="s">
        <v>4805</v>
      </c>
      <c r="X249" t="s">
        <v>4806</v>
      </c>
      <c r="Y249" t="s">
        <v>4807</v>
      </c>
      <c r="Z249" t="s">
        <v>4808</v>
      </c>
      <c r="AA249" t="s">
        <v>4809</v>
      </c>
      <c r="AB249" t="s">
        <v>4810</v>
      </c>
      <c r="AC249" t="s">
        <v>4811</v>
      </c>
      <c r="AD249" t="s">
        <v>4812</v>
      </c>
      <c r="AE249" t="s">
        <v>4813</v>
      </c>
      <c r="AF249" t="s">
        <v>74</v>
      </c>
      <c r="AG249">
        <v>127</v>
      </c>
      <c r="AH249">
        <v>54</v>
      </c>
      <c r="AI249">
        <v>56</v>
      </c>
      <c r="AJ249">
        <v>3</v>
      </c>
      <c r="AK249">
        <v>21</v>
      </c>
      <c r="AL249" t="s">
        <v>358</v>
      </c>
      <c r="AM249" t="s">
        <v>359</v>
      </c>
      <c r="AN249" t="s">
        <v>3238</v>
      </c>
      <c r="AO249" t="s">
        <v>4164</v>
      </c>
      <c r="AP249" t="s">
        <v>4165</v>
      </c>
      <c r="AQ249" t="s">
        <v>74</v>
      </c>
      <c r="AR249" t="s">
        <v>4166</v>
      </c>
      <c r="AS249" t="s">
        <v>4167</v>
      </c>
      <c r="AT249" t="s">
        <v>74</v>
      </c>
      <c r="AU249">
        <v>2016</v>
      </c>
      <c r="AV249">
        <v>9</v>
      </c>
      <c r="AW249">
        <v>2</v>
      </c>
      <c r="AX249" t="s">
        <v>74</v>
      </c>
      <c r="AY249" t="s">
        <v>74</v>
      </c>
      <c r="AZ249" t="s">
        <v>74</v>
      </c>
      <c r="BA249" t="s">
        <v>74</v>
      </c>
      <c r="BB249">
        <v>647</v>
      </c>
      <c r="BC249">
        <v>670</v>
      </c>
      <c r="BD249" t="s">
        <v>74</v>
      </c>
      <c r="BE249" t="s">
        <v>4814</v>
      </c>
      <c r="BF249" t="str">
        <f>HYPERLINK("http://dx.doi.org/10.5194/gmd-9-647-2016","http://dx.doi.org/10.5194/gmd-9-647-2016")</f>
        <v>http://dx.doi.org/10.5194/gmd-9-647-2016</v>
      </c>
      <c r="BG249" t="s">
        <v>74</v>
      </c>
      <c r="BH249" t="s">
        <v>74</v>
      </c>
      <c r="BI249">
        <v>24</v>
      </c>
      <c r="BJ249" t="s">
        <v>95</v>
      </c>
      <c r="BK249" t="s">
        <v>264</v>
      </c>
      <c r="BL249" t="s">
        <v>97</v>
      </c>
      <c r="BM249" t="s">
        <v>4815</v>
      </c>
      <c r="BN249" t="s">
        <v>74</v>
      </c>
      <c r="BO249" t="s">
        <v>4816</v>
      </c>
      <c r="BP249" t="s">
        <v>74</v>
      </c>
      <c r="BQ249" t="s">
        <v>74</v>
      </c>
      <c r="BR249" t="s">
        <v>100</v>
      </c>
      <c r="BS249" t="s">
        <v>4817</v>
      </c>
      <c r="BT249" t="str">
        <f>HYPERLINK("https%3A%2F%2Fwww.webofscience.com%2Fwos%2Fwoscc%2Ffull-record%2FWOS:000376933700010","View Full Record in Web of Science")</f>
        <v>View Full Record in Web of Science</v>
      </c>
    </row>
    <row r="250" spans="1:72" x14ac:dyDescent="0.15">
      <c r="A250" t="s">
        <v>72</v>
      </c>
      <c r="B250" t="s">
        <v>4818</v>
      </c>
      <c r="C250" t="s">
        <v>74</v>
      </c>
      <c r="D250" t="s">
        <v>74</v>
      </c>
      <c r="E250" t="s">
        <v>74</v>
      </c>
      <c r="F250" t="s">
        <v>4819</v>
      </c>
      <c r="G250" t="s">
        <v>74</v>
      </c>
      <c r="H250" t="s">
        <v>74</v>
      </c>
      <c r="I250" t="s">
        <v>4820</v>
      </c>
      <c r="J250" t="s">
        <v>4821</v>
      </c>
      <c r="K250" t="s">
        <v>74</v>
      </c>
      <c r="L250" t="s">
        <v>74</v>
      </c>
      <c r="M250" t="s">
        <v>200</v>
      </c>
      <c r="N250" t="s">
        <v>79</v>
      </c>
      <c r="O250" t="s">
        <v>74</v>
      </c>
      <c r="P250" t="s">
        <v>74</v>
      </c>
      <c r="Q250" t="s">
        <v>74</v>
      </c>
      <c r="R250" t="s">
        <v>74</v>
      </c>
      <c r="S250" t="s">
        <v>74</v>
      </c>
      <c r="T250" t="s">
        <v>4822</v>
      </c>
      <c r="U250" t="s">
        <v>4823</v>
      </c>
      <c r="V250" t="s">
        <v>4824</v>
      </c>
      <c r="W250" t="s">
        <v>4825</v>
      </c>
      <c r="X250" t="s">
        <v>228</v>
      </c>
      <c r="Y250" t="s">
        <v>4826</v>
      </c>
      <c r="Z250" t="s">
        <v>4827</v>
      </c>
      <c r="AA250" t="s">
        <v>4828</v>
      </c>
      <c r="AB250" t="s">
        <v>4829</v>
      </c>
      <c r="AC250" t="s">
        <v>4830</v>
      </c>
      <c r="AD250" t="s">
        <v>4831</v>
      </c>
      <c r="AE250" t="s">
        <v>4832</v>
      </c>
      <c r="AF250" t="s">
        <v>74</v>
      </c>
      <c r="AG250">
        <v>30</v>
      </c>
      <c r="AH250">
        <v>14</v>
      </c>
      <c r="AI250">
        <v>17</v>
      </c>
      <c r="AJ250">
        <v>1</v>
      </c>
      <c r="AK250">
        <v>27</v>
      </c>
      <c r="AL250" t="s">
        <v>502</v>
      </c>
      <c r="AM250" t="s">
        <v>503</v>
      </c>
      <c r="AN250" t="s">
        <v>504</v>
      </c>
      <c r="AO250" t="s">
        <v>4833</v>
      </c>
      <c r="AP250" t="s">
        <v>4834</v>
      </c>
      <c r="AQ250" t="s">
        <v>74</v>
      </c>
      <c r="AR250" t="s">
        <v>4835</v>
      </c>
      <c r="AS250" t="s">
        <v>4836</v>
      </c>
      <c r="AT250" t="s">
        <v>74</v>
      </c>
      <c r="AU250">
        <v>2016</v>
      </c>
      <c r="AV250">
        <v>96</v>
      </c>
      <c r="AW250">
        <v>2</v>
      </c>
      <c r="AX250" t="s">
        <v>74</v>
      </c>
      <c r="AY250" t="s">
        <v>74</v>
      </c>
      <c r="AZ250" t="s">
        <v>74</v>
      </c>
      <c r="BA250" t="s">
        <v>74</v>
      </c>
      <c r="BB250">
        <v>119</v>
      </c>
      <c r="BC250">
        <v>136</v>
      </c>
      <c r="BD250" t="s">
        <v>74</v>
      </c>
      <c r="BE250" t="s">
        <v>4837</v>
      </c>
      <c r="BF250" t="str">
        <f>HYPERLINK("http://dx.doi.org/10.1080/03067319.2015.1137904","http://dx.doi.org/10.1080/03067319.2015.1137904")</f>
        <v>http://dx.doi.org/10.1080/03067319.2015.1137904</v>
      </c>
      <c r="BG250" t="s">
        <v>74</v>
      </c>
      <c r="BH250" t="s">
        <v>74</v>
      </c>
      <c r="BI250">
        <v>18</v>
      </c>
      <c r="BJ250" t="s">
        <v>4838</v>
      </c>
      <c r="BK250" t="s">
        <v>264</v>
      </c>
      <c r="BL250" t="s">
        <v>4839</v>
      </c>
      <c r="BM250" t="s">
        <v>4840</v>
      </c>
      <c r="BN250" t="s">
        <v>74</v>
      </c>
      <c r="BO250" t="s">
        <v>74</v>
      </c>
      <c r="BP250" t="s">
        <v>74</v>
      </c>
      <c r="BQ250" t="s">
        <v>74</v>
      </c>
      <c r="BR250" t="s">
        <v>100</v>
      </c>
      <c r="BS250" t="s">
        <v>4841</v>
      </c>
      <c r="BT250" t="str">
        <f>HYPERLINK("https%3A%2F%2Fwww.webofscience.com%2Fwos%2Fwoscc%2Ffull-record%2FWOS:000376925800002","View Full Record in Web of Science")</f>
        <v>View Full Record in Web of Science</v>
      </c>
    </row>
    <row r="251" spans="1:72" x14ac:dyDescent="0.15">
      <c r="A251" t="s">
        <v>72</v>
      </c>
      <c r="B251" t="s">
        <v>4842</v>
      </c>
      <c r="C251" t="s">
        <v>74</v>
      </c>
      <c r="D251" t="s">
        <v>74</v>
      </c>
      <c r="E251" t="s">
        <v>74</v>
      </c>
      <c r="F251" t="s">
        <v>4843</v>
      </c>
      <c r="G251" t="s">
        <v>74</v>
      </c>
      <c r="H251" t="s">
        <v>74</v>
      </c>
      <c r="I251" t="s">
        <v>4844</v>
      </c>
      <c r="J251" t="s">
        <v>2226</v>
      </c>
      <c r="K251" t="s">
        <v>74</v>
      </c>
      <c r="L251" t="s">
        <v>74</v>
      </c>
      <c r="M251" t="s">
        <v>200</v>
      </c>
      <c r="N251" t="s">
        <v>79</v>
      </c>
      <c r="O251" t="s">
        <v>74</v>
      </c>
      <c r="P251" t="s">
        <v>74</v>
      </c>
      <c r="Q251" t="s">
        <v>74</v>
      </c>
      <c r="R251" t="s">
        <v>74</v>
      </c>
      <c r="S251" t="s">
        <v>74</v>
      </c>
      <c r="T251" t="s">
        <v>4845</v>
      </c>
      <c r="U251" t="s">
        <v>4846</v>
      </c>
      <c r="V251" t="s">
        <v>4847</v>
      </c>
      <c r="W251" t="s">
        <v>4848</v>
      </c>
      <c r="X251" t="s">
        <v>4849</v>
      </c>
      <c r="Y251" t="s">
        <v>4850</v>
      </c>
      <c r="Z251" t="s">
        <v>4851</v>
      </c>
      <c r="AA251" t="s">
        <v>4852</v>
      </c>
      <c r="AB251" t="s">
        <v>4853</v>
      </c>
      <c r="AC251" t="s">
        <v>4854</v>
      </c>
      <c r="AD251" t="s">
        <v>3367</v>
      </c>
      <c r="AE251" t="s">
        <v>4855</v>
      </c>
      <c r="AF251" t="s">
        <v>74</v>
      </c>
      <c r="AG251">
        <v>15</v>
      </c>
      <c r="AH251">
        <v>7</v>
      </c>
      <c r="AI251">
        <v>8</v>
      </c>
      <c r="AJ251">
        <v>1</v>
      </c>
      <c r="AK251">
        <v>6</v>
      </c>
      <c r="AL251" t="s">
        <v>2239</v>
      </c>
      <c r="AM251" t="s">
        <v>2240</v>
      </c>
      <c r="AN251" t="s">
        <v>2241</v>
      </c>
      <c r="AO251" t="s">
        <v>2242</v>
      </c>
      <c r="AP251" t="s">
        <v>2243</v>
      </c>
      <c r="AQ251" t="s">
        <v>74</v>
      </c>
      <c r="AR251" t="s">
        <v>2244</v>
      </c>
      <c r="AS251" t="s">
        <v>2245</v>
      </c>
      <c r="AT251" t="s">
        <v>74</v>
      </c>
      <c r="AU251">
        <v>2016</v>
      </c>
      <c r="AV251">
        <v>62</v>
      </c>
      <c r="AW251">
        <v>231</v>
      </c>
      <c r="AX251" t="s">
        <v>74</v>
      </c>
      <c r="AY251" t="s">
        <v>74</v>
      </c>
      <c r="AZ251" t="s">
        <v>74</v>
      </c>
      <c r="BA251" t="s">
        <v>74</v>
      </c>
      <c r="BB251">
        <v>31</v>
      </c>
      <c r="BC251">
        <v>36</v>
      </c>
      <c r="BD251" t="s">
        <v>74</v>
      </c>
      <c r="BE251" t="s">
        <v>4856</v>
      </c>
      <c r="BF251" t="str">
        <f>HYPERLINK("http://dx.doi.org/10.1017/jog.2016.5","http://dx.doi.org/10.1017/jog.2016.5")</f>
        <v>http://dx.doi.org/10.1017/jog.2016.5</v>
      </c>
      <c r="BG251" t="s">
        <v>74</v>
      </c>
      <c r="BH251" t="s">
        <v>74</v>
      </c>
      <c r="BI251">
        <v>6</v>
      </c>
      <c r="BJ251" t="s">
        <v>2247</v>
      </c>
      <c r="BK251" t="s">
        <v>264</v>
      </c>
      <c r="BL251" t="s">
        <v>2248</v>
      </c>
      <c r="BM251" t="s">
        <v>4857</v>
      </c>
      <c r="BN251" t="s">
        <v>74</v>
      </c>
      <c r="BO251" t="s">
        <v>99</v>
      </c>
      <c r="BP251" t="s">
        <v>74</v>
      </c>
      <c r="BQ251" t="s">
        <v>74</v>
      </c>
      <c r="BR251" t="s">
        <v>100</v>
      </c>
      <c r="BS251" t="s">
        <v>4858</v>
      </c>
      <c r="BT251" t="str">
        <f>HYPERLINK("https%3A%2F%2Fwww.webofscience.com%2Fwos%2Fwoscc%2Ffull-record%2FWOS:000376838400003","View Full Record in Web of Science")</f>
        <v>View Full Record in Web of Science</v>
      </c>
    </row>
    <row r="252" spans="1:72" x14ac:dyDescent="0.15">
      <c r="A252" t="s">
        <v>72</v>
      </c>
      <c r="B252" t="s">
        <v>4859</v>
      </c>
      <c r="C252" t="s">
        <v>74</v>
      </c>
      <c r="D252" t="s">
        <v>74</v>
      </c>
      <c r="E252" t="s">
        <v>74</v>
      </c>
      <c r="F252" t="s">
        <v>4860</v>
      </c>
      <c r="G252" t="s">
        <v>74</v>
      </c>
      <c r="H252" t="s">
        <v>74</v>
      </c>
      <c r="I252" t="s">
        <v>4861</v>
      </c>
      <c r="J252" t="s">
        <v>2226</v>
      </c>
      <c r="K252" t="s">
        <v>74</v>
      </c>
      <c r="L252" t="s">
        <v>74</v>
      </c>
      <c r="M252" t="s">
        <v>200</v>
      </c>
      <c r="N252" t="s">
        <v>79</v>
      </c>
      <c r="O252" t="s">
        <v>74</v>
      </c>
      <c r="P252" t="s">
        <v>74</v>
      </c>
      <c r="Q252" t="s">
        <v>74</v>
      </c>
      <c r="R252" t="s">
        <v>74</v>
      </c>
      <c r="S252" t="s">
        <v>74</v>
      </c>
      <c r="T252" t="s">
        <v>4862</v>
      </c>
      <c r="U252" t="s">
        <v>4863</v>
      </c>
      <c r="V252" t="s">
        <v>4864</v>
      </c>
      <c r="W252" t="s">
        <v>4865</v>
      </c>
      <c r="X252" t="s">
        <v>4866</v>
      </c>
      <c r="Y252" t="s">
        <v>4867</v>
      </c>
      <c r="Z252" t="s">
        <v>4868</v>
      </c>
      <c r="AA252" t="s">
        <v>4869</v>
      </c>
      <c r="AB252" t="s">
        <v>74</v>
      </c>
      <c r="AC252" t="s">
        <v>4870</v>
      </c>
      <c r="AD252" t="s">
        <v>4871</v>
      </c>
      <c r="AE252" t="s">
        <v>4872</v>
      </c>
      <c r="AF252" t="s">
        <v>74</v>
      </c>
      <c r="AG252">
        <v>19</v>
      </c>
      <c r="AH252">
        <v>2</v>
      </c>
      <c r="AI252">
        <v>3</v>
      </c>
      <c r="AJ252">
        <v>0</v>
      </c>
      <c r="AK252">
        <v>21</v>
      </c>
      <c r="AL252" t="s">
        <v>2239</v>
      </c>
      <c r="AM252" t="s">
        <v>2240</v>
      </c>
      <c r="AN252" t="s">
        <v>2241</v>
      </c>
      <c r="AO252" t="s">
        <v>2242</v>
      </c>
      <c r="AP252" t="s">
        <v>2243</v>
      </c>
      <c r="AQ252" t="s">
        <v>74</v>
      </c>
      <c r="AR252" t="s">
        <v>2244</v>
      </c>
      <c r="AS252" t="s">
        <v>2245</v>
      </c>
      <c r="AT252" t="s">
        <v>74</v>
      </c>
      <c r="AU252">
        <v>2016</v>
      </c>
      <c r="AV252">
        <v>62</v>
      </c>
      <c r="AW252">
        <v>231</v>
      </c>
      <c r="AX252" t="s">
        <v>74</v>
      </c>
      <c r="AY252" t="s">
        <v>74</v>
      </c>
      <c r="AZ252" t="s">
        <v>74</v>
      </c>
      <c r="BA252" t="s">
        <v>74</v>
      </c>
      <c r="BB252">
        <v>54</v>
      </c>
      <c r="BC252">
        <v>61</v>
      </c>
      <c r="BD252" t="s">
        <v>74</v>
      </c>
      <c r="BE252" t="s">
        <v>4873</v>
      </c>
      <c r="BF252" t="str">
        <f>HYPERLINK("http://dx.doi.org/10.1017/jog.2016.9","http://dx.doi.org/10.1017/jog.2016.9")</f>
        <v>http://dx.doi.org/10.1017/jog.2016.9</v>
      </c>
      <c r="BG252" t="s">
        <v>74</v>
      </c>
      <c r="BH252" t="s">
        <v>74</v>
      </c>
      <c r="BI252">
        <v>8</v>
      </c>
      <c r="BJ252" t="s">
        <v>2247</v>
      </c>
      <c r="BK252" t="s">
        <v>264</v>
      </c>
      <c r="BL252" t="s">
        <v>2248</v>
      </c>
      <c r="BM252" t="s">
        <v>4857</v>
      </c>
      <c r="BN252" t="s">
        <v>74</v>
      </c>
      <c r="BO252" t="s">
        <v>99</v>
      </c>
      <c r="BP252" t="s">
        <v>74</v>
      </c>
      <c r="BQ252" t="s">
        <v>74</v>
      </c>
      <c r="BR252" t="s">
        <v>100</v>
      </c>
      <c r="BS252" t="s">
        <v>4874</v>
      </c>
      <c r="BT252" t="str">
        <f>HYPERLINK("https%3A%2F%2Fwww.webofscience.com%2Fwos%2Fwoscc%2Ffull-record%2FWOS:000376838400006","View Full Record in Web of Science")</f>
        <v>View Full Record in Web of Science</v>
      </c>
    </row>
    <row r="253" spans="1:72" x14ac:dyDescent="0.15">
      <c r="A253" t="s">
        <v>219</v>
      </c>
      <c r="B253" t="s">
        <v>4875</v>
      </c>
      <c r="C253" t="s">
        <v>74</v>
      </c>
      <c r="D253" t="s">
        <v>4876</v>
      </c>
      <c r="E253" t="s">
        <v>74</v>
      </c>
      <c r="F253" t="s">
        <v>4877</v>
      </c>
      <c r="G253" t="s">
        <v>74</v>
      </c>
      <c r="H253" t="s">
        <v>74</v>
      </c>
      <c r="I253" t="s">
        <v>4878</v>
      </c>
      <c r="J253" t="s">
        <v>4879</v>
      </c>
      <c r="K253" t="s">
        <v>74</v>
      </c>
      <c r="L253" t="s">
        <v>74</v>
      </c>
      <c r="M253" t="s">
        <v>200</v>
      </c>
      <c r="N253" t="s">
        <v>201</v>
      </c>
      <c r="O253" t="s">
        <v>74</v>
      </c>
      <c r="P253" t="s">
        <v>74</v>
      </c>
      <c r="Q253" t="s">
        <v>74</v>
      </c>
      <c r="R253" t="s">
        <v>74</v>
      </c>
      <c r="S253" t="s">
        <v>74</v>
      </c>
      <c r="T253" t="s">
        <v>74</v>
      </c>
      <c r="U253" t="s">
        <v>4880</v>
      </c>
      <c r="V253" t="s">
        <v>74</v>
      </c>
      <c r="W253" t="s">
        <v>4881</v>
      </c>
      <c r="X253" t="s">
        <v>74</v>
      </c>
      <c r="Y253" t="s">
        <v>4882</v>
      </c>
      <c r="Z253" t="s">
        <v>74</v>
      </c>
      <c r="AA253" t="s">
        <v>4883</v>
      </c>
      <c r="AB253" t="s">
        <v>74</v>
      </c>
      <c r="AC253" t="s">
        <v>74</v>
      </c>
      <c r="AD253" t="s">
        <v>74</v>
      </c>
      <c r="AE253" t="s">
        <v>74</v>
      </c>
      <c r="AF253" t="s">
        <v>74</v>
      </c>
      <c r="AG253">
        <v>46</v>
      </c>
      <c r="AH253">
        <v>3</v>
      </c>
      <c r="AI253">
        <v>3</v>
      </c>
      <c r="AJ253">
        <v>0</v>
      </c>
      <c r="AK253">
        <v>4</v>
      </c>
      <c r="AL253" t="s">
        <v>4884</v>
      </c>
      <c r="AM253" t="s">
        <v>503</v>
      </c>
      <c r="AN253" t="s">
        <v>4885</v>
      </c>
      <c r="AO253" t="s">
        <v>74</v>
      </c>
      <c r="AP253" t="s">
        <v>74</v>
      </c>
      <c r="AQ253" t="s">
        <v>4886</v>
      </c>
      <c r="AR253" t="s">
        <v>74</v>
      </c>
      <c r="AS253" t="s">
        <v>74</v>
      </c>
      <c r="AT253" t="s">
        <v>74</v>
      </c>
      <c r="AU253">
        <v>2016</v>
      </c>
      <c r="AV253" t="s">
        <v>74</v>
      </c>
      <c r="AW253" t="s">
        <v>74</v>
      </c>
      <c r="AX253" t="s">
        <v>74</v>
      </c>
      <c r="AY253" t="s">
        <v>74</v>
      </c>
      <c r="AZ253" t="s">
        <v>74</v>
      </c>
      <c r="BA253" t="s">
        <v>74</v>
      </c>
      <c r="BB253">
        <v>324</v>
      </c>
      <c r="BC253">
        <v>341</v>
      </c>
      <c r="BD253" t="s">
        <v>74</v>
      </c>
      <c r="BE253" t="s">
        <v>74</v>
      </c>
      <c r="BF253" t="s">
        <v>74</v>
      </c>
      <c r="BG253" t="s">
        <v>74</v>
      </c>
      <c r="BH253" t="s">
        <v>74</v>
      </c>
      <c r="BI253">
        <v>18</v>
      </c>
      <c r="BJ253" t="s">
        <v>334</v>
      </c>
      <c r="BK253" t="s">
        <v>238</v>
      </c>
      <c r="BL253" t="s">
        <v>335</v>
      </c>
      <c r="BM253" t="s">
        <v>4887</v>
      </c>
      <c r="BN253" t="s">
        <v>74</v>
      </c>
      <c r="BO253" t="s">
        <v>74</v>
      </c>
      <c r="BP253" t="s">
        <v>74</v>
      </c>
      <c r="BQ253" t="s">
        <v>74</v>
      </c>
      <c r="BR253" t="s">
        <v>100</v>
      </c>
      <c r="BS253" t="s">
        <v>4888</v>
      </c>
      <c r="BT253" t="str">
        <f>HYPERLINK("https%3A%2F%2Fwww.webofscience.com%2Fwos%2Fwoscc%2Ffull-record%2FWOS:000375578600021","View Full Record in Web of Science")</f>
        <v>View Full Record in Web of Science</v>
      </c>
    </row>
    <row r="254" spans="1:72" x14ac:dyDescent="0.15">
      <c r="A254" t="s">
        <v>72</v>
      </c>
      <c r="B254" t="s">
        <v>4889</v>
      </c>
      <c r="C254" t="s">
        <v>74</v>
      </c>
      <c r="D254" t="s">
        <v>74</v>
      </c>
      <c r="E254" t="s">
        <v>74</v>
      </c>
      <c r="F254" t="s">
        <v>4890</v>
      </c>
      <c r="G254" t="s">
        <v>74</v>
      </c>
      <c r="H254" t="s">
        <v>74</v>
      </c>
      <c r="I254" t="s">
        <v>4891</v>
      </c>
      <c r="J254" t="s">
        <v>4892</v>
      </c>
      <c r="K254" t="s">
        <v>74</v>
      </c>
      <c r="L254" t="s">
        <v>74</v>
      </c>
      <c r="M254" t="s">
        <v>200</v>
      </c>
      <c r="N254" t="s">
        <v>79</v>
      </c>
      <c r="O254" t="s">
        <v>74</v>
      </c>
      <c r="P254" t="s">
        <v>74</v>
      </c>
      <c r="Q254" t="s">
        <v>74</v>
      </c>
      <c r="R254" t="s">
        <v>74</v>
      </c>
      <c r="S254" t="s">
        <v>74</v>
      </c>
      <c r="T254" t="s">
        <v>4893</v>
      </c>
      <c r="U254" t="s">
        <v>4894</v>
      </c>
      <c r="V254" t="s">
        <v>4895</v>
      </c>
      <c r="W254" t="s">
        <v>4896</v>
      </c>
      <c r="X254" t="s">
        <v>4897</v>
      </c>
      <c r="Y254" t="s">
        <v>4898</v>
      </c>
      <c r="Z254" t="s">
        <v>4899</v>
      </c>
      <c r="AA254" t="s">
        <v>74</v>
      </c>
      <c r="AB254" t="s">
        <v>4900</v>
      </c>
      <c r="AC254" t="s">
        <v>4901</v>
      </c>
      <c r="AD254" t="s">
        <v>4902</v>
      </c>
      <c r="AE254" t="s">
        <v>4903</v>
      </c>
      <c r="AF254" t="s">
        <v>74</v>
      </c>
      <c r="AG254">
        <v>64</v>
      </c>
      <c r="AH254">
        <v>10</v>
      </c>
      <c r="AI254">
        <v>12</v>
      </c>
      <c r="AJ254">
        <v>5</v>
      </c>
      <c r="AK254">
        <v>69</v>
      </c>
      <c r="AL254" t="s">
        <v>4904</v>
      </c>
      <c r="AM254" t="s">
        <v>4905</v>
      </c>
      <c r="AN254" t="s">
        <v>4906</v>
      </c>
      <c r="AO254" t="s">
        <v>4907</v>
      </c>
      <c r="AP254" t="s">
        <v>74</v>
      </c>
      <c r="AQ254" t="s">
        <v>74</v>
      </c>
      <c r="AR254" t="s">
        <v>4908</v>
      </c>
      <c r="AS254" t="s">
        <v>4909</v>
      </c>
      <c r="AT254" t="s">
        <v>74</v>
      </c>
      <c r="AU254">
        <v>2016</v>
      </c>
      <c r="AV254">
        <v>42</v>
      </c>
      <c r="AW254">
        <v>2</v>
      </c>
      <c r="AX254" t="s">
        <v>74</v>
      </c>
      <c r="AY254" t="s">
        <v>74</v>
      </c>
      <c r="AZ254" t="s">
        <v>74</v>
      </c>
      <c r="BA254" t="s">
        <v>74</v>
      </c>
      <c r="BB254">
        <v>168</v>
      </c>
      <c r="BC254">
        <v>183</v>
      </c>
      <c r="BD254" t="s">
        <v>74</v>
      </c>
      <c r="BE254" t="s">
        <v>4910</v>
      </c>
      <c r="BF254" t="str">
        <f>HYPERLINK("http://dx.doi.org/10.1578/AM.42.2.2016.168","http://dx.doi.org/10.1578/AM.42.2.2016.168")</f>
        <v>http://dx.doi.org/10.1578/AM.42.2.2016.168</v>
      </c>
      <c r="BG254" t="s">
        <v>74</v>
      </c>
      <c r="BH254" t="s">
        <v>74</v>
      </c>
      <c r="BI254">
        <v>16</v>
      </c>
      <c r="BJ254" t="s">
        <v>1660</v>
      </c>
      <c r="BK254" t="s">
        <v>264</v>
      </c>
      <c r="BL254" t="s">
        <v>1660</v>
      </c>
      <c r="BM254" t="s">
        <v>4911</v>
      </c>
      <c r="BN254" t="s">
        <v>74</v>
      </c>
      <c r="BO254" t="s">
        <v>74</v>
      </c>
      <c r="BP254" t="s">
        <v>74</v>
      </c>
      <c r="BQ254" t="s">
        <v>74</v>
      </c>
      <c r="BR254" t="s">
        <v>100</v>
      </c>
      <c r="BS254" t="s">
        <v>4912</v>
      </c>
      <c r="BT254" t="str">
        <f>HYPERLINK("https%3A%2F%2Fwww.webofscience.com%2Fwos%2Fwoscc%2Ffull-record%2FWOS:000376411500006","View Full Record in Web of Science")</f>
        <v>View Full Record in Web of Science</v>
      </c>
    </row>
    <row r="255" spans="1:72" x14ac:dyDescent="0.15">
      <c r="A255" t="s">
        <v>72</v>
      </c>
      <c r="B255" t="s">
        <v>4913</v>
      </c>
      <c r="C255" t="s">
        <v>74</v>
      </c>
      <c r="D255" t="s">
        <v>74</v>
      </c>
      <c r="E255" t="s">
        <v>74</v>
      </c>
      <c r="F255" t="s">
        <v>4914</v>
      </c>
      <c r="G255" t="s">
        <v>74</v>
      </c>
      <c r="H255" t="s">
        <v>74</v>
      </c>
      <c r="I255" t="s">
        <v>4915</v>
      </c>
      <c r="J255" t="s">
        <v>4892</v>
      </c>
      <c r="K255" t="s">
        <v>74</v>
      </c>
      <c r="L255" t="s">
        <v>74</v>
      </c>
      <c r="M255" t="s">
        <v>200</v>
      </c>
      <c r="N255" t="s">
        <v>79</v>
      </c>
      <c r="O255" t="s">
        <v>74</v>
      </c>
      <c r="P255" t="s">
        <v>74</v>
      </c>
      <c r="Q255" t="s">
        <v>74</v>
      </c>
      <c r="R255" t="s">
        <v>74</v>
      </c>
      <c r="S255" t="s">
        <v>74</v>
      </c>
      <c r="T255" t="s">
        <v>4916</v>
      </c>
      <c r="U255" t="s">
        <v>4917</v>
      </c>
      <c r="V255" t="s">
        <v>4918</v>
      </c>
      <c r="W255" t="s">
        <v>4919</v>
      </c>
      <c r="X255" t="s">
        <v>4920</v>
      </c>
      <c r="Y255" t="s">
        <v>4921</v>
      </c>
      <c r="Z255" t="s">
        <v>4922</v>
      </c>
      <c r="AA255" t="s">
        <v>4923</v>
      </c>
      <c r="AB255" t="s">
        <v>4924</v>
      </c>
      <c r="AC255" t="s">
        <v>4925</v>
      </c>
      <c r="AD255" t="s">
        <v>4926</v>
      </c>
      <c r="AE255" t="s">
        <v>4927</v>
      </c>
      <c r="AF255" t="s">
        <v>74</v>
      </c>
      <c r="AG255">
        <v>71</v>
      </c>
      <c r="AH255">
        <v>20</v>
      </c>
      <c r="AI255">
        <v>22</v>
      </c>
      <c r="AJ255">
        <v>1</v>
      </c>
      <c r="AK255">
        <v>23</v>
      </c>
      <c r="AL255" t="s">
        <v>4904</v>
      </c>
      <c r="AM255" t="s">
        <v>4905</v>
      </c>
      <c r="AN255" t="s">
        <v>4906</v>
      </c>
      <c r="AO255" t="s">
        <v>4907</v>
      </c>
      <c r="AP255" t="s">
        <v>74</v>
      </c>
      <c r="AQ255" t="s">
        <v>74</v>
      </c>
      <c r="AR255" t="s">
        <v>4908</v>
      </c>
      <c r="AS255" t="s">
        <v>4909</v>
      </c>
      <c r="AT255" t="s">
        <v>74</v>
      </c>
      <c r="AU255">
        <v>2016</v>
      </c>
      <c r="AV255">
        <v>42</v>
      </c>
      <c r="AW255">
        <v>2</v>
      </c>
      <c r="AX255" t="s">
        <v>74</v>
      </c>
      <c r="AY255" t="s">
        <v>74</v>
      </c>
      <c r="AZ255" t="s">
        <v>74</v>
      </c>
      <c r="BA255" t="s">
        <v>74</v>
      </c>
      <c r="BB255">
        <v>233</v>
      </c>
      <c r="BC255">
        <v>244</v>
      </c>
      <c r="BD255" t="s">
        <v>74</v>
      </c>
      <c r="BE255" t="s">
        <v>4928</v>
      </c>
      <c r="BF255" t="str">
        <f>HYPERLINK("http://dx.doi.org/10.1578/AM.42.2.2016.233","http://dx.doi.org/10.1578/AM.42.2.2016.233")</f>
        <v>http://dx.doi.org/10.1578/AM.42.2.2016.233</v>
      </c>
      <c r="BG255" t="s">
        <v>74</v>
      </c>
      <c r="BH255" t="s">
        <v>74</v>
      </c>
      <c r="BI255">
        <v>12</v>
      </c>
      <c r="BJ255" t="s">
        <v>1660</v>
      </c>
      <c r="BK255" t="s">
        <v>264</v>
      </c>
      <c r="BL255" t="s">
        <v>1660</v>
      </c>
      <c r="BM255" t="s">
        <v>4911</v>
      </c>
      <c r="BN255" t="s">
        <v>74</v>
      </c>
      <c r="BO255" t="s">
        <v>74</v>
      </c>
      <c r="BP255" t="s">
        <v>74</v>
      </c>
      <c r="BQ255" t="s">
        <v>74</v>
      </c>
      <c r="BR255" t="s">
        <v>100</v>
      </c>
      <c r="BS255" t="s">
        <v>4929</v>
      </c>
      <c r="BT255" t="str">
        <f>HYPERLINK("https%3A%2F%2Fwww.webofscience.com%2Fwos%2Fwoscc%2Ffull-record%2FWOS:000376411500014","View Full Record in Web of Science")</f>
        <v>View Full Record in Web of Science</v>
      </c>
    </row>
    <row r="256" spans="1:72" x14ac:dyDescent="0.15">
      <c r="A256" t="s">
        <v>193</v>
      </c>
      <c r="B256" t="s">
        <v>4930</v>
      </c>
      <c r="C256" t="s">
        <v>74</v>
      </c>
      <c r="D256" t="s">
        <v>4931</v>
      </c>
      <c r="E256" t="s">
        <v>74</v>
      </c>
      <c r="F256" t="s">
        <v>4932</v>
      </c>
      <c r="G256" t="s">
        <v>74</v>
      </c>
      <c r="H256" t="s">
        <v>74</v>
      </c>
      <c r="I256" t="s">
        <v>4933</v>
      </c>
      <c r="J256" t="s">
        <v>4934</v>
      </c>
      <c r="K256" t="s">
        <v>2178</v>
      </c>
      <c r="L256" t="s">
        <v>74</v>
      </c>
      <c r="M256" t="s">
        <v>200</v>
      </c>
      <c r="N256" t="s">
        <v>201</v>
      </c>
      <c r="O256" t="s">
        <v>74</v>
      </c>
      <c r="P256" t="s">
        <v>74</v>
      </c>
      <c r="Q256" t="s">
        <v>74</v>
      </c>
      <c r="R256" t="s">
        <v>74</v>
      </c>
      <c r="S256" t="s">
        <v>74</v>
      </c>
      <c r="T256" t="s">
        <v>74</v>
      </c>
      <c r="U256" t="s">
        <v>4935</v>
      </c>
      <c r="V256" t="s">
        <v>4936</v>
      </c>
      <c r="W256" t="s">
        <v>4937</v>
      </c>
      <c r="X256" t="s">
        <v>4938</v>
      </c>
      <c r="Y256" t="s">
        <v>4939</v>
      </c>
      <c r="Z256" t="s">
        <v>74</v>
      </c>
      <c r="AA256" t="s">
        <v>74</v>
      </c>
      <c r="AB256" t="s">
        <v>74</v>
      </c>
      <c r="AC256" t="s">
        <v>74</v>
      </c>
      <c r="AD256" t="s">
        <v>74</v>
      </c>
      <c r="AE256" t="s">
        <v>74</v>
      </c>
      <c r="AF256" t="s">
        <v>74</v>
      </c>
      <c r="AG256">
        <v>35</v>
      </c>
      <c r="AH256">
        <v>0</v>
      </c>
      <c r="AI256">
        <v>0</v>
      </c>
      <c r="AJ256">
        <v>0</v>
      </c>
      <c r="AK256">
        <v>1</v>
      </c>
      <c r="AL256" t="s">
        <v>2353</v>
      </c>
      <c r="AM256" t="s">
        <v>2354</v>
      </c>
      <c r="AN256" t="s">
        <v>2355</v>
      </c>
      <c r="AO256" t="s">
        <v>2186</v>
      </c>
      <c r="AP256" t="s">
        <v>2187</v>
      </c>
      <c r="AQ256" t="s">
        <v>4940</v>
      </c>
      <c r="AR256" t="s">
        <v>2189</v>
      </c>
      <c r="AS256" t="s">
        <v>74</v>
      </c>
      <c r="AT256" t="s">
        <v>74</v>
      </c>
      <c r="AU256">
        <v>2016</v>
      </c>
      <c r="AV256" t="s">
        <v>74</v>
      </c>
      <c r="AW256" t="s">
        <v>74</v>
      </c>
      <c r="AX256" t="s">
        <v>74</v>
      </c>
      <c r="AY256" t="s">
        <v>74</v>
      </c>
      <c r="AZ256" t="s">
        <v>74</v>
      </c>
      <c r="BA256" t="s">
        <v>74</v>
      </c>
      <c r="BB256">
        <v>35</v>
      </c>
      <c r="BC256">
        <v>49</v>
      </c>
      <c r="BD256" t="s">
        <v>74</v>
      </c>
      <c r="BE256" t="s">
        <v>4941</v>
      </c>
      <c r="BF256" t="str">
        <f>HYPERLINK("http://dx.doi.org/10.1007/978-3-319-16952-1_3","http://dx.doi.org/10.1007/978-3-319-16952-1_3")</f>
        <v>http://dx.doi.org/10.1007/978-3-319-16952-1_3</v>
      </c>
      <c r="BG256" t="s">
        <v>4942</v>
      </c>
      <c r="BH256" t="s">
        <v>74</v>
      </c>
      <c r="BI256">
        <v>15</v>
      </c>
      <c r="BJ256" t="s">
        <v>4943</v>
      </c>
      <c r="BK256" t="s">
        <v>216</v>
      </c>
      <c r="BL256" t="s">
        <v>4943</v>
      </c>
      <c r="BM256" t="s">
        <v>4944</v>
      </c>
      <c r="BN256" t="s">
        <v>74</v>
      </c>
      <c r="BO256" t="s">
        <v>74</v>
      </c>
      <c r="BP256" t="s">
        <v>74</v>
      </c>
      <c r="BQ256" t="s">
        <v>74</v>
      </c>
      <c r="BR256" t="s">
        <v>100</v>
      </c>
      <c r="BS256" t="s">
        <v>4945</v>
      </c>
      <c r="BT256" t="str">
        <f>HYPERLINK("https%3A%2F%2Fwww.webofscience.com%2Fwos%2Fwoscc%2Ffull-record%2FWOS:000373281600004","View Full Record in Web of Science")</f>
        <v>View Full Record in Web of Science</v>
      </c>
    </row>
    <row r="257" spans="1:72" x14ac:dyDescent="0.15">
      <c r="A257" t="s">
        <v>72</v>
      </c>
      <c r="B257" t="s">
        <v>4946</v>
      </c>
      <c r="C257" t="s">
        <v>74</v>
      </c>
      <c r="D257" t="s">
        <v>74</v>
      </c>
      <c r="E257" t="s">
        <v>74</v>
      </c>
      <c r="F257" t="s">
        <v>4947</v>
      </c>
      <c r="G257" t="s">
        <v>74</v>
      </c>
      <c r="H257" t="s">
        <v>74</v>
      </c>
      <c r="I257" t="s">
        <v>4948</v>
      </c>
      <c r="J257" t="s">
        <v>4949</v>
      </c>
      <c r="K257" t="s">
        <v>74</v>
      </c>
      <c r="L257" t="s">
        <v>74</v>
      </c>
      <c r="M257" t="s">
        <v>200</v>
      </c>
      <c r="N257" t="s">
        <v>79</v>
      </c>
      <c r="O257" t="s">
        <v>74</v>
      </c>
      <c r="P257" t="s">
        <v>74</v>
      </c>
      <c r="Q257" t="s">
        <v>74</v>
      </c>
      <c r="R257" t="s">
        <v>74</v>
      </c>
      <c r="S257" t="s">
        <v>74</v>
      </c>
      <c r="T257" t="s">
        <v>74</v>
      </c>
      <c r="U257" t="s">
        <v>4950</v>
      </c>
      <c r="V257" t="s">
        <v>4951</v>
      </c>
      <c r="W257" t="s">
        <v>4952</v>
      </c>
      <c r="X257" t="s">
        <v>4953</v>
      </c>
      <c r="Y257" t="s">
        <v>4954</v>
      </c>
      <c r="Z257" t="s">
        <v>4955</v>
      </c>
      <c r="AA257" t="s">
        <v>4956</v>
      </c>
      <c r="AB257" t="s">
        <v>4957</v>
      </c>
      <c r="AC257" t="s">
        <v>4958</v>
      </c>
      <c r="AD257" t="s">
        <v>4959</v>
      </c>
      <c r="AE257" t="s">
        <v>4960</v>
      </c>
      <c r="AF257" t="s">
        <v>74</v>
      </c>
      <c r="AG257">
        <v>17</v>
      </c>
      <c r="AH257">
        <v>9</v>
      </c>
      <c r="AI257">
        <v>9</v>
      </c>
      <c r="AJ257">
        <v>0</v>
      </c>
      <c r="AK257">
        <v>8</v>
      </c>
      <c r="AL257" t="s">
        <v>4961</v>
      </c>
      <c r="AM257" t="s">
        <v>3175</v>
      </c>
      <c r="AN257" t="s">
        <v>4962</v>
      </c>
      <c r="AO257" t="s">
        <v>4963</v>
      </c>
      <c r="AP257" t="s">
        <v>74</v>
      </c>
      <c r="AQ257" t="s">
        <v>74</v>
      </c>
      <c r="AR257" t="s">
        <v>4949</v>
      </c>
      <c r="AS257" t="s">
        <v>4949</v>
      </c>
      <c r="AT257" t="s">
        <v>74</v>
      </c>
      <c r="AU257">
        <v>2016</v>
      </c>
      <c r="AV257">
        <v>12</v>
      </c>
      <c r="AW257" t="s">
        <v>74</v>
      </c>
      <c r="AX257" t="s">
        <v>74</v>
      </c>
      <c r="AY257" t="s">
        <v>74</v>
      </c>
      <c r="AZ257" t="s">
        <v>74</v>
      </c>
      <c r="BA257" t="s">
        <v>74</v>
      </c>
      <c r="BB257">
        <v>116</v>
      </c>
      <c r="BC257">
        <v>120</v>
      </c>
      <c r="BD257" t="s">
        <v>74</v>
      </c>
      <c r="BE257" t="s">
        <v>4964</v>
      </c>
      <c r="BF257" t="str">
        <f>HYPERLINK("http://dx.doi.org/10.2151/sola.2016-026","http://dx.doi.org/10.2151/sola.2016-026")</f>
        <v>http://dx.doi.org/10.2151/sola.2016-026</v>
      </c>
      <c r="BG257" t="s">
        <v>74</v>
      </c>
      <c r="BH257" t="s">
        <v>74</v>
      </c>
      <c r="BI257">
        <v>5</v>
      </c>
      <c r="BJ257" t="s">
        <v>1721</v>
      </c>
      <c r="BK257" t="s">
        <v>264</v>
      </c>
      <c r="BL257" t="s">
        <v>1721</v>
      </c>
      <c r="BM257" t="s">
        <v>4965</v>
      </c>
      <c r="BN257" t="s">
        <v>74</v>
      </c>
      <c r="BO257" t="s">
        <v>99</v>
      </c>
      <c r="BP257" t="s">
        <v>74</v>
      </c>
      <c r="BQ257" t="s">
        <v>74</v>
      </c>
      <c r="BR257" t="s">
        <v>100</v>
      </c>
      <c r="BS257" t="s">
        <v>4966</v>
      </c>
      <c r="BT257" t="str">
        <f>HYPERLINK("https%3A%2F%2Fwww.webofscience.com%2Fwos%2Fwoscc%2Ffull-record%2FWOS:000376465200003","View Full Record in Web of Science")</f>
        <v>View Full Record in Web of Science</v>
      </c>
    </row>
    <row r="258" spans="1:72" x14ac:dyDescent="0.15">
      <c r="A258" t="s">
        <v>72</v>
      </c>
      <c r="B258" t="s">
        <v>4967</v>
      </c>
      <c r="C258" t="s">
        <v>74</v>
      </c>
      <c r="D258" t="s">
        <v>74</v>
      </c>
      <c r="E258" t="s">
        <v>74</v>
      </c>
      <c r="F258" t="s">
        <v>4968</v>
      </c>
      <c r="G258" t="s">
        <v>74</v>
      </c>
      <c r="H258" t="s">
        <v>74</v>
      </c>
      <c r="I258" t="s">
        <v>4969</v>
      </c>
      <c r="J258" t="s">
        <v>3226</v>
      </c>
      <c r="K258" t="s">
        <v>74</v>
      </c>
      <c r="L258" t="s">
        <v>74</v>
      </c>
      <c r="M258" t="s">
        <v>200</v>
      </c>
      <c r="N258" t="s">
        <v>79</v>
      </c>
      <c r="O258" t="s">
        <v>74</v>
      </c>
      <c r="P258" t="s">
        <v>74</v>
      </c>
      <c r="Q258" t="s">
        <v>74</v>
      </c>
      <c r="R258" t="s">
        <v>74</v>
      </c>
      <c r="S258" t="s">
        <v>74</v>
      </c>
      <c r="T258" t="s">
        <v>74</v>
      </c>
      <c r="U258" t="s">
        <v>4970</v>
      </c>
      <c r="V258" t="s">
        <v>4971</v>
      </c>
      <c r="W258" t="s">
        <v>4972</v>
      </c>
      <c r="X258" t="s">
        <v>4973</v>
      </c>
      <c r="Y258" t="s">
        <v>4974</v>
      </c>
      <c r="Z258" t="s">
        <v>4975</v>
      </c>
      <c r="AA258" t="s">
        <v>4976</v>
      </c>
      <c r="AB258" t="s">
        <v>4977</v>
      </c>
      <c r="AC258" t="s">
        <v>4978</v>
      </c>
      <c r="AD258" t="s">
        <v>4979</v>
      </c>
      <c r="AE258" t="s">
        <v>4980</v>
      </c>
      <c r="AF258" t="s">
        <v>74</v>
      </c>
      <c r="AG258">
        <v>109</v>
      </c>
      <c r="AH258">
        <v>36</v>
      </c>
      <c r="AI258">
        <v>41</v>
      </c>
      <c r="AJ258">
        <v>2</v>
      </c>
      <c r="AK258">
        <v>54</v>
      </c>
      <c r="AL258" t="s">
        <v>358</v>
      </c>
      <c r="AM258" t="s">
        <v>359</v>
      </c>
      <c r="AN258" t="s">
        <v>3238</v>
      </c>
      <c r="AO258" t="s">
        <v>3239</v>
      </c>
      <c r="AP258" t="s">
        <v>3240</v>
      </c>
      <c r="AQ258" t="s">
        <v>74</v>
      </c>
      <c r="AR258" t="s">
        <v>3241</v>
      </c>
      <c r="AS258" t="s">
        <v>3242</v>
      </c>
      <c r="AT258" t="s">
        <v>74</v>
      </c>
      <c r="AU258">
        <v>2016</v>
      </c>
      <c r="AV258">
        <v>16</v>
      </c>
      <c r="AW258">
        <v>5</v>
      </c>
      <c r="AX258" t="s">
        <v>74</v>
      </c>
      <c r="AY258" t="s">
        <v>74</v>
      </c>
      <c r="AZ258" t="s">
        <v>74</v>
      </c>
      <c r="BA258" t="s">
        <v>74</v>
      </c>
      <c r="BB258">
        <v>2819</v>
      </c>
      <c r="BC258">
        <v>2842</v>
      </c>
      <c r="BD258" t="s">
        <v>74</v>
      </c>
      <c r="BE258" t="s">
        <v>4981</v>
      </c>
      <c r="BF258" t="str">
        <f>HYPERLINK("http://dx.doi.org/10.5194/acp-16-2819-2016","http://dx.doi.org/10.5194/acp-16-2819-2016")</f>
        <v>http://dx.doi.org/10.5194/acp-16-2819-2016</v>
      </c>
      <c r="BG258" t="s">
        <v>74</v>
      </c>
      <c r="BH258" t="s">
        <v>74</v>
      </c>
      <c r="BI258">
        <v>24</v>
      </c>
      <c r="BJ258" t="s">
        <v>3244</v>
      </c>
      <c r="BK258" t="s">
        <v>264</v>
      </c>
      <c r="BL258" t="s">
        <v>3245</v>
      </c>
      <c r="BM258" t="s">
        <v>4982</v>
      </c>
      <c r="BN258" t="s">
        <v>74</v>
      </c>
      <c r="BO258" t="s">
        <v>2134</v>
      </c>
      <c r="BP258" t="s">
        <v>74</v>
      </c>
      <c r="BQ258" t="s">
        <v>74</v>
      </c>
      <c r="BR258" t="s">
        <v>100</v>
      </c>
      <c r="BS258" t="s">
        <v>4983</v>
      </c>
      <c r="BT258" t="str">
        <f>HYPERLINK("https%3A%2F%2Fwww.webofscience.com%2Fwos%2Fwoscc%2Ffull-record%2FWOS:000374702000007","View Full Record in Web of Science")</f>
        <v>View Full Record in Web of Science</v>
      </c>
    </row>
    <row r="259" spans="1:72" x14ac:dyDescent="0.15">
      <c r="A259" t="s">
        <v>72</v>
      </c>
      <c r="B259" t="s">
        <v>4984</v>
      </c>
      <c r="C259" t="s">
        <v>74</v>
      </c>
      <c r="D259" t="s">
        <v>74</v>
      </c>
      <c r="E259" t="s">
        <v>74</v>
      </c>
      <c r="F259" t="s">
        <v>4985</v>
      </c>
      <c r="G259" t="s">
        <v>74</v>
      </c>
      <c r="H259" t="s">
        <v>74</v>
      </c>
      <c r="I259" t="s">
        <v>4986</v>
      </c>
      <c r="J259" t="s">
        <v>3226</v>
      </c>
      <c r="K259" t="s">
        <v>74</v>
      </c>
      <c r="L259" t="s">
        <v>74</v>
      </c>
      <c r="M259" t="s">
        <v>200</v>
      </c>
      <c r="N259" t="s">
        <v>79</v>
      </c>
      <c r="O259" t="s">
        <v>74</v>
      </c>
      <c r="P259" t="s">
        <v>74</v>
      </c>
      <c r="Q259" t="s">
        <v>74</v>
      </c>
      <c r="R259" t="s">
        <v>74</v>
      </c>
      <c r="S259" t="s">
        <v>74</v>
      </c>
      <c r="T259" t="s">
        <v>74</v>
      </c>
      <c r="U259" t="s">
        <v>4987</v>
      </c>
      <c r="V259" t="s">
        <v>4988</v>
      </c>
      <c r="W259" t="s">
        <v>4989</v>
      </c>
      <c r="X259" t="s">
        <v>4990</v>
      </c>
      <c r="Y259" t="s">
        <v>4991</v>
      </c>
      <c r="Z259" t="s">
        <v>4992</v>
      </c>
      <c r="AA259" t="s">
        <v>4993</v>
      </c>
      <c r="AB259" t="s">
        <v>4994</v>
      </c>
      <c r="AC259" t="s">
        <v>4995</v>
      </c>
      <c r="AD259" t="s">
        <v>4996</v>
      </c>
      <c r="AE259" t="s">
        <v>4997</v>
      </c>
      <c r="AF259" t="s">
        <v>74</v>
      </c>
      <c r="AG259">
        <v>54</v>
      </c>
      <c r="AH259">
        <v>5</v>
      </c>
      <c r="AI259">
        <v>8</v>
      </c>
      <c r="AJ259">
        <v>0</v>
      </c>
      <c r="AK259">
        <v>6</v>
      </c>
      <c r="AL259" t="s">
        <v>358</v>
      </c>
      <c r="AM259" t="s">
        <v>359</v>
      </c>
      <c r="AN259" t="s">
        <v>3238</v>
      </c>
      <c r="AO259" t="s">
        <v>3239</v>
      </c>
      <c r="AP259" t="s">
        <v>3240</v>
      </c>
      <c r="AQ259" t="s">
        <v>74</v>
      </c>
      <c r="AR259" t="s">
        <v>3241</v>
      </c>
      <c r="AS259" t="s">
        <v>3242</v>
      </c>
      <c r="AT259" t="s">
        <v>74</v>
      </c>
      <c r="AU259">
        <v>2016</v>
      </c>
      <c r="AV259">
        <v>16</v>
      </c>
      <c r="AW259">
        <v>5</v>
      </c>
      <c r="AX259" t="s">
        <v>74</v>
      </c>
      <c r="AY259" t="s">
        <v>74</v>
      </c>
      <c r="AZ259" t="s">
        <v>74</v>
      </c>
      <c r="BA259" t="s">
        <v>74</v>
      </c>
      <c r="BB259">
        <v>3265</v>
      </c>
      <c r="BC259">
        <v>3278</v>
      </c>
      <c r="BD259" t="s">
        <v>74</v>
      </c>
      <c r="BE259" t="s">
        <v>4998</v>
      </c>
      <c r="BF259" t="str">
        <f>HYPERLINK("http://dx.doi.org/10.5194/acp-16-3265-2016","http://dx.doi.org/10.5194/acp-16-3265-2016")</f>
        <v>http://dx.doi.org/10.5194/acp-16-3265-2016</v>
      </c>
      <c r="BG259" t="s">
        <v>74</v>
      </c>
      <c r="BH259" t="s">
        <v>74</v>
      </c>
      <c r="BI259">
        <v>14</v>
      </c>
      <c r="BJ259" t="s">
        <v>3244</v>
      </c>
      <c r="BK259" t="s">
        <v>264</v>
      </c>
      <c r="BL259" t="s">
        <v>3245</v>
      </c>
      <c r="BM259" t="s">
        <v>4982</v>
      </c>
      <c r="BN259" t="s">
        <v>74</v>
      </c>
      <c r="BO259" t="s">
        <v>2134</v>
      </c>
      <c r="BP259" t="s">
        <v>74</v>
      </c>
      <c r="BQ259" t="s">
        <v>74</v>
      </c>
      <c r="BR259" t="s">
        <v>100</v>
      </c>
      <c r="BS259" t="s">
        <v>4999</v>
      </c>
      <c r="BT259" t="str">
        <f>HYPERLINK("https%3A%2F%2Fwww.webofscience.com%2Fwos%2Fwoscc%2Ffull-record%2FWOS:000374702000031","View Full Record in Web of Science")</f>
        <v>View Full Record in Web of Science</v>
      </c>
    </row>
    <row r="260" spans="1:72" x14ac:dyDescent="0.15">
      <c r="A260" t="s">
        <v>72</v>
      </c>
      <c r="B260" t="s">
        <v>5000</v>
      </c>
      <c r="C260" t="s">
        <v>74</v>
      </c>
      <c r="D260" t="s">
        <v>74</v>
      </c>
      <c r="E260" t="s">
        <v>74</v>
      </c>
      <c r="F260" t="s">
        <v>5001</v>
      </c>
      <c r="G260" t="s">
        <v>74</v>
      </c>
      <c r="H260" t="s">
        <v>74</v>
      </c>
      <c r="I260" t="s">
        <v>5002</v>
      </c>
      <c r="J260" t="s">
        <v>5003</v>
      </c>
      <c r="K260" t="s">
        <v>74</v>
      </c>
      <c r="L260" t="s">
        <v>74</v>
      </c>
      <c r="M260" t="s">
        <v>200</v>
      </c>
      <c r="N260" t="s">
        <v>79</v>
      </c>
      <c r="O260" t="s">
        <v>74</v>
      </c>
      <c r="P260" t="s">
        <v>74</v>
      </c>
      <c r="Q260" t="s">
        <v>74</v>
      </c>
      <c r="R260" t="s">
        <v>74</v>
      </c>
      <c r="S260" t="s">
        <v>74</v>
      </c>
      <c r="T260" t="s">
        <v>74</v>
      </c>
      <c r="U260" t="s">
        <v>5004</v>
      </c>
      <c r="V260" t="s">
        <v>5005</v>
      </c>
      <c r="W260" t="s">
        <v>5006</v>
      </c>
      <c r="X260" t="s">
        <v>5007</v>
      </c>
      <c r="Y260" t="s">
        <v>5008</v>
      </c>
      <c r="Z260" t="s">
        <v>5009</v>
      </c>
      <c r="AA260" t="s">
        <v>5010</v>
      </c>
      <c r="AB260" t="s">
        <v>5011</v>
      </c>
      <c r="AC260" t="s">
        <v>5012</v>
      </c>
      <c r="AD260" t="s">
        <v>5013</v>
      </c>
      <c r="AE260" t="s">
        <v>5014</v>
      </c>
      <c r="AF260" t="s">
        <v>74</v>
      </c>
      <c r="AG260">
        <v>48</v>
      </c>
      <c r="AH260">
        <v>19</v>
      </c>
      <c r="AI260">
        <v>19</v>
      </c>
      <c r="AJ260">
        <v>0</v>
      </c>
      <c r="AK260">
        <v>8</v>
      </c>
      <c r="AL260" t="s">
        <v>358</v>
      </c>
      <c r="AM260" t="s">
        <v>359</v>
      </c>
      <c r="AN260" t="s">
        <v>3238</v>
      </c>
      <c r="AO260" t="s">
        <v>5015</v>
      </c>
      <c r="AP260" t="s">
        <v>5016</v>
      </c>
      <c r="AQ260" t="s">
        <v>74</v>
      </c>
      <c r="AR260" t="s">
        <v>5017</v>
      </c>
      <c r="AS260" t="s">
        <v>5018</v>
      </c>
      <c r="AT260" t="s">
        <v>74</v>
      </c>
      <c r="AU260">
        <v>2016</v>
      </c>
      <c r="AV260">
        <v>12</v>
      </c>
      <c r="AW260">
        <v>4</v>
      </c>
      <c r="AX260" t="s">
        <v>74</v>
      </c>
      <c r="AY260" t="s">
        <v>74</v>
      </c>
      <c r="AZ260" t="s">
        <v>74</v>
      </c>
      <c r="BA260" t="s">
        <v>74</v>
      </c>
      <c r="BB260">
        <v>807</v>
      </c>
      <c r="BC260">
        <v>817</v>
      </c>
      <c r="BD260" t="s">
        <v>74</v>
      </c>
      <c r="BE260" t="s">
        <v>5019</v>
      </c>
      <c r="BF260" t="str">
        <f>HYPERLINK("http://dx.doi.org/10.5194/cp-12-807-2016","http://dx.doi.org/10.5194/cp-12-807-2016")</f>
        <v>http://dx.doi.org/10.5194/cp-12-807-2016</v>
      </c>
      <c r="BG260" t="s">
        <v>74</v>
      </c>
      <c r="BH260" t="s">
        <v>74</v>
      </c>
      <c r="BI260">
        <v>11</v>
      </c>
      <c r="BJ260" t="s">
        <v>4328</v>
      </c>
      <c r="BK260" t="s">
        <v>264</v>
      </c>
      <c r="BL260" t="s">
        <v>4329</v>
      </c>
      <c r="BM260" t="s">
        <v>5020</v>
      </c>
      <c r="BN260" t="s">
        <v>74</v>
      </c>
      <c r="BO260" t="s">
        <v>2134</v>
      </c>
      <c r="BP260" t="s">
        <v>74</v>
      </c>
      <c r="BQ260" t="s">
        <v>74</v>
      </c>
      <c r="BR260" t="s">
        <v>100</v>
      </c>
      <c r="BS260" t="s">
        <v>5021</v>
      </c>
      <c r="BT260" t="str">
        <f>HYPERLINK("https%3A%2F%2Fwww.webofscience.com%2Fwos%2Fwoscc%2Ffull-record%2FWOS:000376073100001","View Full Record in Web of Science")</f>
        <v>View Full Record in Web of Science</v>
      </c>
    </row>
    <row r="261" spans="1:72" x14ac:dyDescent="0.15">
      <c r="A261" t="s">
        <v>72</v>
      </c>
      <c r="B261" t="s">
        <v>5022</v>
      </c>
      <c r="C261" t="s">
        <v>74</v>
      </c>
      <c r="D261" t="s">
        <v>74</v>
      </c>
      <c r="E261" t="s">
        <v>74</v>
      </c>
      <c r="F261" t="s">
        <v>5023</v>
      </c>
      <c r="G261" t="s">
        <v>74</v>
      </c>
      <c r="H261" t="s">
        <v>74</v>
      </c>
      <c r="I261" t="s">
        <v>5024</v>
      </c>
      <c r="J261" t="s">
        <v>5003</v>
      </c>
      <c r="K261" t="s">
        <v>74</v>
      </c>
      <c r="L261" t="s">
        <v>74</v>
      </c>
      <c r="M261" t="s">
        <v>200</v>
      </c>
      <c r="N261" t="s">
        <v>79</v>
      </c>
      <c r="O261" t="s">
        <v>74</v>
      </c>
      <c r="P261" t="s">
        <v>74</v>
      </c>
      <c r="Q261" t="s">
        <v>74</v>
      </c>
      <c r="R261" t="s">
        <v>74</v>
      </c>
      <c r="S261" t="s">
        <v>74</v>
      </c>
      <c r="T261" t="s">
        <v>74</v>
      </c>
      <c r="U261" t="s">
        <v>5025</v>
      </c>
      <c r="V261" t="s">
        <v>5026</v>
      </c>
      <c r="W261" t="s">
        <v>5027</v>
      </c>
      <c r="X261" t="s">
        <v>5028</v>
      </c>
      <c r="Y261" t="s">
        <v>5029</v>
      </c>
      <c r="Z261" t="s">
        <v>5030</v>
      </c>
      <c r="AA261" t="s">
        <v>5031</v>
      </c>
      <c r="AB261" t="s">
        <v>5032</v>
      </c>
      <c r="AC261" t="s">
        <v>5033</v>
      </c>
      <c r="AD261" t="s">
        <v>5033</v>
      </c>
      <c r="AE261" t="s">
        <v>5034</v>
      </c>
      <c r="AF261" t="s">
        <v>74</v>
      </c>
      <c r="AG261">
        <v>100</v>
      </c>
      <c r="AH261">
        <v>26</v>
      </c>
      <c r="AI261">
        <v>27</v>
      </c>
      <c r="AJ261">
        <v>0</v>
      </c>
      <c r="AK261">
        <v>14</v>
      </c>
      <c r="AL261" t="s">
        <v>358</v>
      </c>
      <c r="AM261" t="s">
        <v>359</v>
      </c>
      <c r="AN261" t="s">
        <v>3238</v>
      </c>
      <c r="AO261" t="s">
        <v>5015</v>
      </c>
      <c r="AP261" t="s">
        <v>5016</v>
      </c>
      <c r="AQ261" t="s">
        <v>74</v>
      </c>
      <c r="AR261" t="s">
        <v>5017</v>
      </c>
      <c r="AS261" t="s">
        <v>5018</v>
      </c>
      <c r="AT261" t="s">
        <v>74</v>
      </c>
      <c r="AU261">
        <v>2016</v>
      </c>
      <c r="AV261">
        <v>12</v>
      </c>
      <c r="AW261">
        <v>4</v>
      </c>
      <c r="AX261" t="s">
        <v>74</v>
      </c>
      <c r="AY261" t="s">
        <v>74</v>
      </c>
      <c r="AZ261" t="s">
        <v>74</v>
      </c>
      <c r="BA261" t="s">
        <v>74</v>
      </c>
      <c r="BB261">
        <v>943</v>
      </c>
      <c r="BC261">
        <v>960</v>
      </c>
      <c r="BD261" t="s">
        <v>74</v>
      </c>
      <c r="BE261" t="s">
        <v>5035</v>
      </c>
      <c r="BF261" t="str">
        <f>HYPERLINK("http://dx.doi.org/10.5194/cp-12-943-2016","http://dx.doi.org/10.5194/cp-12-943-2016")</f>
        <v>http://dx.doi.org/10.5194/cp-12-943-2016</v>
      </c>
      <c r="BG261" t="s">
        <v>74</v>
      </c>
      <c r="BH261" t="s">
        <v>74</v>
      </c>
      <c r="BI261">
        <v>18</v>
      </c>
      <c r="BJ261" t="s">
        <v>4328</v>
      </c>
      <c r="BK261" t="s">
        <v>264</v>
      </c>
      <c r="BL261" t="s">
        <v>4329</v>
      </c>
      <c r="BM261" t="s">
        <v>5020</v>
      </c>
      <c r="BN261" t="s">
        <v>74</v>
      </c>
      <c r="BO261" t="s">
        <v>2134</v>
      </c>
      <c r="BP261" t="s">
        <v>74</v>
      </c>
      <c r="BQ261" t="s">
        <v>74</v>
      </c>
      <c r="BR261" t="s">
        <v>100</v>
      </c>
      <c r="BS261" t="s">
        <v>5036</v>
      </c>
      <c r="BT261" t="str">
        <f>HYPERLINK("https%3A%2F%2Fwww.webofscience.com%2Fwos%2Fwoscc%2Ffull-record%2FWOS:000376073100009","View Full Record in Web of Science")</f>
        <v>View Full Record in Web of Science</v>
      </c>
    </row>
    <row r="262" spans="1:72" x14ac:dyDescent="0.15">
      <c r="A262" t="s">
        <v>72</v>
      </c>
      <c r="B262" t="s">
        <v>5037</v>
      </c>
      <c r="C262" t="s">
        <v>74</v>
      </c>
      <c r="D262" t="s">
        <v>74</v>
      </c>
      <c r="E262" t="s">
        <v>74</v>
      </c>
      <c r="F262" t="s">
        <v>5038</v>
      </c>
      <c r="G262" t="s">
        <v>74</v>
      </c>
      <c r="H262" t="s">
        <v>74</v>
      </c>
      <c r="I262" t="s">
        <v>5039</v>
      </c>
      <c r="J262" t="s">
        <v>5003</v>
      </c>
      <c r="K262" t="s">
        <v>74</v>
      </c>
      <c r="L262" t="s">
        <v>74</v>
      </c>
      <c r="M262" t="s">
        <v>200</v>
      </c>
      <c r="N262" t="s">
        <v>79</v>
      </c>
      <c r="O262" t="s">
        <v>74</v>
      </c>
      <c r="P262" t="s">
        <v>74</v>
      </c>
      <c r="Q262" t="s">
        <v>74</v>
      </c>
      <c r="R262" t="s">
        <v>74</v>
      </c>
      <c r="S262" t="s">
        <v>74</v>
      </c>
      <c r="T262" t="s">
        <v>74</v>
      </c>
      <c r="U262" t="s">
        <v>5040</v>
      </c>
      <c r="V262" t="s">
        <v>5041</v>
      </c>
      <c r="W262" t="s">
        <v>5042</v>
      </c>
      <c r="X262" t="s">
        <v>5043</v>
      </c>
      <c r="Y262" t="s">
        <v>5044</v>
      </c>
      <c r="Z262" t="s">
        <v>5045</v>
      </c>
      <c r="AA262" t="s">
        <v>5046</v>
      </c>
      <c r="AB262" t="s">
        <v>5047</v>
      </c>
      <c r="AC262" t="s">
        <v>5048</v>
      </c>
      <c r="AD262" t="s">
        <v>5049</v>
      </c>
      <c r="AE262" t="s">
        <v>5050</v>
      </c>
      <c r="AF262" t="s">
        <v>74</v>
      </c>
      <c r="AG262">
        <v>49</v>
      </c>
      <c r="AH262">
        <v>22</v>
      </c>
      <c r="AI262">
        <v>24</v>
      </c>
      <c r="AJ262">
        <v>1</v>
      </c>
      <c r="AK262">
        <v>22</v>
      </c>
      <c r="AL262" t="s">
        <v>358</v>
      </c>
      <c r="AM262" t="s">
        <v>359</v>
      </c>
      <c r="AN262" t="s">
        <v>3238</v>
      </c>
      <c r="AO262" t="s">
        <v>5015</v>
      </c>
      <c r="AP262" t="s">
        <v>5016</v>
      </c>
      <c r="AQ262" t="s">
        <v>74</v>
      </c>
      <c r="AR262" t="s">
        <v>5017</v>
      </c>
      <c r="AS262" t="s">
        <v>5018</v>
      </c>
      <c r="AT262" t="s">
        <v>74</v>
      </c>
      <c r="AU262">
        <v>2016</v>
      </c>
      <c r="AV262">
        <v>12</v>
      </c>
      <c r="AW262">
        <v>4</v>
      </c>
      <c r="AX262" t="s">
        <v>74</v>
      </c>
      <c r="AY262" t="s">
        <v>74</v>
      </c>
      <c r="AZ262" t="s">
        <v>74</v>
      </c>
      <c r="BA262" t="s">
        <v>74</v>
      </c>
      <c r="BB262">
        <v>1061</v>
      </c>
      <c r="BC262">
        <v>1077</v>
      </c>
      <c r="BD262" t="s">
        <v>74</v>
      </c>
      <c r="BE262" t="s">
        <v>5051</v>
      </c>
      <c r="BF262" t="str">
        <f>HYPERLINK("http://dx.doi.org/10.5194/cp-12-1061-2016","http://dx.doi.org/10.5194/cp-12-1061-2016")</f>
        <v>http://dx.doi.org/10.5194/cp-12-1061-2016</v>
      </c>
      <c r="BG262" t="s">
        <v>74</v>
      </c>
      <c r="BH262" t="s">
        <v>74</v>
      </c>
      <c r="BI262">
        <v>17</v>
      </c>
      <c r="BJ262" t="s">
        <v>4328</v>
      </c>
      <c r="BK262" t="s">
        <v>264</v>
      </c>
      <c r="BL262" t="s">
        <v>4329</v>
      </c>
      <c r="BM262" t="s">
        <v>5020</v>
      </c>
      <c r="BN262" t="s">
        <v>74</v>
      </c>
      <c r="BO262" t="s">
        <v>4448</v>
      </c>
      <c r="BP262" t="s">
        <v>74</v>
      </c>
      <c r="BQ262" t="s">
        <v>74</v>
      </c>
      <c r="BR262" t="s">
        <v>100</v>
      </c>
      <c r="BS262" t="s">
        <v>5052</v>
      </c>
      <c r="BT262" t="str">
        <f>HYPERLINK("https%3A%2F%2Fwww.webofscience.com%2Fwos%2Fwoscc%2Ffull-record%2FWOS:000376073100015","View Full Record in Web of Science")</f>
        <v>View Full Record in Web of Science</v>
      </c>
    </row>
    <row r="263" spans="1:72" x14ac:dyDescent="0.15">
      <c r="A263" t="s">
        <v>72</v>
      </c>
      <c r="B263" t="s">
        <v>220</v>
      </c>
      <c r="C263" t="s">
        <v>74</v>
      </c>
      <c r="D263" t="s">
        <v>74</v>
      </c>
      <c r="E263" t="s">
        <v>74</v>
      </c>
      <c r="F263" t="s">
        <v>222</v>
      </c>
      <c r="G263" t="s">
        <v>74</v>
      </c>
      <c r="H263" t="s">
        <v>74</v>
      </c>
      <c r="I263" t="s">
        <v>5053</v>
      </c>
      <c r="J263" t="s">
        <v>5054</v>
      </c>
      <c r="K263" t="s">
        <v>74</v>
      </c>
      <c r="L263" t="s">
        <v>74</v>
      </c>
      <c r="M263" t="s">
        <v>200</v>
      </c>
      <c r="N263" t="s">
        <v>2895</v>
      </c>
      <c r="O263" t="s">
        <v>74</v>
      </c>
      <c r="P263" t="s">
        <v>74</v>
      </c>
      <c r="Q263" t="s">
        <v>74</v>
      </c>
      <c r="R263" t="s">
        <v>74</v>
      </c>
      <c r="S263" t="s">
        <v>74</v>
      </c>
      <c r="T263" t="s">
        <v>74</v>
      </c>
      <c r="U263" t="s">
        <v>74</v>
      </c>
      <c r="V263" t="s">
        <v>74</v>
      </c>
      <c r="W263" t="s">
        <v>5055</v>
      </c>
      <c r="X263" t="s">
        <v>3480</v>
      </c>
      <c r="Y263" t="s">
        <v>5056</v>
      </c>
      <c r="Z263" t="s">
        <v>74</v>
      </c>
      <c r="AA263" t="s">
        <v>230</v>
      </c>
      <c r="AB263" t="s">
        <v>74</v>
      </c>
      <c r="AC263" t="s">
        <v>74</v>
      </c>
      <c r="AD263" t="s">
        <v>74</v>
      </c>
      <c r="AE263" t="s">
        <v>74</v>
      </c>
      <c r="AF263" t="s">
        <v>74</v>
      </c>
      <c r="AG263">
        <v>3</v>
      </c>
      <c r="AH263">
        <v>0</v>
      </c>
      <c r="AI263">
        <v>0</v>
      </c>
      <c r="AJ263">
        <v>0</v>
      </c>
      <c r="AK263">
        <v>2</v>
      </c>
      <c r="AL263" t="s">
        <v>5057</v>
      </c>
      <c r="AM263" t="s">
        <v>2978</v>
      </c>
      <c r="AN263" t="s">
        <v>2979</v>
      </c>
      <c r="AO263" t="s">
        <v>5058</v>
      </c>
      <c r="AP263" t="s">
        <v>5059</v>
      </c>
      <c r="AQ263" t="s">
        <v>74</v>
      </c>
      <c r="AR263" t="s">
        <v>5060</v>
      </c>
      <c r="AS263" t="s">
        <v>5061</v>
      </c>
      <c r="AT263" t="s">
        <v>74</v>
      </c>
      <c r="AU263">
        <v>2016</v>
      </c>
      <c r="AV263">
        <v>30</v>
      </c>
      <c r="AW263">
        <v>1</v>
      </c>
      <c r="AX263" t="s">
        <v>74</v>
      </c>
      <c r="AY263" t="s">
        <v>74</v>
      </c>
      <c r="AZ263" t="s">
        <v>74</v>
      </c>
      <c r="BA263" t="s">
        <v>74</v>
      </c>
      <c r="BB263">
        <v>588</v>
      </c>
      <c r="BC263">
        <v>591</v>
      </c>
      <c r="BD263" t="s">
        <v>74</v>
      </c>
      <c r="BE263" t="s">
        <v>74</v>
      </c>
      <c r="BF263" t="s">
        <v>74</v>
      </c>
      <c r="BG263" t="s">
        <v>74</v>
      </c>
      <c r="BH263" t="s">
        <v>74</v>
      </c>
      <c r="BI263">
        <v>4</v>
      </c>
      <c r="BJ263" t="s">
        <v>5062</v>
      </c>
      <c r="BK263" t="s">
        <v>96</v>
      </c>
      <c r="BL263" t="s">
        <v>2887</v>
      </c>
      <c r="BM263" t="s">
        <v>5063</v>
      </c>
      <c r="BN263" t="s">
        <v>74</v>
      </c>
      <c r="BO263" t="s">
        <v>74</v>
      </c>
      <c r="BP263" t="s">
        <v>74</v>
      </c>
      <c r="BQ263" t="s">
        <v>74</v>
      </c>
      <c r="BR263" t="s">
        <v>100</v>
      </c>
      <c r="BS263" t="s">
        <v>5064</v>
      </c>
      <c r="BT263" t="str">
        <f>HYPERLINK("https%3A%2F%2Fwww.webofscience.com%2Fwos%2Fwoscc%2Ffull-record%2FWOS:000375840000024","View Full Record in Web of Science")</f>
        <v>View Full Record in Web of Science</v>
      </c>
    </row>
    <row r="264" spans="1:72" x14ac:dyDescent="0.15">
      <c r="A264" t="s">
        <v>72</v>
      </c>
      <c r="B264" t="s">
        <v>5065</v>
      </c>
      <c r="C264" t="s">
        <v>74</v>
      </c>
      <c r="D264" t="s">
        <v>74</v>
      </c>
      <c r="E264" t="s">
        <v>74</v>
      </c>
      <c r="F264" t="s">
        <v>5066</v>
      </c>
      <c r="G264" t="s">
        <v>74</v>
      </c>
      <c r="H264" t="s">
        <v>74</v>
      </c>
      <c r="I264" t="s">
        <v>5067</v>
      </c>
      <c r="J264" t="s">
        <v>2619</v>
      </c>
      <c r="K264" t="s">
        <v>74</v>
      </c>
      <c r="L264" t="s">
        <v>74</v>
      </c>
      <c r="M264" t="s">
        <v>200</v>
      </c>
      <c r="N264" t="s">
        <v>79</v>
      </c>
      <c r="O264" t="s">
        <v>74</v>
      </c>
      <c r="P264" t="s">
        <v>74</v>
      </c>
      <c r="Q264" t="s">
        <v>74</v>
      </c>
      <c r="R264" t="s">
        <v>74</v>
      </c>
      <c r="S264" t="s">
        <v>74</v>
      </c>
      <c r="T264" t="s">
        <v>5068</v>
      </c>
      <c r="U264" t="s">
        <v>5069</v>
      </c>
      <c r="V264" t="s">
        <v>5070</v>
      </c>
      <c r="W264" t="s">
        <v>5071</v>
      </c>
      <c r="X264" t="s">
        <v>5072</v>
      </c>
      <c r="Y264" t="s">
        <v>5073</v>
      </c>
      <c r="Z264" t="s">
        <v>5074</v>
      </c>
      <c r="AA264" t="s">
        <v>5075</v>
      </c>
      <c r="AB264" t="s">
        <v>74</v>
      </c>
      <c r="AC264" t="s">
        <v>74</v>
      </c>
      <c r="AD264" t="s">
        <v>74</v>
      </c>
      <c r="AE264" t="s">
        <v>74</v>
      </c>
      <c r="AF264" t="s">
        <v>74</v>
      </c>
      <c r="AG264">
        <v>79</v>
      </c>
      <c r="AH264">
        <v>2</v>
      </c>
      <c r="AI264">
        <v>4</v>
      </c>
      <c r="AJ264">
        <v>1</v>
      </c>
      <c r="AK264">
        <v>27</v>
      </c>
      <c r="AL264" t="s">
        <v>3655</v>
      </c>
      <c r="AM264" t="s">
        <v>3656</v>
      </c>
      <c r="AN264" t="s">
        <v>3657</v>
      </c>
      <c r="AO264" t="s">
        <v>2632</v>
      </c>
      <c r="AP264" t="s">
        <v>2633</v>
      </c>
      <c r="AQ264" t="s">
        <v>74</v>
      </c>
      <c r="AR264" t="s">
        <v>2634</v>
      </c>
      <c r="AS264" t="s">
        <v>2635</v>
      </c>
      <c r="AT264" t="s">
        <v>74</v>
      </c>
      <c r="AU264">
        <v>2016</v>
      </c>
      <c r="AV264">
        <v>35</v>
      </c>
      <c r="AW264" t="s">
        <v>74</v>
      </c>
      <c r="AX264" t="s">
        <v>74</v>
      </c>
      <c r="AY264" t="s">
        <v>74</v>
      </c>
      <c r="AZ264" t="s">
        <v>74</v>
      </c>
      <c r="BA264" t="s">
        <v>74</v>
      </c>
      <c r="BB264" t="s">
        <v>74</v>
      </c>
      <c r="BC264" t="s">
        <v>74</v>
      </c>
      <c r="BD264">
        <v>20703</v>
      </c>
      <c r="BE264" t="s">
        <v>5076</v>
      </c>
      <c r="BF264" t="str">
        <f>HYPERLINK("http://dx.doi.org/10.3402/polar.v35.20703","http://dx.doi.org/10.3402/polar.v35.20703")</f>
        <v>http://dx.doi.org/10.3402/polar.v35.20703</v>
      </c>
      <c r="BG264" t="s">
        <v>74</v>
      </c>
      <c r="BH264" t="s">
        <v>74</v>
      </c>
      <c r="BI264">
        <v>11</v>
      </c>
      <c r="BJ264" t="s">
        <v>2637</v>
      </c>
      <c r="BK264" t="s">
        <v>264</v>
      </c>
      <c r="BL264" t="s">
        <v>2638</v>
      </c>
      <c r="BM264" t="s">
        <v>5077</v>
      </c>
      <c r="BN264" t="s">
        <v>74</v>
      </c>
      <c r="BO264" t="s">
        <v>511</v>
      </c>
      <c r="BP264" t="s">
        <v>74</v>
      </c>
      <c r="BQ264" t="s">
        <v>74</v>
      </c>
      <c r="BR264" t="s">
        <v>100</v>
      </c>
      <c r="BS264" t="s">
        <v>5078</v>
      </c>
      <c r="BT264" t="str">
        <f>HYPERLINK("https%3A%2F%2Fwww.webofscience.com%2Fwos%2Fwoscc%2Ffull-record%2FWOS:000376254900001","View Full Record in Web of Science")</f>
        <v>View Full Record in Web of Science</v>
      </c>
    </row>
    <row r="265" spans="1:72" x14ac:dyDescent="0.15">
      <c r="A265" t="s">
        <v>72</v>
      </c>
      <c r="B265" t="s">
        <v>5079</v>
      </c>
      <c r="C265" t="s">
        <v>74</v>
      </c>
      <c r="D265" t="s">
        <v>74</v>
      </c>
      <c r="E265" t="s">
        <v>74</v>
      </c>
      <c r="F265" t="s">
        <v>5080</v>
      </c>
      <c r="G265" t="s">
        <v>74</v>
      </c>
      <c r="H265" t="s">
        <v>74</v>
      </c>
      <c r="I265" t="s">
        <v>5081</v>
      </c>
      <c r="J265" t="s">
        <v>2619</v>
      </c>
      <c r="K265" t="s">
        <v>74</v>
      </c>
      <c r="L265" t="s">
        <v>74</v>
      </c>
      <c r="M265" t="s">
        <v>200</v>
      </c>
      <c r="N265" t="s">
        <v>79</v>
      </c>
      <c r="O265" t="s">
        <v>74</v>
      </c>
      <c r="P265" t="s">
        <v>74</v>
      </c>
      <c r="Q265" t="s">
        <v>74</v>
      </c>
      <c r="R265" t="s">
        <v>74</v>
      </c>
      <c r="S265" t="s">
        <v>74</v>
      </c>
      <c r="T265" t="s">
        <v>5082</v>
      </c>
      <c r="U265" t="s">
        <v>5083</v>
      </c>
      <c r="V265" t="s">
        <v>5084</v>
      </c>
      <c r="W265" t="s">
        <v>5085</v>
      </c>
      <c r="X265" t="s">
        <v>5086</v>
      </c>
      <c r="Y265" t="s">
        <v>5087</v>
      </c>
      <c r="Z265" t="s">
        <v>5088</v>
      </c>
      <c r="AA265" t="s">
        <v>5089</v>
      </c>
      <c r="AB265" t="s">
        <v>74</v>
      </c>
      <c r="AC265" t="s">
        <v>5090</v>
      </c>
      <c r="AD265" t="s">
        <v>5090</v>
      </c>
      <c r="AE265" t="s">
        <v>5091</v>
      </c>
      <c r="AF265" t="s">
        <v>74</v>
      </c>
      <c r="AG265">
        <v>56</v>
      </c>
      <c r="AH265">
        <v>3</v>
      </c>
      <c r="AI265">
        <v>3</v>
      </c>
      <c r="AJ265">
        <v>1</v>
      </c>
      <c r="AK265">
        <v>4</v>
      </c>
      <c r="AL265" t="s">
        <v>502</v>
      </c>
      <c r="AM265" t="s">
        <v>503</v>
      </c>
      <c r="AN265" t="s">
        <v>504</v>
      </c>
      <c r="AO265" t="s">
        <v>2632</v>
      </c>
      <c r="AP265" t="s">
        <v>2633</v>
      </c>
      <c r="AQ265" t="s">
        <v>74</v>
      </c>
      <c r="AR265" t="s">
        <v>2634</v>
      </c>
      <c r="AS265" t="s">
        <v>2635</v>
      </c>
      <c r="AT265" t="s">
        <v>74</v>
      </c>
      <c r="AU265">
        <v>2016</v>
      </c>
      <c r="AV265">
        <v>35</v>
      </c>
      <c r="AW265" t="s">
        <v>74</v>
      </c>
      <c r="AX265" t="s">
        <v>74</v>
      </c>
      <c r="AY265" t="s">
        <v>74</v>
      </c>
      <c r="AZ265" t="s">
        <v>74</v>
      </c>
      <c r="BA265" t="s">
        <v>74</v>
      </c>
      <c r="BB265" t="s">
        <v>74</v>
      </c>
      <c r="BC265" t="s">
        <v>74</v>
      </c>
      <c r="BD265">
        <v>23104</v>
      </c>
      <c r="BE265" t="s">
        <v>5092</v>
      </c>
      <c r="BF265" t="str">
        <f>HYPERLINK("http://dx.doi.org/10.3402/polar.v35.23104","http://dx.doi.org/10.3402/polar.v35.23104")</f>
        <v>http://dx.doi.org/10.3402/polar.v35.23104</v>
      </c>
      <c r="BG265" t="s">
        <v>74</v>
      </c>
      <c r="BH265" t="s">
        <v>74</v>
      </c>
      <c r="BI265">
        <v>13</v>
      </c>
      <c r="BJ265" t="s">
        <v>2637</v>
      </c>
      <c r="BK265" t="s">
        <v>264</v>
      </c>
      <c r="BL265" t="s">
        <v>2638</v>
      </c>
      <c r="BM265" t="s">
        <v>5093</v>
      </c>
      <c r="BN265" t="s">
        <v>74</v>
      </c>
      <c r="BO265" t="s">
        <v>511</v>
      </c>
      <c r="BP265" t="s">
        <v>74</v>
      </c>
      <c r="BQ265" t="s">
        <v>74</v>
      </c>
      <c r="BR265" t="s">
        <v>100</v>
      </c>
      <c r="BS265" t="s">
        <v>5094</v>
      </c>
      <c r="BT265" t="str">
        <f>HYPERLINK("https%3A%2F%2Fwww.webofscience.com%2Fwos%2Fwoscc%2Ffull-record%2FWOS:000376255100001","View Full Record in Web of Science")</f>
        <v>View Full Record in Web of Science</v>
      </c>
    </row>
    <row r="266" spans="1:72" x14ac:dyDescent="0.15">
      <c r="A266" t="s">
        <v>72</v>
      </c>
      <c r="B266" t="s">
        <v>5095</v>
      </c>
      <c r="C266" t="s">
        <v>74</v>
      </c>
      <c r="D266" t="s">
        <v>74</v>
      </c>
      <c r="E266" t="s">
        <v>74</v>
      </c>
      <c r="F266" t="s">
        <v>5096</v>
      </c>
      <c r="G266" t="s">
        <v>74</v>
      </c>
      <c r="H266" t="s">
        <v>74</v>
      </c>
      <c r="I266" t="s">
        <v>5097</v>
      </c>
      <c r="J266" t="s">
        <v>5098</v>
      </c>
      <c r="K266" t="s">
        <v>74</v>
      </c>
      <c r="L266" t="s">
        <v>74</v>
      </c>
      <c r="M266" t="s">
        <v>200</v>
      </c>
      <c r="N266" t="s">
        <v>79</v>
      </c>
      <c r="O266" t="s">
        <v>74</v>
      </c>
      <c r="P266" t="s">
        <v>74</v>
      </c>
      <c r="Q266" t="s">
        <v>74</v>
      </c>
      <c r="R266" t="s">
        <v>74</v>
      </c>
      <c r="S266" t="s">
        <v>74</v>
      </c>
      <c r="T266" t="s">
        <v>74</v>
      </c>
      <c r="U266" t="s">
        <v>5099</v>
      </c>
      <c r="V266" t="s">
        <v>5100</v>
      </c>
      <c r="W266" t="s">
        <v>5101</v>
      </c>
      <c r="X266" t="s">
        <v>5102</v>
      </c>
      <c r="Y266" t="s">
        <v>5103</v>
      </c>
      <c r="Z266" t="s">
        <v>5104</v>
      </c>
      <c r="AA266" t="s">
        <v>5105</v>
      </c>
      <c r="AB266" t="s">
        <v>5106</v>
      </c>
      <c r="AC266" t="s">
        <v>5107</v>
      </c>
      <c r="AD266" t="s">
        <v>5108</v>
      </c>
      <c r="AE266" t="s">
        <v>5109</v>
      </c>
      <c r="AF266" t="s">
        <v>74</v>
      </c>
      <c r="AG266">
        <v>45</v>
      </c>
      <c r="AH266">
        <v>20</v>
      </c>
      <c r="AI266">
        <v>20</v>
      </c>
      <c r="AJ266">
        <v>3</v>
      </c>
      <c r="AK266">
        <v>22</v>
      </c>
      <c r="AL266" t="s">
        <v>5110</v>
      </c>
      <c r="AM266" t="s">
        <v>289</v>
      </c>
      <c r="AN266" t="s">
        <v>5111</v>
      </c>
      <c r="AO266" t="s">
        <v>5112</v>
      </c>
      <c r="AP266" t="s">
        <v>5113</v>
      </c>
      <c r="AQ266" t="s">
        <v>74</v>
      </c>
      <c r="AR266" t="s">
        <v>5114</v>
      </c>
      <c r="AS266" t="s">
        <v>5115</v>
      </c>
      <c r="AT266" t="s">
        <v>315</v>
      </c>
      <c r="AU266">
        <v>2016</v>
      </c>
      <c r="AV266">
        <v>56</v>
      </c>
      <c r="AW266">
        <v>1</v>
      </c>
      <c r="AX266" t="s">
        <v>74</v>
      </c>
      <c r="AY266" t="s">
        <v>74</v>
      </c>
      <c r="AZ266" t="s">
        <v>74</v>
      </c>
      <c r="BA266" t="s">
        <v>74</v>
      </c>
      <c r="BB266">
        <v>95</v>
      </c>
      <c r="BC266">
        <v>109</v>
      </c>
      <c r="BD266" t="s">
        <v>74</v>
      </c>
      <c r="BE266" t="s">
        <v>5116</v>
      </c>
      <c r="BF266" t="str">
        <f>HYPERLINK("http://dx.doi.org/10.1134/S0016793215060146","http://dx.doi.org/10.1134/S0016793215060146")</f>
        <v>http://dx.doi.org/10.1134/S0016793215060146</v>
      </c>
      <c r="BG266" t="s">
        <v>74</v>
      </c>
      <c r="BH266" t="s">
        <v>74</v>
      </c>
      <c r="BI266">
        <v>15</v>
      </c>
      <c r="BJ266" t="s">
        <v>4474</v>
      </c>
      <c r="BK266" t="s">
        <v>264</v>
      </c>
      <c r="BL266" t="s">
        <v>4474</v>
      </c>
      <c r="BM266" t="s">
        <v>5117</v>
      </c>
      <c r="BN266" t="s">
        <v>74</v>
      </c>
      <c r="BO266" t="s">
        <v>74</v>
      </c>
      <c r="BP266" t="s">
        <v>74</v>
      </c>
      <c r="BQ266" t="s">
        <v>74</v>
      </c>
      <c r="BR266" t="s">
        <v>100</v>
      </c>
      <c r="BS266" t="s">
        <v>5118</v>
      </c>
      <c r="BT266" t="str">
        <f>HYPERLINK("https%3A%2F%2Fwww.webofscience.com%2Fwos%2Fwoscc%2Ffull-record%2FWOS:000374673000011","View Full Record in Web of Science")</f>
        <v>View Full Record in Web of Science</v>
      </c>
    </row>
    <row r="267" spans="1:72" x14ac:dyDescent="0.15">
      <c r="A267" t="s">
        <v>72</v>
      </c>
      <c r="B267" t="s">
        <v>5119</v>
      </c>
      <c r="C267" t="s">
        <v>74</v>
      </c>
      <c r="D267" t="s">
        <v>74</v>
      </c>
      <c r="E267" t="s">
        <v>74</v>
      </c>
      <c r="F267" t="s">
        <v>5120</v>
      </c>
      <c r="G267" t="s">
        <v>74</v>
      </c>
      <c r="H267" t="s">
        <v>74</v>
      </c>
      <c r="I267" t="s">
        <v>5121</v>
      </c>
      <c r="J267" t="s">
        <v>2378</v>
      </c>
      <c r="K267" t="s">
        <v>74</v>
      </c>
      <c r="L267" t="s">
        <v>74</v>
      </c>
      <c r="M267" t="s">
        <v>200</v>
      </c>
      <c r="N267" t="s">
        <v>79</v>
      </c>
      <c r="O267" t="s">
        <v>74</v>
      </c>
      <c r="P267" t="s">
        <v>74</v>
      </c>
      <c r="Q267" t="s">
        <v>74</v>
      </c>
      <c r="R267" t="s">
        <v>74</v>
      </c>
      <c r="S267" t="s">
        <v>74</v>
      </c>
      <c r="T267" t="s">
        <v>5122</v>
      </c>
      <c r="U267" t="s">
        <v>5123</v>
      </c>
      <c r="V267" t="s">
        <v>5124</v>
      </c>
      <c r="W267" t="s">
        <v>5125</v>
      </c>
      <c r="X267" t="s">
        <v>5126</v>
      </c>
      <c r="Y267" t="s">
        <v>5127</v>
      </c>
      <c r="Z267" t="s">
        <v>5128</v>
      </c>
      <c r="AA267" t="s">
        <v>74</v>
      </c>
      <c r="AB267" t="s">
        <v>74</v>
      </c>
      <c r="AC267" t="s">
        <v>5129</v>
      </c>
      <c r="AD267" t="s">
        <v>5130</v>
      </c>
      <c r="AE267" t="s">
        <v>5131</v>
      </c>
      <c r="AF267" t="s">
        <v>74</v>
      </c>
      <c r="AG267">
        <v>51</v>
      </c>
      <c r="AH267">
        <v>3</v>
      </c>
      <c r="AI267">
        <v>3</v>
      </c>
      <c r="AJ267">
        <v>0</v>
      </c>
      <c r="AK267">
        <v>20</v>
      </c>
      <c r="AL267" t="s">
        <v>2263</v>
      </c>
      <c r="AM267" t="s">
        <v>2264</v>
      </c>
      <c r="AN267" t="s">
        <v>2265</v>
      </c>
      <c r="AO267" t="s">
        <v>2389</v>
      </c>
      <c r="AP267" t="s">
        <v>2390</v>
      </c>
      <c r="AQ267" t="s">
        <v>74</v>
      </c>
      <c r="AR267" t="s">
        <v>2391</v>
      </c>
      <c r="AS267" t="s">
        <v>2392</v>
      </c>
      <c r="AT267" t="s">
        <v>74</v>
      </c>
      <c r="AU267">
        <v>2016</v>
      </c>
      <c r="AV267">
        <v>39</v>
      </c>
      <c r="AW267">
        <v>2</v>
      </c>
      <c r="AX267" t="s">
        <v>74</v>
      </c>
      <c r="AY267" t="s">
        <v>74</v>
      </c>
      <c r="AZ267" t="s">
        <v>74</v>
      </c>
      <c r="BA267" t="s">
        <v>74</v>
      </c>
      <c r="BB267">
        <v>178</v>
      </c>
      <c r="BC267">
        <v>194</v>
      </c>
      <c r="BD267" t="s">
        <v>74</v>
      </c>
      <c r="BE267" t="s">
        <v>5132</v>
      </c>
      <c r="BF267" t="str">
        <f>HYPERLINK("http://dx.doi.org/10.1080/01490419.2016.1145609","http://dx.doi.org/10.1080/01490419.2016.1145609")</f>
        <v>http://dx.doi.org/10.1080/01490419.2016.1145609</v>
      </c>
      <c r="BG267" t="s">
        <v>74</v>
      </c>
      <c r="BH267" t="s">
        <v>74</v>
      </c>
      <c r="BI267">
        <v>17</v>
      </c>
      <c r="BJ267" t="s">
        <v>2394</v>
      </c>
      <c r="BK267" t="s">
        <v>264</v>
      </c>
      <c r="BL267" t="s">
        <v>2394</v>
      </c>
      <c r="BM267" t="s">
        <v>5133</v>
      </c>
      <c r="BN267" t="s">
        <v>74</v>
      </c>
      <c r="BO267" t="s">
        <v>74</v>
      </c>
      <c r="BP267" t="s">
        <v>74</v>
      </c>
      <c r="BQ267" t="s">
        <v>74</v>
      </c>
      <c r="BR267" t="s">
        <v>100</v>
      </c>
      <c r="BS267" t="s">
        <v>5134</v>
      </c>
      <c r="BT267" t="str">
        <f>HYPERLINK("https%3A%2F%2Fwww.webofscience.com%2Fwos%2Fwoscc%2Ffull-record%2FWOS:000374559000004","View Full Record in Web of Science")</f>
        <v>View Full Record in Web of Science</v>
      </c>
    </row>
    <row r="268" spans="1:72" x14ac:dyDescent="0.15">
      <c r="A268" t="s">
        <v>72</v>
      </c>
      <c r="B268" t="s">
        <v>5135</v>
      </c>
      <c r="C268" t="s">
        <v>74</v>
      </c>
      <c r="D268" t="s">
        <v>74</v>
      </c>
      <c r="E268" t="s">
        <v>74</v>
      </c>
      <c r="F268" t="s">
        <v>5136</v>
      </c>
      <c r="G268" t="s">
        <v>74</v>
      </c>
      <c r="H268" t="s">
        <v>74</v>
      </c>
      <c r="I268" t="s">
        <v>5137</v>
      </c>
      <c r="J268" t="s">
        <v>5138</v>
      </c>
      <c r="K268" t="s">
        <v>74</v>
      </c>
      <c r="L268" t="s">
        <v>74</v>
      </c>
      <c r="M268" t="s">
        <v>200</v>
      </c>
      <c r="N268" t="s">
        <v>79</v>
      </c>
      <c r="O268" t="s">
        <v>74</v>
      </c>
      <c r="P268" t="s">
        <v>74</v>
      </c>
      <c r="Q268" t="s">
        <v>74</v>
      </c>
      <c r="R268" t="s">
        <v>74</v>
      </c>
      <c r="S268" t="s">
        <v>74</v>
      </c>
      <c r="T268" t="s">
        <v>5139</v>
      </c>
      <c r="U268" t="s">
        <v>5140</v>
      </c>
      <c r="V268" t="s">
        <v>5141</v>
      </c>
      <c r="W268" t="s">
        <v>5142</v>
      </c>
      <c r="X268" t="s">
        <v>5143</v>
      </c>
      <c r="Y268" t="s">
        <v>5144</v>
      </c>
      <c r="Z268" t="s">
        <v>5145</v>
      </c>
      <c r="AA268" t="s">
        <v>5146</v>
      </c>
      <c r="AB268" t="s">
        <v>5147</v>
      </c>
      <c r="AC268" t="s">
        <v>5148</v>
      </c>
      <c r="AD268" t="s">
        <v>5148</v>
      </c>
      <c r="AE268" t="s">
        <v>5149</v>
      </c>
      <c r="AF268" t="s">
        <v>74</v>
      </c>
      <c r="AG268">
        <v>30</v>
      </c>
      <c r="AH268">
        <v>1</v>
      </c>
      <c r="AI268">
        <v>1</v>
      </c>
      <c r="AJ268">
        <v>1</v>
      </c>
      <c r="AK268">
        <v>13</v>
      </c>
      <c r="AL268" t="s">
        <v>5150</v>
      </c>
      <c r="AM268" t="s">
        <v>786</v>
      </c>
      <c r="AN268" t="s">
        <v>5151</v>
      </c>
      <c r="AO268" t="s">
        <v>5152</v>
      </c>
      <c r="AP268" t="s">
        <v>74</v>
      </c>
      <c r="AQ268" t="s">
        <v>74</v>
      </c>
      <c r="AR268" t="s">
        <v>5153</v>
      </c>
      <c r="AS268" t="s">
        <v>5154</v>
      </c>
      <c r="AT268" t="s">
        <v>74</v>
      </c>
      <c r="AU268">
        <v>2016</v>
      </c>
      <c r="AV268">
        <v>17</v>
      </c>
      <c r="AW268">
        <v>1</v>
      </c>
      <c r="AX268" t="s">
        <v>74</v>
      </c>
      <c r="AY268" t="s">
        <v>74</v>
      </c>
      <c r="AZ268" t="s">
        <v>74</v>
      </c>
      <c r="BA268" t="s">
        <v>74</v>
      </c>
      <c r="BB268">
        <v>211</v>
      </c>
      <c r="BC268">
        <v>221</v>
      </c>
      <c r="BD268" t="s">
        <v>74</v>
      </c>
      <c r="BE268" t="s">
        <v>74</v>
      </c>
      <c r="BF268" t="s">
        <v>74</v>
      </c>
      <c r="BG268" t="s">
        <v>74</v>
      </c>
      <c r="BH268" t="s">
        <v>74</v>
      </c>
      <c r="BI268">
        <v>11</v>
      </c>
      <c r="BJ268" t="s">
        <v>5155</v>
      </c>
      <c r="BK268" t="s">
        <v>264</v>
      </c>
      <c r="BL268" t="s">
        <v>2887</v>
      </c>
      <c r="BM268" t="s">
        <v>5156</v>
      </c>
      <c r="BN268" t="s">
        <v>74</v>
      </c>
      <c r="BO268" t="s">
        <v>74</v>
      </c>
      <c r="BP268" t="s">
        <v>74</v>
      </c>
      <c r="BQ268" t="s">
        <v>74</v>
      </c>
      <c r="BR268" t="s">
        <v>100</v>
      </c>
      <c r="BS268" t="s">
        <v>5157</v>
      </c>
      <c r="BT268" t="str">
        <f>HYPERLINK("https%3A%2F%2Fwww.webofscience.com%2Fwos%2Fwoscc%2Ffull-record%2FWOS:000375503300024","View Full Record in Web of Science")</f>
        <v>View Full Record in Web of Science</v>
      </c>
    </row>
    <row r="269" spans="1:72" x14ac:dyDescent="0.15">
      <c r="A269" t="s">
        <v>72</v>
      </c>
      <c r="B269" t="s">
        <v>5158</v>
      </c>
      <c r="C269" t="s">
        <v>74</v>
      </c>
      <c r="D269" t="s">
        <v>74</v>
      </c>
      <c r="E269" t="s">
        <v>74</v>
      </c>
      <c r="F269" t="s">
        <v>5159</v>
      </c>
      <c r="G269" t="s">
        <v>74</v>
      </c>
      <c r="H269" t="s">
        <v>74</v>
      </c>
      <c r="I269" t="s">
        <v>5160</v>
      </c>
      <c r="J269" t="s">
        <v>5161</v>
      </c>
      <c r="K269" t="s">
        <v>74</v>
      </c>
      <c r="L269" t="s">
        <v>74</v>
      </c>
      <c r="M269" t="s">
        <v>200</v>
      </c>
      <c r="N269" t="s">
        <v>79</v>
      </c>
      <c r="O269" t="s">
        <v>74</v>
      </c>
      <c r="P269" t="s">
        <v>74</v>
      </c>
      <c r="Q269" t="s">
        <v>74</v>
      </c>
      <c r="R269" t="s">
        <v>74</v>
      </c>
      <c r="S269" t="s">
        <v>74</v>
      </c>
      <c r="T269" t="s">
        <v>74</v>
      </c>
      <c r="U269" t="s">
        <v>5162</v>
      </c>
      <c r="V269" t="s">
        <v>5163</v>
      </c>
      <c r="W269" t="s">
        <v>5164</v>
      </c>
      <c r="X269" t="s">
        <v>5165</v>
      </c>
      <c r="Y269" t="s">
        <v>5166</v>
      </c>
      <c r="Z269" t="s">
        <v>5167</v>
      </c>
      <c r="AA269" t="s">
        <v>5168</v>
      </c>
      <c r="AB269" t="s">
        <v>74</v>
      </c>
      <c r="AC269" t="s">
        <v>5169</v>
      </c>
      <c r="AD269" t="s">
        <v>5170</v>
      </c>
      <c r="AE269" t="s">
        <v>5171</v>
      </c>
      <c r="AF269" t="s">
        <v>74</v>
      </c>
      <c r="AG269">
        <v>30</v>
      </c>
      <c r="AH269">
        <v>20</v>
      </c>
      <c r="AI269">
        <v>22</v>
      </c>
      <c r="AJ269">
        <v>0</v>
      </c>
      <c r="AK269">
        <v>14</v>
      </c>
      <c r="AL269" t="s">
        <v>2099</v>
      </c>
      <c r="AM269" t="s">
        <v>2100</v>
      </c>
      <c r="AN269" t="s">
        <v>2101</v>
      </c>
      <c r="AO269" t="s">
        <v>5172</v>
      </c>
      <c r="AP269" t="s">
        <v>5173</v>
      </c>
      <c r="AQ269" t="s">
        <v>74</v>
      </c>
      <c r="AR269" t="s">
        <v>5174</v>
      </c>
      <c r="AS269" t="s">
        <v>5175</v>
      </c>
      <c r="AT269" t="s">
        <v>74</v>
      </c>
      <c r="AU269">
        <v>2016</v>
      </c>
      <c r="AV269">
        <v>2016</v>
      </c>
      <c r="AW269" t="s">
        <v>74</v>
      </c>
      <c r="AX269" t="s">
        <v>74</v>
      </c>
      <c r="AY269" t="s">
        <v>74</v>
      </c>
      <c r="AZ269" t="s">
        <v>74</v>
      </c>
      <c r="BA269" t="s">
        <v>74</v>
      </c>
      <c r="BB269" t="s">
        <v>74</v>
      </c>
      <c r="BC269" t="s">
        <v>74</v>
      </c>
      <c r="BD269">
        <v>7073619</v>
      </c>
      <c r="BE269" t="s">
        <v>5176</v>
      </c>
      <c r="BF269" t="str">
        <f>HYPERLINK("http://dx.doi.org/10.1155/2016/7073619","http://dx.doi.org/10.1155/2016/7073619")</f>
        <v>http://dx.doi.org/10.1155/2016/7073619</v>
      </c>
      <c r="BG269" t="s">
        <v>74</v>
      </c>
      <c r="BH269" t="s">
        <v>74</v>
      </c>
      <c r="BI269">
        <v>10</v>
      </c>
      <c r="BJ269" t="s">
        <v>5177</v>
      </c>
      <c r="BK269" t="s">
        <v>264</v>
      </c>
      <c r="BL269" t="s">
        <v>5178</v>
      </c>
      <c r="BM269" t="s">
        <v>5179</v>
      </c>
      <c r="BN269" t="s">
        <v>74</v>
      </c>
      <c r="BO269" t="s">
        <v>2134</v>
      </c>
      <c r="BP269" t="s">
        <v>74</v>
      </c>
      <c r="BQ269" t="s">
        <v>74</v>
      </c>
      <c r="BR269" t="s">
        <v>100</v>
      </c>
      <c r="BS269" t="s">
        <v>5180</v>
      </c>
      <c r="BT269" t="str">
        <f>HYPERLINK("https%3A%2F%2Fwww.webofscience.com%2Fwos%2Fwoscc%2Ffull-record%2FWOS:000375595400001","View Full Record in Web of Science")</f>
        <v>View Full Record in Web of Science</v>
      </c>
    </row>
    <row r="270" spans="1:72" x14ac:dyDescent="0.15">
      <c r="A270" t="s">
        <v>72</v>
      </c>
      <c r="B270" t="s">
        <v>5181</v>
      </c>
      <c r="C270" t="s">
        <v>74</v>
      </c>
      <c r="D270" t="s">
        <v>74</v>
      </c>
      <c r="E270" t="s">
        <v>74</v>
      </c>
      <c r="F270" t="s">
        <v>5182</v>
      </c>
      <c r="G270" t="s">
        <v>74</v>
      </c>
      <c r="H270" t="s">
        <v>74</v>
      </c>
      <c r="I270" t="s">
        <v>5183</v>
      </c>
      <c r="J270" t="s">
        <v>3043</v>
      </c>
      <c r="K270" t="s">
        <v>74</v>
      </c>
      <c r="L270" t="s">
        <v>74</v>
      </c>
      <c r="M270" t="s">
        <v>200</v>
      </c>
      <c r="N270" t="s">
        <v>79</v>
      </c>
      <c r="O270" t="s">
        <v>74</v>
      </c>
      <c r="P270" t="s">
        <v>74</v>
      </c>
      <c r="Q270" t="s">
        <v>74</v>
      </c>
      <c r="R270" t="s">
        <v>74</v>
      </c>
      <c r="S270" t="s">
        <v>74</v>
      </c>
      <c r="T270" t="s">
        <v>5184</v>
      </c>
      <c r="U270" t="s">
        <v>5185</v>
      </c>
      <c r="V270" t="s">
        <v>5186</v>
      </c>
      <c r="W270" t="s">
        <v>5187</v>
      </c>
      <c r="X270" t="s">
        <v>5188</v>
      </c>
      <c r="Y270" t="s">
        <v>5189</v>
      </c>
      <c r="Z270" t="s">
        <v>5190</v>
      </c>
      <c r="AA270" t="s">
        <v>5191</v>
      </c>
      <c r="AB270" t="s">
        <v>5192</v>
      </c>
      <c r="AC270" t="s">
        <v>5193</v>
      </c>
      <c r="AD270" t="s">
        <v>5194</v>
      </c>
      <c r="AE270" t="s">
        <v>5195</v>
      </c>
      <c r="AF270" t="s">
        <v>74</v>
      </c>
      <c r="AG270">
        <v>79</v>
      </c>
      <c r="AH270">
        <v>7</v>
      </c>
      <c r="AI270">
        <v>8</v>
      </c>
      <c r="AJ270">
        <v>1</v>
      </c>
      <c r="AK270">
        <v>15</v>
      </c>
      <c r="AL270" t="s">
        <v>380</v>
      </c>
      <c r="AM270" t="s">
        <v>381</v>
      </c>
      <c r="AN270" t="s">
        <v>382</v>
      </c>
      <c r="AO270" t="s">
        <v>3055</v>
      </c>
      <c r="AP270" t="s">
        <v>3056</v>
      </c>
      <c r="AQ270" t="s">
        <v>74</v>
      </c>
      <c r="AR270" t="s">
        <v>3057</v>
      </c>
      <c r="AS270" t="s">
        <v>3058</v>
      </c>
      <c r="AT270" t="s">
        <v>74</v>
      </c>
      <c r="AU270">
        <v>2016</v>
      </c>
      <c r="AV270">
        <v>67</v>
      </c>
      <c r="AW270">
        <v>5</v>
      </c>
      <c r="AX270" t="s">
        <v>74</v>
      </c>
      <c r="AY270" t="s">
        <v>74</v>
      </c>
      <c r="AZ270" t="s">
        <v>74</v>
      </c>
      <c r="BA270" t="s">
        <v>74</v>
      </c>
      <c r="BB270">
        <v>626</v>
      </c>
      <c r="BC270">
        <v>635</v>
      </c>
      <c r="BD270" t="s">
        <v>74</v>
      </c>
      <c r="BE270" t="s">
        <v>5196</v>
      </c>
      <c r="BF270" t="str">
        <f>HYPERLINK("http://dx.doi.org/10.1071/MF14357","http://dx.doi.org/10.1071/MF14357")</f>
        <v>http://dx.doi.org/10.1071/MF14357</v>
      </c>
      <c r="BG270" t="s">
        <v>74</v>
      </c>
      <c r="BH270" t="s">
        <v>74</v>
      </c>
      <c r="BI270">
        <v>10</v>
      </c>
      <c r="BJ270" t="s">
        <v>3060</v>
      </c>
      <c r="BK270" t="s">
        <v>264</v>
      </c>
      <c r="BL270" t="s">
        <v>3061</v>
      </c>
      <c r="BM270" t="s">
        <v>5197</v>
      </c>
      <c r="BN270" t="s">
        <v>74</v>
      </c>
      <c r="BO270" t="s">
        <v>74</v>
      </c>
      <c r="BP270" t="s">
        <v>74</v>
      </c>
      <c r="BQ270" t="s">
        <v>74</v>
      </c>
      <c r="BR270" t="s">
        <v>100</v>
      </c>
      <c r="BS270" t="s">
        <v>5198</v>
      </c>
      <c r="BT270" t="str">
        <f>HYPERLINK("https%3A%2F%2Fwww.webofscience.com%2Fwos%2Fwoscc%2Ffull-record%2FWOS:000375094200010","View Full Record in Web of Science")</f>
        <v>View Full Record in Web of Science</v>
      </c>
    </row>
    <row r="271" spans="1:72" x14ac:dyDescent="0.15">
      <c r="A271" t="s">
        <v>72</v>
      </c>
      <c r="B271" t="s">
        <v>5199</v>
      </c>
      <c r="C271" t="s">
        <v>74</v>
      </c>
      <c r="D271" t="s">
        <v>74</v>
      </c>
      <c r="E271" t="s">
        <v>74</v>
      </c>
      <c r="F271" t="s">
        <v>5200</v>
      </c>
      <c r="G271" t="s">
        <v>74</v>
      </c>
      <c r="H271" t="s">
        <v>74</v>
      </c>
      <c r="I271" t="s">
        <v>5201</v>
      </c>
      <c r="J271" t="s">
        <v>5202</v>
      </c>
      <c r="K271" t="s">
        <v>74</v>
      </c>
      <c r="L271" t="s">
        <v>74</v>
      </c>
      <c r="M271" t="s">
        <v>200</v>
      </c>
      <c r="N271" t="s">
        <v>79</v>
      </c>
      <c r="O271" t="s">
        <v>74</v>
      </c>
      <c r="P271" t="s">
        <v>74</v>
      </c>
      <c r="Q271" t="s">
        <v>74</v>
      </c>
      <c r="R271" t="s">
        <v>74</v>
      </c>
      <c r="S271" t="s">
        <v>74</v>
      </c>
      <c r="T271" t="s">
        <v>5203</v>
      </c>
      <c r="U271" t="s">
        <v>74</v>
      </c>
      <c r="V271" t="s">
        <v>5204</v>
      </c>
      <c r="W271" t="s">
        <v>5205</v>
      </c>
      <c r="X271" t="s">
        <v>5206</v>
      </c>
      <c r="Y271" t="s">
        <v>5207</v>
      </c>
      <c r="Z271" t="s">
        <v>74</v>
      </c>
      <c r="AA271" t="s">
        <v>5208</v>
      </c>
      <c r="AB271" t="s">
        <v>74</v>
      </c>
      <c r="AC271" t="s">
        <v>74</v>
      </c>
      <c r="AD271" t="s">
        <v>74</v>
      </c>
      <c r="AE271" t="s">
        <v>74</v>
      </c>
      <c r="AF271" t="s">
        <v>74</v>
      </c>
      <c r="AG271">
        <v>15</v>
      </c>
      <c r="AH271">
        <v>0</v>
      </c>
      <c r="AI271">
        <v>0</v>
      </c>
      <c r="AJ271">
        <v>0</v>
      </c>
      <c r="AK271">
        <v>4</v>
      </c>
      <c r="AL271" t="s">
        <v>5209</v>
      </c>
      <c r="AM271" t="s">
        <v>5210</v>
      </c>
      <c r="AN271" t="s">
        <v>5211</v>
      </c>
      <c r="AO271" t="s">
        <v>5212</v>
      </c>
      <c r="AP271" t="s">
        <v>5213</v>
      </c>
      <c r="AQ271" t="s">
        <v>74</v>
      </c>
      <c r="AR271" t="s">
        <v>5214</v>
      </c>
      <c r="AS271" t="s">
        <v>5215</v>
      </c>
      <c r="AT271" t="s">
        <v>74</v>
      </c>
      <c r="AU271">
        <v>2016</v>
      </c>
      <c r="AV271" t="s">
        <v>74</v>
      </c>
      <c r="AW271">
        <v>6</v>
      </c>
      <c r="AX271" t="s">
        <v>74</v>
      </c>
      <c r="AY271" t="s">
        <v>74</v>
      </c>
      <c r="AZ271" t="s">
        <v>74</v>
      </c>
      <c r="BA271" t="s">
        <v>74</v>
      </c>
      <c r="BB271">
        <v>7</v>
      </c>
      <c r="BC271">
        <v>12</v>
      </c>
      <c r="BD271" t="s">
        <v>74</v>
      </c>
      <c r="BE271" t="s">
        <v>5216</v>
      </c>
      <c r="BF271" t="str">
        <f>HYPERLINK("http://dx.doi.org/10.7203/metode.85.3315","http://dx.doi.org/10.7203/metode.85.3315")</f>
        <v>http://dx.doi.org/10.7203/metode.85.3315</v>
      </c>
      <c r="BG271" t="s">
        <v>74</v>
      </c>
      <c r="BH271" t="s">
        <v>74</v>
      </c>
      <c r="BI271">
        <v>6</v>
      </c>
      <c r="BJ271" t="s">
        <v>5217</v>
      </c>
      <c r="BK271" t="s">
        <v>96</v>
      </c>
      <c r="BL271" t="s">
        <v>5218</v>
      </c>
      <c r="BM271" t="s">
        <v>5219</v>
      </c>
      <c r="BN271" t="s">
        <v>74</v>
      </c>
      <c r="BO271" t="s">
        <v>369</v>
      </c>
      <c r="BP271" t="s">
        <v>74</v>
      </c>
      <c r="BQ271" t="s">
        <v>74</v>
      </c>
      <c r="BR271" t="s">
        <v>100</v>
      </c>
      <c r="BS271" t="s">
        <v>5220</v>
      </c>
      <c r="BT271" t="str">
        <f>HYPERLINK("https%3A%2F%2Fwww.webofscience.com%2Fwos%2Fwoscc%2Ffull-record%2FWOS:000374968400003","View Full Record in Web of Science")</f>
        <v>View Full Record in Web of Science</v>
      </c>
    </row>
    <row r="272" spans="1:72" x14ac:dyDescent="0.15">
      <c r="A272" t="s">
        <v>72</v>
      </c>
      <c r="B272" t="s">
        <v>5221</v>
      </c>
      <c r="C272" t="s">
        <v>74</v>
      </c>
      <c r="D272" t="s">
        <v>74</v>
      </c>
      <c r="E272" t="s">
        <v>74</v>
      </c>
      <c r="F272" t="s">
        <v>5222</v>
      </c>
      <c r="G272" t="s">
        <v>74</v>
      </c>
      <c r="H272" t="s">
        <v>74</v>
      </c>
      <c r="I272" t="s">
        <v>5223</v>
      </c>
      <c r="J272" t="s">
        <v>5224</v>
      </c>
      <c r="K272" t="s">
        <v>74</v>
      </c>
      <c r="L272" t="s">
        <v>74</v>
      </c>
      <c r="M272" t="s">
        <v>200</v>
      </c>
      <c r="N272" t="s">
        <v>79</v>
      </c>
      <c r="O272" t="s">
        <v>74</v>
      </c>
      <c r="P272" t="s">
        <v>74</v>
      </c>
      <c r="Q272" t="s">
        <v>74</v>
      </c>
      <c r="R272" t="s">
        <v>74</v>
      </c>
      <c r="S272" t="s">
        <v>74</v>
      </c>
      <c r="T272" t="s">
        <v>5225</v>
      </c>
      <c r="U272" t="s">
        <v>5226</v>
      </c>
      <c r="V272" t="s">
        <v>5227</v>
      </c>
      <c r="W272" t="s">
        <v>5228</v>
      </c>
      <c r="X272" t="s">
        <v>5229</v>
      </c>
      <c r="Y272" t="s">
        <v>5230</v>
      </c>
      <c r="Z272" t="s">
        <v>5231</v>
      </c>
      <c r="AA272" t="s">
        <v>4606</v>
      </c>
      <c r="AB272" t="s">
        <v>74</v>
      </c>
      <c r="AC272" t="s">
        <v>5232</v>
      </c>
      <c r="AD272" t="s">
        <v>5233</v>
      </c>
      <c r="AE272" t="s">
        <v>5234</v>
      </c>
      <c r="AF272" t="s">
        <v>74</v>
      </c>
      <c r="AG272">
        <v>126</v>
      </c>
      <c r="AH272">
        <v>1</v>
      </c>
      <c r="AI272">
        <v>1</v>
      </c>
      <c r="AJ272">
        <v>0</v>
      </c>
      <c r="AK272">
        <v>5</v>
      </c>
      <c r="AL272" t="s">
        <v>5235</v>
      </c>
      <c r="AM272" t="s">
        <v>5236</v>
      </c>
      <c r="AN272" t="s">
        <v>5237</v>
      </c>
      <c r="AO272" t="s">
        <v>5238</v>
      </c>
      <c r="AP272" t="s">
        <v>5239</v>
      </c>
      <c r="AQ272" t="s">
        <v>74</v>
      </c>
      <c r="AR272" t="s">
        <v>5240</v>
      </c>
      <c r="AS272" t="s">
        <v>5241</v>
      </c>
      <c r="AT272" t="s">
        <v>74</v>
      </c>
      <c r="AU272">
        <v>2016</v>
      </c>
      <c r="AV272">
        <v>19</v>
      </c>
      <c r="AW272">
        <v>1</v>
      </c>
      <c r="AX272" t="s">
        <v>74</v>
      </c>
      <c r="AY272" t="s">
        <v>74</v>
      </c>
      <c r="AZ272" t="s">
        <v>74</v>
      </c>
      <c r="BA272" t="s">
        <v>74</v>
      </c>
      <c r="BB272" t="s">
        <v>74</v>
      </c>
      <c r="BC272" t="s">
        <v>74</v>
      </c>
      <c r="BD272" t="s">
        <v>5242</v>
      </c>
      <c r="BE272" t="s">
        <v>74</v>
      </c>
      <c r="BF272" t="s">
        <v>74</v>
      </c>
      <c r="BG272" t="s">
        <v>74</v>
      </c>
      <c r="BH272" t="s">
        <v>74</v>
      </c>
      <c r="BI272">
        <v>27</v>
      </c>
      <c r="BJ272" t="s">
        <v>2542</v>
      </c>
      <c r="BK272" t="s">
        <v>264</v>
      </c>
      <c r="BL272" t="s">
        <v>2542</v>
      </c>
      <c r="BM272" t="s">
        <v>5243</v>
      </c>
      <c r="BN272" t="s">
        <v>74</v>
      </c>
      <c r="BO272" t="s">
        <v>74</v>
      </c>
      <c r="BP272" t="s">
        <v>74</v>
      </c>
      <c r="BQ272" t="s">
        <v>74</v>
      </c>
      <c r="BR272" t="s">
        <v>100</v>
      </c>
      <c r="BS272" t="s">
        <v>5244</v>
      </c>
      <c r="BT272" t="str">
        <f>HYPERLINK("https%3A%2F%2Fwww.webofscience.com%2Fwos%2Fwoscc%2Ffull-record%2FWOS:000375226600007","View Full Record in Web of Science")</f>
        <v>View Full Record in Web of Science</v>
      </c>
    </row>
    <row r="273" spans="1:72" x14ac:dyDescent="0.15">
      <c r="A273" t="s">
        <v>72</v>
      </c>
      <c r="B273" t="s">
        <v>5245</v>
      </c>
      <c r="C273" t="s">
        <v>74</v>
      </c>
      <c r="D273" t="s">
        <v>74</v>
      </c>
      <c r="E273" t="s">
        <v>74</v>
      </c>
      <c r="F273" t="s">
        <v>5246</v>
      </c>
      <c r="G273" t="s">
        <v>74</v>
      </c>
      <c r="H273" t="s">
        <v>74</v>
      </c>
      <c r="I273" t="s">
        <v>5247</v>
      </c>
      <c r="J273" t="s">
        <v>3226</v>
      </c>
      <c r="K273" t="s">
        <v>74</v>
      </c>
      <c r="L273" t="s">
        <v>74</v>
      </c>
      <c r="M273" t="s">
        <v>200</v>
      </c>
      <c r="N273" t="s">
        <v>79</v>
      </c>
      <c r="O273" t="s">
        <v>74</v>
      </c>
      <c r="P273" t="s">
        <v>74</v>
      </c>
      <c r="Q273" t="s">
        <v>74</v>
      </c>
      <c r="R273" t="s">
        <v>74</v>
      </c>
      <c r="S273" t="s">
        <v>74</v>
      </c>
      <c r="T273" t="s">
        <v>74</v>
      </c>
      <c r="U273" t="s">
        <v>5248</v>
      </c>
      <c r="V273" t="s">
        <v>5249</v>
      </c>
      <c r="W273" t="s">
        <v>5250</v>
      </c>
      <c r="X273" t="s">
        <v>5251</v>
      </c>
      <c r="Y273" t="s">
        <v>5252</v>
      </c>
      <c r="Z273" t="s">
        <v>5253</v>
      </c>
      <c r="AA273" t="s">
        <v>5254</v>
      </c>
      <c r="AB273" t="s">
        <v>5255</v>
      </c>
      <c r="AC273" t="s">
        <v>5256</v>
      </c>
      <c r="AD273" t="s">
        <v>5257</v>
      </c>
      <c r="AE273" t="s">
        <v>5258</v>
      </c>
      <c r="AF273" t="s">
        <v>74</v>
      </c>
      <c r="AG273">
        <v>43</v>
      </c>
      <c r="AH273">
        <v>29</v>
      </c>
      <c r="AI273">
        <v>32</v>
      </c>
      <c r="AJ273">
        <v>0</v>
      </c>
      <c r="AK273">
        <v>22</v>
      </c>
      <c r="AL273" t="s">
        <v>358</v>
      </c>
      <c r="AM273" t="s">
        <v>359</v>
      </c>
      <c r="AN273" t="s">
        <v>3238</v>
      </c>
      <c r="AO273" t="s">
        <v>3239</v>
      </c>
      <c r="AP273" t="s">
        <v>3240</v>
      </c>
      <c r="AQ273" t="s">
        <v>74</v>
      </c>
      <c r="AR273" t="s">
        <v>3241</v>
      </c>
      <c r="AS273" t="s">
        <v>3242</v>
      </c>
      <c r="AT273" t="s">
        <v>74</v>
      </c>
      <c r="AU273">
        <v>2016</v>
      </c>
      <c r="AV273">
        <v>16</v>
      </c>
      <c r="AW273">
        <v>7</v>
      </c>
      <c r="AX273" t="s">
        <v>74</v>
      </c>
      <c r="AY273" t="s">
        <v>74</v>
      </c>
      <c r="AZ273" t="s">
        <v>74</v>
      </c>
      <c r="BA273" t="s">
        <v>74</v>
      </c>
      <c r="BB273">
        <v>4251</v>
      </c>
      <c r="BC273">
        <v>4269</v>
      </c>
      <c r="BD273" t="s">
        <v>74</v>
      </c>
      <c r="BE273" t="s">
        <v>5259</v>
      </c>
      <c r="BF273" t="str">
        <f>HYPERLINK("http://dx.doi.org/10.5194/acp-16-4251-2016","http://dx.doi.org/10.5194/acp-16-4251-2016")</f>
        <v>http://dx.doi.org/10.5194/acp-16-4251-2016</v>
      </c>
      <c r="BG273" t="s">
        <v>74</v>
      </c>
      <c r="BH273" t="s">
        <v>74</v>
      </c>
      <c r="BI273">
        <v>19</v>
      </c>
      <c r="BJ273" t="s">
        <v>3244</v>
      </c>
      <c r="BK273" t="s">
        <v>264</v>
      </c>
      <c r="BL273" t="s">
        <v>3245</v>
      </c>
      <c r="BM273" t="s">
        <v>5260</v>
      </c>
      <c r="BN273" t="s">
        <v>74</v>
      </c>
      <c r="BO273" t="s">
        <v>2134</v>
      </c>
      <c r="BP273" t="s">
        <v>74</v>
      </c>
      <c r="BQ273" t="s">
        <v>74</v>
      </c>
      <c r="BR273" t="s">
        <v>100</v>
      </c>
      <c r="BS273" t="s">
        <v>5261</v>
      </c>
      <c r="BT273" t="str">
        <f>HYPERLINK("https%3A%2F%2Fwww.webofscience.com%2Fwos%2Fwoscc%2Ffull-record%2FWOS:000374703000003","View Full Record in Web of Science")</f>
        <v>View Full Record in Web of Science</v>
      </c>
    </row>
    <row r="274" spans="1:72" x14ac:dyDescent="0.15">
      <c r="A274" t="s">
        <v>72</v>
      </c>
      <c r="B274" t="s">
        <v>5262</v>
      </c>
      <c r="C274" t="s">
        <v>74</v>
      </c>
      <c r="D274" t="s">
        <v>74</v>
      </c>
      <c r="E274" t="s">
        <v>74</v>
      </c>
      <c r="F274" t="s">
        <v>5263</v>
      </c>
      <c r="G274" t="s">
        <v>74</v>
      </c>
      <c r="H274" t="s">
        <v>74</v>
      </c>
      <c r="I274" t="s">
        <v>5264</v>
      </c>
      <c r="J274" t="s">
        <v>4949</v>
      </c>
      <c r="K274" t="s">
        <v>74</v>
      </c>
      <c r="L274" t="s">
        <v>74</v>
      </c>
      <c r="M274" t="s">
        <v>200</v>
      </c>
      <c r="N274" t="s">
        <v>79</v>
      </c>
      <c r="O274" t="s">
        <v>74</v>
      </c>
      <c r="P274" t="s">
        <v>74</v>
      </c>
      <c r="Q274" t="s">
        <v>74</v>
      </c>
      <c r="R274" t="s">
        <v>74</v>
      </c>
      <c r="S274" t="s">
        <v>74</v>
      </c>
      <c r="T274" t="s">
        <v>74</v>
      </c>
      <c r="U274" t="s">
        <v>5265</v>
      </c>
      <c r="V274" t="s">
        <v>5266</v>
      </c>
      <c r="W274" t="s">
        <v>5267</v>
      </c>
      <c r="X274" t="s">
        <v>4953</v>
      </c>
      <c r="Y274" t="s">
        <v>5268</v>
      </c>
      <c r="Z274" t="s">
        <v>5269</v>
      </c>
      <c r="AA274" t="s">
        <v>5270</v>
      </c>
      <c r="AB274" t="s">
        <v>5271</v>
      </c>
      <c r="AC274" t="s">
        <v>5272</v>
      </c>
      <c r="AD274" t="s">
        <v>5273</v>
      </c>
      <c r="AE274" t="s">
        <v>5274</v>
      </c>
      <c r="AF274" t="s">
        <v>74</v>
      </c>
      <c r="AG274">
        <v>15</v>
      </c>
      <c r="AH274">
        <v>17</v>
      </c>
      <c r="AI274">
        <v>18</v>
      </c>
      <c r="AJ274">
        <v>0</v>
      </c>
      <c r="AK274">
        <v>4</v>
      </c>
      <c r="AL274" t="s">
        <v>4961</v>
      </c>
      <c r="AM274" t="s">
        <v>3175</v>
      </c>
      <c r="AN274" t="s">
        <v>4962</v>
      </c>
      <c r="AO274" t="s">
        <v>4963</v>
      </c>
      <c r="AP274" t="s">
        <v>74</v>
      </c>
      <c r="AQ274" t="s">
        <v>74</v>
      </c>
      <c r="AR274" t="s">
        <v>4949</v>
      </c>
      <c r="AS274" t="s">
        <v>4949</v>
      </c>
      <c r="AT274" t="s">
        <v>74</v>
      </c>
      <c r="AU274">
        <v>2016</v>
      </c>
      <c r="AV274">
        <v>12</v>
      </c>
      <c r="AW274" t="s">
        <v>74</v>
      </c>
      <c r="AX274" t="s">
        <v>74</v>
      </c>
      <c r="AY274" t="s">
        <v>74</v>
      </c>
      <c r="AZ274" t="s">
        <v>74</v>
      </c>
      <c r="BA274" t="s">
        <v>74</v>
      </c>
      <c r="BB274">
        <v>46</v>
      </c>
      <c r="BC274">
        <v>50</v>
      </c>
      <c r="BD274" t="s">
        <v>74</v>
      </c>
      <c r="BE274" t="s">
        <v>5275</v>
      </c>
      <c r="BF274" t="str">
        <f>HYPERLINK("http://dx.doi.org/10.2151/sola.2016-010","http://dx.doi.org/10.2151/sola.2016-010")</f>
        <v>http://dx.doi.org/10.2151/sola.2016-010</v>
      </c>
      <c r="BG274" t="s">
        <v>74</v>
      </c>
      <c r="BH274" t="s">
        <v>74</v>
      </c>
      <c r="BI274">
        <v>5</v>
      </c>
      <c r="BJ274" t="s">
        <v>1721</v>
      </c>
      <c r="BK274" t="s">
        <v>264</v>
      </c>
      <c r="BL274" t="s">
        <v>1721</v>
      </c>
      <c r="BM274" t="s">
        <v>5276</v>
      </c>
      <c r="BN274" t="s">
        <v>74</v>
      </c>
      <c r="BO274" t="s">
        <v>99</v>
      </c>
      <c r="BP274" t="s">
        <v>74</v>
      </c>
      <c r="BQ274" t="s">
        <v>74</v>
      </c>
      <c r="BR274" t="s">
        <v>100</v>
      </c>
      <c r="BS274" t="s">
        <v>5277</v>
      </c>
      <c r="BT274" t="str">
        <f>HYPERLINK("https%3A%2F%2Fwww.webofscience.com%2Fwos%2Fwoscc%2Ffull-record%2FWOS:000374745800001","View Full Record in Web of Science")</f>
        <v>View Full Record in Web of Science</v>
      </c>
    </row>
    <row r="275" spans="1:72" x14ac:dyDescent="0.15">
      <c r="A275" t="s">
        <v>72</v>
      </c>
      <c r="B275" t="s">
        <v>5278</v>
      </c>
      <c r="C275" t="s">
        <v>74</v>
      </c>
      <c r="D275" t="s">
        <v>74</v>
      </c>
      <c r="E275" t="s">
        <v>74</v>
      </c>
      <c r="F275" t="s">
        <v>5279</v>
      </c>
      <c r="G275" t="s">
        <v>74</v>
      </c>
      <c r="H275" t="s">
        <v>74</v>
      </c>
      <c r="I275" t="s">
        <v>5280</v>
      </c>
      <c r="J275" t="s">
        <v>3843</v>
      </c>
      <c r="K275" t="s">
        <v>74</v>
      </c>
      <c r="L275" t="s">
        <v>74</v>
      </c>
      <c r="M275" t="s">
        <v>200</v>
      </c>
      <c r="N275" t="s">
        <v>79</v>
      </c>
      <c r="O275" t="s">
        <v>74</v>
      </c>
      <c r="P275" t="s">
        <v>74</v>
      </c>
      <c r="Q275" t="s">
        <v>74</v>
      </c>
      <c r="R275" t="s">
        <v>74</v>
      </c>
      <c r="S275" t="s">
        <v>74</v>
      </c>
      <c r="T275" t="s">
        <v>5281</v>
      </c>
      <c r="U275" t="s">
        <v>5282</v>
      </c>
      <c r="V275" t="s">
        <v>5283</v>
      </c>
      <c r="W275" t="s">
        <v>5284</v>
      </c>
      <c r="X275" t="s">
        <v>5285</v>
      </c>
      <c r="Y275" t="s">
        <v>5286</v>
      </c>
      <c r="Z275" t="s">
        <v>5287</v>
      </c>
      <c r="AA275" t="s">
        <v>2532</v>
      </c>
      <c r="AB275" t="s">
        <v>5288</v>
      </c>
      <c r="AC275" t="s">
        <v>5289</v>
      </c>
      <c r="AD275" t="s">
        <v>5290</v>
      </c>
      <c r="AE275" t="s">
        <v>5291</v>
      </c>
      <c r="AF275" t="s">
        <v>74</v>
      </c>
      <c r="AG275">
        <v>162</v>
      </c>
      <c r="AH275">
        <v>22</v>
      </c>
      <c r="AI275">
        <v>23</v>
      </c>
      <c r="AJ275">
        <v>1</v>
      </c>
      <c r="AK275">
        <v>21</v>
      </c>
      <c r="AL275" t="s">
        <v>3855</v>
      </c>
      <c r="AM275" t="s">
        <v>3856</v>
      </c>
      <c r="AN275" t="s">
        <v>3857</v>
      </c>
      <c r="AO275" t="s">
        <v>3858</v>
      </c>
      <c r="AP275" t="s">
        <v>3859</v>
      </c>
      <c r="AQ275" t="s">
        <v>74</v>
      </c>
      <c r="AR275" t="s">
        <v>3843</v>
      </c>
      <c r="AS275" t="s">
        <v>3860</v>
      </c>
      <c r="AT275" t="s">
        <v>74</v>
      </c>
      <c r="AU275">
        <v>2016</v>
      </c>
      <c r="AV275">
        <v>53</v>
      </c>
      <c r="AW275">
        <v>2</v>
      </c>
      <c r="AX275" t="s">
        <v>74</v>
      </c>
      <c r="AY275" t="s">
        <v>74</v>
      </c>
      <c r="AZ275" t="s">
        <v>74</v>
      </c>
      <c r="BA275" t="s">
        <v>74</v>
      </c>
      <c r="BB275">
        <v>205</v>
      </c>
      <c r="BC275">
        <v>230</v>
      </c>
      <c r="BD275" t="s">
        <v>74</v>
      </c>
      <c r="BE275" t="s">
        <v>5292</v>
      </c>
      <c r="BF275" t="str">
        <f>HYPERLINK("http://dx.doi.org/10.5710/AMGH.26.01.2016.2916","http://dx.doi.org/10.5710/AMGH.26.01.2016.2916")</f>
        <v>http://dx.doi.org/10.5710/AMGH.26.01.2016.2916</v>
      </c>
      <c r="BG275" t="s">
        <v>74</v>
      </c>
      <c r="BH275" t="s">
        <v>74</v>
      </c>
      <c r="BI275">
        <v>26</v>
      </c>
      <c r="BJ275" t="s">
        <v>2542</v>
      </c>
      <c r="BK275" t="s">
        <v>264</v>
      </c>
      <c r="BL275" t="s">
        <v>2542</v>
      </c>
      <c r="BM275" t="s">
        <v>5293</v>
      </c>
      <c r="BN275" t="s">
        <v>74</v>
      </c>
      <c r="BO275" t="s">
        <v>74</v>
      </c>
      <c r="BP275" t="s">
        <v>74</v>
      </c>
      <c r="BQ275" t="s">
        <v>74</v>
      </c>
      <c r="BR275" t="s">
        <v>100</v>
      </c>
      <c r="BS275" t="s">
        <v>5294</v>
      </c>
      <c r="BT275" t="str">
        <f>HYPERLINK("https%3A%2F%2Fwww.webofscience.com%2Fwos%2Fwoscc%2Ffull-record%2FWOS:000373598900007","View Full Record in Web of Science")</f>
        <v>View Full Record in Web of Science</v>
      </c>
    </row>
    <row r="276" spans="1:72" x14ac:dyDescent="0.15">
      <c r="A276" t="s">
        <v>72</v>
      </c>
      <c r="B276" t="s">
        <v>5295</v>
      </c>
      <c r="C276" t="s">
        <v>74</v>
      </c>
      <c r="D276" t="s">
        <v>74</v>
      </c>
      <c r="E276" t="s">
        <v>74</v>
      </c>
      <c r="F276" t="s">
        <v>5296</v>
      </c>
      <c r="G276" t="s">
        <v>74</v>
      </c>
      <c r="H276" t="s">
        <v>74</v>
      </c>
      <c r="I276" t="s">
        <v>5297</v>
      </c>
      <c r="J276" t="s">
        <v>5298</v>
      </c>
      <c r="K276" t="s">
        <v>74</v>
      </c>
      <c r="L276" t="s">
        <v>74</v>
      </c>
      <c r="M276" t="s">
        <v>200</v>
      </c>
      <c r="N276" t="s">
        <v>79</v>
      </c>
      <c r="O276" t="s">
        <v>74</v>
      </c>
      <c r="P276" t="s">
        <v>74</v>
      </c>
      <c r="Q276" t="s">
        <v>74</v>
      </c>
      <c r="R276" t="s">
        <v>74</v>
      </c>
      <c r="S276" t="s">
        <v>74</v>
      </c>
      <c r="T276" t="s">
        <v>5299</v>
      </c>
      <c r="U276" t="s">
        <v>5300</v>
      </c>
      <c r="V276" t="s">
        <v>5301</v>
      </c>
      <c r="W276" t="s">
        <v>5302</v>
      </c>
      <c r="X276" t="s">
        <v>5303</v>
      </c>
      <c r="Y276" t="s">
        <v>5304</v>
      </c>
      <c r="Z276" t="s">
        <v>5305</v>
      </c>
      <c r="AA276" t="s">
        <v>5306</v>
      </c>
      <c r="AB276" t="s">
        <v>5307</v>
      </c>
      <c r="AC276" t="s">
        <v>5308</v>
      </c>
      <c r="AD276" t="s">
        <v>5309</v>
      </c>
      <c r="AE276" t="s">
        <v>5310</v>
      </c>
      <c r="AF276" t="s">
        <v>74</v>
      </c>
      <c r="AG276">
        <v>77</v>
      </c>
      <c r="AH276">
        <v>22</v>
      </c>
      <c r="AI276">
        <v>23</v>
      </c>
      <c r="AJ276">
        <v>0</v>
      </c>
      <c r="AK276">
        <v>13</v>
      </c>
      <c r="AL276" t="s">
        <v>5311</v>
      </c>
      <c r="AM276" t="s">
        <v>5312</v>
      </c>
      <c r="AN276" t="s">
        <v>5313</v>
      </c>
      <c r="AO276" t="s">
        <v>5314</v>
      </c>
      <c r="AP276" t="s">
        <v>74</v>
      </c>
      <c r="AQ276" t="s">
        <v>74</v>
      </c>
      <c r="AR276" t="s">
        <v>5298</v>
      </c>
      <c r="AS276" t="s">
        <v>5315</v>
      </c>
      <c r="AT276" t="s">
        <v>74</v>
      </c>
      <c r="AU276">
        <v>2016</v>
      </c>
      <c r="AV276">
        <v>16</v>
      </c>
      <c r="AW276">
        <v>1</v>
      </c>
      <c r="AX276" t="s">
        <v>74</v>
      </c>
      <c r="AY276" t="s">
        <v>74</v>
      </c>
      <c r="AZ276" t="s">
        <v>74</v>
      </c>
      <c r="BA276" t="s">
        <v>74</v>
      </c>
      <c r="BB276">
        <v>79</v>
      </c>
      <c r="BC276">
        <v>102</v>
      </c>
      <c r="BD276" t="s">
        <v>74</v>
      </c>
      <c r="BE276" t="s">
        <v>5316</v>
      </c>
      <c r="BF276" t="str">
        <f>HYPERLINK("http://dx.doi.org/10.5507/fot.2015.023","http://dx.doi.org/10.5507/fot.2015.023")</f>
        <v>http://dx.doi.org/10.5507/fot.2015.023</v>
      </c>
      <c r="BG276" t="s">
        <v>74</v>
      </c>
      <c r="BH276" t="s">
        <v>74</v>
      </c>
      <c r="BI276">
        <v>24</v>
      </c>
      <c r="BJ276" t="s">
        <v>1276</v>
      </c>
      <c r="BK276" t="s">
        <v>264</v>
      </c>
      <c r="BL276" t="s">
        <v>1276</v>
      </c>
      <c r="BM276" t="s">
        <v>5317</v>
      </c>
      <c r="BN276" t="s">
        <v>74</v>
      </c>
      <c r="BO276" t="s">
        <v>1422</v>
      </c>
      <c r="BP276" t="s">
        <v>74</v>
      </c>
      <c r="BQ276" t="s">
        <v>74</v>
      </c>
      <c r="BR276" t="s">
        <v>100</v>
      </c>
      <c r="BS276" t="s">
        <v>5318</v>
      </c>
      <c r="BT276" t="str">
        <f>HYPERLINK("https%3A%2F%2Fwww.webofscience.com%2Fwos%2Fwoscc%2Ffull-record%2FWOS:000373585200007","View Full Record in Web of Science")</f>
        <v>View Full Record in Web of Science</v>
      </c>
    </row>
    <row r="277" spans="1:72" x14ac:dyDescent="0.15">
      <c r="A277" t="s">
        <v>72</v>
      </c>
      <c r="B277" t="s">
        <v>5319</v>
      </c>
      <c r="C277" t="s">
        <v>74</v>
      </c>
      <c r="D277" t="s">
        <v>74</v>
      </c>
      <c r="E277" t="s">
        <v>74</v>
      </c>
      <c r="F277" t="s">
        <v>5320</v>
      </c>
      <c r="G277" t="s">
        <v>74</v>
      </c>
      <c r="H277" t="s">
        <v>74</v>
      </c>
      <c r="I277" t="s">
        <v>5321</v>
      </c>
      <c r="J277" t="s">
        <v>5322</v>
      </c>
      <c r="K277" t="s">
        <v>74</v>
      </c>
      <c r="L277" t="s">
        <v>74</v>
      </c>
      <c r="M277" t="s">
        <v>200</v>
      </c>
      <c r="N277" t="s">
        <v>79</v>
      </c>
      <c r="O277" t="s">
        <v>74</v>
      </c>
      <c r="P277" t="s">
        <v>74</v>
      </c>
      <c r="Q277" t="s">
        <v>74</v>
      </c>
      <c r="R277" t="s">
        <v>74</v>
      </c>
      <c r="S277" t="s">
        <v>74</v>
      </c>
      <c r="T277" t="s">
        <v>74</v>
      </c>
      <c r="U277" t="s">
        <v>5323</v>
      </c>
      <c r="V277" t="s">
        <v>5324</v>
      </c>
      <c r="W277" t="s">
        <v>5325</v>
      </c>
      <c r="X277" t="s">
        <v>5326</v>
      </c>
      <c r="Y277" t="s">
        <v>5327</v>
      </c>
      <c r="Z277" t="s">
        <v>5328</v>
      </c>
      <c r="AA277" t="s">
        <v>5329</v>
      </c>
      <c r="AB277" t="s">
        <v>5330</v>
      </c>
      <c r="AC277" t="s">
        <v>5331</v>
      </c>
      <c r="AD277" t="s">
        <v>5332</v>
      </c>
      <c r="AE277" t="s">
        <v>5333</v>
      </c>
      <c r="AF277" t="s">
        <v>74</v>
      </c>
      <c r="AG277">
        <v>64</v>
      </c>
      <c r="AH277">
        <v>7</v>
      </c>
      <c r="AI277">
        <v>7</v>
      </c>
      <c r="AJ277">
        <v>0</v>
      </c>
      <c r="AK277">
        <v>12</v>
      </c>
      <c r="AL277" t="s">
        <v>5110</v>
      </c>
      <c r="AM277" t="s">
        <v>289</v>
      </c>
      <c r="AN277" t="s">
        <v>5111</v>
      </c>
      <c r="AO277" t="s">
        <v>5334</v>
      </c>
      <c r="AP277" t="s">
        <v>5335</v>
      </c>
      <c r="AQ277" t="s">
        <v>74</v>
      </c>
      <c r="AR277" t="s">
        <v>5336</v>
      </c>
      <c r="AS277" t="s">
        <v>5337</v>
      </c>
      <c r="AT277" t="s">
        <v>315</v>
      </c>
      <c r="AU277">
        <v>2016</v>
      </c>
      <c r="AV277">
        <v>56</v>
      </c>
      <c r="AW277">
        <v>1</v>
      </c>
      <c r="AX277" t="s">
        <v>74</v>
      </c>
      <c r="AY277" t="s">
        <v>74</v>
      </c>
      <c r="AZ277" t="s">
        <v>74</v>
      </c>
      <c r="BA277" t="s">
        <v>74</v>
      </c>
      <c r="BB277">
        <v>118</v>
      </c>
      <c r="BC277">
        <v>130</v>
      </c>
      <c r="BD277" t="s">
        <v>74</v>
      </c>
      <c r="BE277" t="s">
        <v>5338</v>
      </c>
      <c r="BF277" t="str">
        <f>HYPERLINK("http://dx.doi.org/10.1134/S0001437016010057","http://dx.doi.org/10.1134/S0001437016010057")</f>
        <v>http://dx.doi.org/10.1134/S0001437016010057</v>
      </c>
      <c r="BG277" t="s">
        <v>74</v>
      </c>
      <c r="BH277" t="s">
        <v>74</v>
      </c>
      <c r="BI277">
        <v>13</v>
      </c>
      <c r="BJ277" t="s">
        <v>5339</v>
      </c>
      <c r="BK277" t="s">
        <v>264</v>
      </c>
      <c r="BL277" t="s">
        <v>5339</v>
      </c>
      <c r="BM277" t="s">
        <v>5340</v>
      </c>
      <c r="BN277" t="s">
        <v>74</v>
      </c>
      <c r="BO277" t="s">
        <v>74</v>
      </c>
      <c r="BP277" t="s">
        <v>74</v>
      </c>
      <c r="BQ277" t="s">
        <v>74</v>
      </c>
      <c r="BR277" t="s">
        <v>100</v>
      </c>
      <c r="BS277" t="s">
        <v>5341</v>
      </c>
      <c r="BT277" t="str">
        <f>HYPERLINK("https%3A%2F%2Fwww.webofscience.com%2Fwos%2Fwoscc%2Ffull-record%2FWOS:000373643300016","View Full Record in Web of Science")</f>
        <v>View Full Record in Web of Science</v>
      </c>
    </row>
    <row r="278" spans="1:72" x14ac:dyDescent="0.15">
      <c r="A278" t="s">
        <v>72</v>
      </c>
      <c r="B278" t="s">
        <v>5342</v>
      </c>
      <c r="C278" t="s">
        <v>74</v>
      </c>
      <c r="D278" t="s">
        <v>74</v>
      </c>
      <c r="E278" t="s">
        <v>74</v>
      </c>
      <c r="F278" t="s">
        <v>5343</v>
      </c>
      <c r="G278" t="s">
        <v>74</v>
      </c>
      <c r="H278" t="s">
        <v>74</v>
      </c>
      <c r="I278" t="s">
        <v>5344</v>
      </c>
      <c r="J278" t="s">
        <v>5322</v>
      </c>
      <c r="K278" t="s">
        <v>74</v>
      </c>
      <c r="L278" t="s">
        <v>74</v>
      </c>
      <c r="M278" t="s">
        <v>200</v>
      </c>
      <c r="N278" t="s">
        <v>79</v>
      </c>
      <c r="O278" t="s">
        <v>74</v>
      </c>
      <c r="P278" t="s">
        <v>74</v>
      </c>
      <c r="Q278" t="s">
        <v>74</v>
      </c>
      <c r="R278" t="s">
        <v>74</v>
      </c>
      <c r="S278" t="s">
        <v>74</v>
      </c>
      <c r="T278" t="s">
        <v>74</v>
      </c>
      <c r="U278" t="s">
        <v>5345</v>
      </c>
      <c r="V278" t="s">
        <v>5346</v>
      </c>
      <c r="W278" t="s">
        <v>5347</v>
      </c>
      <c r="X278" t="s">
        <v>5348</v>
      </c>
      <c r="Y278" t="s">
        <v>5349</v>
      </c>
      <c r="Z278" t="s">
        <v>5350</v>
      </c>
      <c r="AA278" t="s">
        <v>5351</v>
      </c>
      <c r="AB278" t="s">
        <v>74</v>
      </c>
      <c r="AC278" t="s">
        <v>5352</v>
      </c>
      <c r="AD278" t="s">
        <v>5353</v>
      </c>
      <c r="AE278" t="s">
        <v>5354</v>
      </c>
      <c r="AF278" t="s">
        <v>74</v>
      </c>
      <c r="AG278">
        <v>25</v>
      </c>
      <c r="AH278">
        <v>4</v>
      </c>
      <c r="AI278">
        <v>4</v>
      </c>
      <c r="AJ278">
        <v>1</v>
      </c>
      <c r="AK278">
        <v>16</v>
      </c>
      <c r="AL278" t="s">
        <v>5110</v>
      </c>
      <c r="AM278" t="s">
        <v>289</v>
      </c>
      <c r="AN278" t="s">
        <v>5111</v>
      </c>
      <c r="AO278" t="s">
        <v>5334</v>
      </c>
      <c r="AP278" t="s">
        <v>5335</v>
      </c>
      <c r="AQ278" t="s">
        <v>74</v>
      </c>
      <c r="AR278" t="s">
        <v>5336</v>
      </c>
      <c r="AS278" t="s">
        <v>5337</v>
      </c>
      <c r="AT278" t="s">
        <v>315</v>
      </c>
      <c r="AU278">
        <v>2016</v>
      </c>
      <c r="AV278">
        <v>56</v>
      </c>
      <c r="AW278">
        <v>1</v>
      </c>
      <c r="AX278" t="s">
        <v>74</v>
      </c>
      <c r="AY278" t="s">
        <v>74</v>
      </c>
      <c r="AZ278" t="s">
        <v>74</v>
      </c>
      <c r="BA278" t="s">
        <v>74</v>
      </c>
      <c r="BB278">
        <v>131</v>
      </c>
      <c r="BC278">
        <v>136</v>
      </c>
      <c r="BD278" t="s">
        <v>74</v>
      </c>
      <c r="BE278" t="s">
        <v>5355</v>
      </c>
      <c r="BF278" t="str">
        <f>HYPERLINK("http://dx.doi.org/10.1134/S0001437016010033","http://dx.doi.org/10.1134/S0001437016010033")</f>
        <v>http://dx.doi.org/10.1134/S0001437016010033</v>
      </c>
      <c r="BG278" t="s">
        <v>74</v>
      </c>
      <c r="BH278" t="s">
        <v>74</v>
      </c>
      <c r="BI278">
        <v>6</v>
      </c>
      <c r="BJ278" t="s">
        <v>5339</v>
      </c>
      <c r="BK278" t="s">
        <v>264</v>
      </c>
      <c r="BL278" t="s">
        <v>5339</v>
      </c>
      <c r="BM278" t="s">
        <v>5340</v>
      </c>
      <c r="BN278" t="s">
        <v>74</v>
      </c>
      <c r="BO278" t="s">
        <v>74</v>
      </c>
      <c r="BP278" t="s">
        <v>74</v>
      </c>
      <c r="BQ278" t="s">
        <v>74</v>
      </c>
      <c r="BR278" t="s">
        <v>100</v>
      </c>
      <c r="BS278" t="s">
        <v>5356</v>
      </c>
      <c r="BT278" t="str">
        <f>HYPERLINK("https%3A%2F%2Fwww.webofscience.com%2Fwos%2Fwoscc%2Ffull-record%2FWOS:000373643300017","View Full Record in Web of Science")</f>
        <v>View Full Record in Web of Science</v>
      </c>
    </row>
    <row r="279" spans="1:72" x14ac:dyDescent="0.15">
      <c r="A279" t="s">
        <v>72</v>
      </c>
      <c r="B279" t="s">
        <v>5357</v>
      </c>
      <c r="C279" t="s">
        <v>74</v>
      </c>
      <c r="D279" t="s">
        <v>74</v>
      </c>
      <c r="E279" t="s">
        <v>74</v>
      </c>
      <c r="F279" t="s">
        <v>5358</v>
      </c>
      <c r="G279" t="s">
        <v>74</v>
      </c>
      <c r="H279" t="s">
        <v>74</v>
      </c>
      <c r="I279" t="s">
        <v>5359</v>
      </c>
      <c r="J279" t="s">
        <v>2619</v>
      </c>
      <c r="K279" t="s">
        <v>74</v>
      </c>
      <c r="L279" t="s">
        <v>74</v>
      </c>
      <c r="M279" t="s">
        <v>200</v>
      </c>
      <c r="N279" t="s">
        <v>79</v>
      </c>
      <c r="O279" t="s">
        <v>74</v>
      </c>
      <c r="P279" t="s">
        <v>74</v>
      </c>
      <c r="Q279" t="s">
        <v>74</v>
      </c>
      <c r="R279" t="s">
        <v>74</v>
      </c>
      <c r="S279" t="s">
        <v>74</v>
      </c>
      <c r="T279" t="s">
        <v>5360</v>
      </c>
      <c r="U279" t="s">
        <v>5361</v>
      </c>
      <c r="V279" t="s">
        <v>5362</v>
      </c>
      <c r="W279" t="s">
        <v>5363</v>
      </c>
      <c r="X279" t="s">
        <v>5364</v>
      </c>
      <c r="Y279" t="s">
        <v>5365</v>
      </c>
      <c r="Z279" t="s">
        <v>5366</v>
      </c>
      <c r="AA279" t="s">
        <v>5367</v>
      </c>
      <c r="AB279" t="s">
        <v>5368</v>
      </c>
      <c r="AC279" t="s">
        <v>5369</v>
      </c>
      <c r="AD279" t="s">
        <v>5370</v>
      </c>
      <c r="AE279" t="s">
        <v>5371</v>
      </c>
      <c r="AF279" t="s">
        <v>74</v>
      </c>
      <c r="AG279">
        <v>35</v>
      </c>
      <c r="AH279">
        <v>12</v>
      </c>
      <c r="AI279">
        <v>15</v>
      </c>
      <c r="AJ279">
        <v>0</v>
      </c>
      <c r="AK279">
        <v>22</v>
      </c>
      <c r="AL279" t="s">
        <v>1967</v>
      </c>
      <c r="AM279" t="s">
        <v>1968</v>
      </c>
      <c r="AN279" t="s">
        <v>1969</v>
      </c>
      <c r="AO279" t="s">
        <v>2632</v>
      </c>
      <c r="AP279" t="s">
        <v>2633</v>
      </c>
      <c r="AQ279" t="s">
        <v>74</v>
      </c>
      <c r="AR279" t="s">
        <v>2634</v>
      </c>
      <c r="AS279" t="s">
        <v>2635</v>
      </c>
      <c r="AT279" t="s">
        <v>74</v>
      </c>
      <c r="AU279">
        <v>2016</v>
      </c>
      <c r="AV279">
        <v>35</v>
      </c>
      <c r="AW279" t="s">
        <v>74</v>
      </c>
      <c r="AX279" t="s">
        <v>74</v>
      </c>
      <c r="AY279" t="s">
        <v>74</v>
      </c>
      <c r="AZ279" t="s">
        <v>74</v>
      </c>
      <c r="BA279" t="s">
        <v>74</v>
      </c>
      <c r="BB279" t="s">
        <v>74</v>
      </c>
      <c r="BC279" t="s">
        <v>74</v>
      </c>
      <c r="BD279">
        <v>26133</v>
      </c>
      <c r="BE279" t="s">
        <v>5372</v>
      </c>
      <c r="BF279" t="str">
        <f>HYPERLINK("http://dx.doi.org/10.3402/polar.v35.26133","http://dx.doi.org/10.3402/polar.v35.26133")</f>
        <v>http://dx.doi.org/10.3402/polar.v35.26133</v>
      </c>
      <c r="BG279" t="s">
        <v>74</v>
      </c>
      <c r="BH279" t="s">
        <v>74</v>
      </c>
      <c r="BI279">
        <v>8</v>
      </c>
      <c r="BJ279" t="s">
        <v>2637</v>
      </c>
      <c r="BK279" t="s">
        <v>264</v>
      </c>
      <c r="BL279" t="s">
        <v>2638</v>
      </c>
      <c r="BM279" t="s">
        <v>5373</v>
      </c>
      <c r="BN279" t="s">
        <v>74</v>
      </c>
      <c r="BO279" t="s">
        <v>99</v>
      </c>
      <c r="BP279" t="s">
        <v>74</v>
      </c>
      <c r="BQ279" t="s">
        <v>74</v>
      </c>
      <c r="BR279" t="s">
        <v>100</v>
      </c>
      <c r="BS279" t="s">
        <v>5374</v>
      </c>
      <c r="BT279" t="str">
        <f>HYPERLINK("https%3A%2F%2Fwww.webofscience.com%2Fwos%2Fwoscc%2Ffull-record%2FWOS:000373912600001","View Full Record in Web of Science")</f>
        <v>View Full Record in Web of Science</v>
      </c>
    </row>
    <row r="280" spans="1:72" x14ac:dyDescent="0.15">
      <c r="A280" t="s">
        <v>72</v>
      </c>
      <c r="B280" t="s">
        <v>5375</v>
      </c>
      <c r="C280" t="s">
        <v>74</v>
      </c>
      <c r="D280" t="s">
        <v>74</v>
      </c>
      <c r="E280" t="s">
        <v>74</v>
      </c>
      <c r="F280" t="s">
        <v>5376</v>
      </c>
      <c r="G280" t="s">
        <v>74</v>
      </c>
      <c r="H280" t="s">
        <v>74</v>
      </c>
      <c r="I280" t="s">
        <v>5377</v>
      </c>
      <c r="J280" t="s">
        <v>3226</v>
      </c>
      <c r="K280" t="s">
        <v>74</v>
      </c>
      <c r="L280" t="s">
        <v>74</v>
      </c>
      <c r="M280" t="s">
        <v>200</v>
      </c>
      <c r="N280" t="s">
        <v>79</v>
      </c>
      <c r="O280" t="s">
        <v>74</v>
      </c>
      <c r="P280" t="s">
        <v>74</v>
      </c>
      <c r="Q280" t="s">
        <v>74</v>
      </c>
      <c r="R280" t="s">
        <v>74</v>
      </c>
      <c r="S280" t="s">
        <v>74</v>
      </c>
      <c r="T280" t="s">
        <v>74</v>
      </c>
      <c r="U280" t="s">
        <v>5378</v>
      </c>
      <c r="V280" t="s">
        <v>5379</v>
      </c>
      <c r="W280" t="s">
        <v>5380</v>
      </c>
      <c r="X280" t="s">
        <v>5381</v>
      </c>
      <c r="Y280" t="s">
        <v>5382</v>
      </c>
      <c r="Z280" t="s">
        <v>5383</v>
      </c>
      <c r="AA280" t="s">
        <v>5384</v>
      </c>
      <c r="AB280" t="s">
        <v>5385</v>
      </c>
      <c r="AC280" t="s">
        <v>5386</v>
      </c>
      <c r="AD280" t="s">
        <v>5387</v>
      </c>
      <c r="AE280" t="s">
        <v>5388</v>
      </c>
      <c r="AF280" t="s">
        <v>74</v>
      </c>
      <c r="AG280">
        <v>82</v>
      </c>
      <c r="AH280">
        <v>35</v>
      </c>
      <c r="AI280">
        <v>37</v>
      </c>
      <c r="AJ280">
        <v>1</v>
      </c>
      <c r="AK280">
        <v>23</v>
      </c>
      <c r="AL280" t="s">
        <v>358</v>
      </c>
      <c r="AM280" t="s">
        <v>359</v>
      </c>
      <c r="AN280" t="s">
        <v>3238</v>
      </c>
      <c r="AO280" t="s">
        <v>3239</v>
      </c>
      <c r="AP280" t="s">
        <v>3240</v>
      </c>
      <c r="AQ280" t="s">
        <v>74</v>
      </c>
      <c r="AR280" t="s">
        <v>3241</v>
      </c>
      <c r="AS280" t="s">
        <v>3242</v>
      </c>
      <c r="AT280" t="s">
        <v>74</v>
      </c>
      <c r="AU280">
        <v>2016</v>
      </c>
      <c r="AV280">
        <v>16</v>
      </c>
      <c r="AW280">
        <v>4</v>
      </c>
      <c r="AX280" t="s">
        <v>74</v>
      </c>
      <c r="AY280" t="s">
        <v>74</v>
      </c>
      <c r="AZ280" t="s">
        <v>74</v>
      </c>
      <c r="BA280" t="s">
        <v>74</v>
      </c>
      <c r="BB280">
        <v>2185</v>
      </c>
      <c r="BC280">
        <v>2206</v>
      </c>
      <c r="BD280" t="s">
        <v>74</v>
      </c>
      <c r="BE280" t="s">
        <v>5389</v>
      </c>
      <c r="BF280" t="str">
        <f>HYPERLINK("http://dx.doi.org/10.5194/acp-16-2185-2016","http://dx.doi.org/10.5194/acp-16-2185-2016")</f>
        <v>http://dx.doi.org/10.5194/acp-16-2185-2016</v>
      </c>
      <c r="BG280" t="s">
        <v>74</v>
      </c>
      <c r="BH280" t="s">
        <v>74</v>
      </c>
      <c r="BI280">
        <v>22</v>
      </c>
      <c r="BJ280" t="s">
        <v>3244</v>
      </c>
      <c r="BK280" t="s">
        <v>264</v>
      </c>
      <c r="BL280" t="s">
        <v>3245</v>
      </c>
      <c r="BM280" t="s">
        <v>5390</v>
      </c>
      <c r="BN280" t="s">
        <v>74</v>
      </c>
      <c r="BO280" t="s">
        <v>3768</v>
      </c>
      <c r="BP280" t="s">
        <v>74</v>
      </c>
      <c r="BQ280" t="s">
        <v>74</v>
      </c>
      <c r="BR280" t="s">
        <v>100</v>
      </c>
      <c r="BS280" t="s">
        <v>5391</v>
      </c>
      <c r="BT280" t="str">
        <f>HYPERLINK("https%3A%2F%2Fwww.webofscience.com%2Fwos%2Fwoscc%2Ffull-record%2FWOS:000372971500021","View Full Record in Web of Science")</f>
        <v>View Full Record in Web of Science</v>
      </c>
    </row>
    <row r="281" spans="1:72" x14ac:dyDescent="0.15">
      <c r="A281" t="s">
        <v>72</v>
      </c>
      <c r="B281" t="s">
        <v>5392</v>
      </c>
      <c r="C281" t="s">
        <v>74</v>
      </c>
      <c r="D281" t="s">
        <v>74</v>
      </c>
      <c r="E281" t="s">
        <v>74</v>
      </c>
      <c r="F281" t="s">
        <v>5393</v>
      </c>
      <c r="G281" t="s">
        <v>74</v>
      </c>
      <c r="H281" t="s">
        <v>74</v>
      </c>
      <c r="I281" t="s">
        <v>5394</v>
      </c>
      <c r="J281" t="s">
        <v>3226</v>
      </c>
      <c r="K281" t="s">
        <v>74</v>
      </c>
      <c r="L281" t="s">
        <v>74</v>
      </c>
      <c r="M281" t="s">
        <v>200</v>
      </c>
      <c r="N281" t="s">
        <v>79</v>
      </c>
      <c r="O281" t="s">
        <v>74</v>
      </c>
      <c r="P281" t="s">
        <v>74</v>
      </c>
      <c r="Q281" t="s">
        <v>74</v>
      </c>
      <c r="R281" t="s">
        <v>74</v>
      </c>
      <c r="S281" t="s">
        <v>74</v>
      </c>
      <c r="T281" t="s">
        <v>74</v>
      </c>
      <c r="U281" t="s">
        <v>5395</v>
      </c>
      <c r="V281" t="s">
        <v>5396</v>
      </c>
      <c r="W281" t="s">
        <v>5397</v>
      </c>
      <c r="X281" t="s">
        <v>5398</v>
      </c>
      <c r="Y281" t="s">
        <v>4991</v>
      </c>
      <c r="Z281" t="s">
        <v>4992</v>
      </c>
      <c r="AA281" t="s">
        <v>4993</v>
      </c>
      <c r="AB281" t="s">
        <v>5399</v>
      </c>
      <c r="AC281" t="s">
        <v>4995</v>
      </c>
      <c r="AD281" t="s">
        <v>4996</v>
      </c>
      <c r="AE281" t="s">
        <v>5400</v>
      </c>
      <c r="AF281" t="s">
        <v>74</v>
      </c>
      <c r="AG281">
        <v>59</v>
      </c>
      <c r="AH281">
        <v>8</v>
      </c>
      <c r="AI281">
        <v>8</v>
      </c>
      <c r="AJ281">
        <v>0</v>
      </c>
      <c r="AK281">
        <v>13</v>
      </c>
      <c r="AL281" t="s">
        <v>358</v>
      </c>
      <c r="AM281" t="s">
        <v>359</v>
      </c>
      <c r="AN281" t="s">
        <v>3238</v>
      </c>
      <c r="AO281" t="s">
        <v>3239</v>
      </c>
      <c r="AP281" t="s">
        <v>3240</v>
      </c>
      <c r="AQ281" t="s">
        <v>74</v>
      </c>
      <c r="AR281" t="s">
        <v>3241</v>
      </c>
      <c r="AS281" t="s">
        <v>3242</v>
      </c>
      <c r="AT281" t="s">
        <v>74</v>
      </c>
      <c r="AU281">
        <v>2016</v>
      </c>
      <c r="AV281">
        <v>16</v>
      </c>
      <c r="AW281">
        <v>4</v>
      </c>
      <c r="AX281" t="s">
        <v>74</v>
      </c>
      <c r="AY281" t="s">
        <v>74</v>
      </c>
      <c r="AZ281" t="s">
        <v>74</v>
      </c>
      <c r="BA281" t="s">
        <v>74</v>
      </c>
      <c r="BB281">
        <v>2207</v>
      </c>
      <c r="BC281">
        <v>2219</v>
      </c>
      <c r="BD281" t="s">
        <v>74</v>
      </c>
      <c r="BE281" t="s">
        <v>5401</v>
      </c>
      <c r="BF281" t="str">
        <f>HYPERLINK("http://dx.doi.org/10.5194/acp-16-2207-2016","http://dx.doi.org/10.5194/acp-16-2207-2016")</f>
        <v>http://dx.doi.org/10.5194/acp-16-2207-2016</v>
      </c>
      <c r="BG281" t="s">
        <v>74</v>
      </c>
      <c r="BH281" t="s">
        <v>74</v>
      </c>
      <c r="BI281">
        <v>13</v>
      </c>
      <c r="BJ281" t="s">
        <v>3244</v>
      </c>
      <c r="BK281" t="s">
        <v>264</v>
      </c>
      <c r="BL281" t="s">
        <v>3245</v>
      </c>
      <c r="BM281" t="s">
        <v>5390</v>
      </c>
      <c r="BN281" t="s">
        <v>74</v>
      </c>
      <c r="BO281" t="s">
        <v>2134</v>
      </c>
      <c r="BP281" t="s">
        <v>74</v>
      </c>
      <c r="BQ281" t="s">
        <v>74</v>
      </c>
      <c r="BR281" t="s">
        <v>100</v>
      </c>
      <c r="BS281" t="s">
        <v>5402</v>
      </c>
      <c r="BT281" t="str">
        <f>HYPERLINK("https%3A%2F%2Fwww.webofscience.com%2Fwos%2Fwoscc%2Ffull-record%2FWOS:000372971500022","View Full Record in Web of Science")</f>
        <v>View Full Record in Web of Science</v>
      </c>
    </row>
    <row r="282" spans="1:72" x14ac:dyDescent="0.15">
      <c r="A282" t="s">
        <v>72</v>
      </c>
      <c r="B282" t="s">
        <v>5403</v>
      </c>
      <c r="C282" t="s">
        <v>74</v>
      </c>
      <c r="D282" t="s">
        <v>74</v>
      </c>
      <c r="E282" t="s">
        <v>74</v>
      </c>
      <c r="F282" t="s">
        <v>5404</v>
      </c>
      <c r="G282" t="s">
        <v>74</v>
      </c>
      <c r="H282" t="s">
        <v>74</v>
      </c>
      <c r="I282" t="s">
        <v>5405</v>
      </c>
      <c r="J282" t="s">
        <v>5406</v>
      </c>
      <c r="K282" t="s">
        <v>74</v>
      </c>
      <c r="L282" t="s">
        <v>74</v>
      </c>
      <c r="M282" t="s">
        <v>200</v>
      </c>
      <c r="N282" t="s">
        <v>79</v>
      </c>
      <c r="O282" t="s">
        <v>74</v>
      </c>
      <c r="P282" t="s">
        <v>74</v>
      </c>
      <c r="Q282" t="s">
        <v>74</v>
      </c>
      <c r="R282" t="s">
        <v>74</v>
      </c>
      <c r="S282" t="s">
        <v>74</v>
      </c>
      <c r="T282" t="s">
        <v>5407</v>
      </c>
      <c r="U282" t="s">
        <v>5408</v>
      </c>
      <c r="V282" t="s">
        <v>5409</v>
      </c>
      <c r="W282" t="s">
        <v>5410</v>
      </c>
      <c r="X282" t="s">
        <v>3480</v>
      </c>
      <c r="Y282" t="s">
        <v>5411</v>
      </c>
      <c r="Z282" t="s">
        <v>5412</v>
      </c>
      <c r="AA282" t="s">
        <v>5413</v>
      </c>
      <c r="AB282" t="s">
        <v>5414</v>
      </c>
      <c r="AC282" t="s">
        <v>5415</v>
      </c>
      <c r="AD282" t="s">
        <v>5415</v>
      </c>
      <c r="AE282" t="s">
        <v>5416</v>
      </c>
      <c r="AF282" t="s">
        <v>74</v>
      </c>
      <c r="AG282">
        <v>97</v>
      </c>
      <c r="AH282">
        <v>10</v>
      </c>
      <c r="AI282">
        <v>11</v>
      </c>
      <c r="AJ282">
        <v>2</v>
      </c>
      <c r="AK282">
        <v>35</v>
      </c>
      <c r="AL282" t="s">
        <v>2263</v>
      </c>
      <c r="AM282" t="s">
        <v>2264</v>
      </c>
      <c r="AN282" t="s">
        <v>2265</v>
      </c>
      <c r="AO282" t="s">
        <v>5417</v>
      </c>
      <c r="AP282" t="s">
        <v>5418</v>
      </c>
      <c r="AQ282" t="s">
        <v>74</v>
      </c>
      <c r="AR282" t="s">
        <v>5419</v>
      </c>
      <c r="AS282" t="s">
        <v>5420</v>
      </c>
      <c r="AT282" t="s">
        <v>74</v>
      </c>
      <c r="AU282">
        <v>2016</v>
      </c>
      <c r="AV282">
        <v>44</v>
      </c>
      <c r="AW282">
        <v>2</v>
      </c>
      <c r="AX282" t="s">
        <v>74</v>
      </c>
      <c r="AY282" t="s">
        <v>74</v>
      </c>
      <c r="AZ282" t="s">
        <v>74</v>
      </c>
      <c r="BA282" t="s">
        <v>74</v>
      </c>
      <c r="BB282">
        <v>93</v>
      </c>
      <c r="BC282">
        <v>115</v>
      </c>
      <c r="BD282" t="s">
        <v>74</v>
      </c>
      <c r="BE282" t="s">
        <v>5421</v>
      </c>
      <c r="BF282" t="str">
        <f>HYPERLINK("http://dx.doi.org/10.1080/08920753.2016.1135272","http://dx.doi.org/10.1080/08920753.2016.1135272")</f>
        <v>http://dx.doi.org/10.1080/08920753.2016.1135272</v>
      </c>
      <c r="BG282" t="s">
        <v>74</v>
      </c>
      <c r="BH282" t="s">
        <v>74</v>
      </c>
      <c r="BI282">
        <v>23</v>
      </c>
      <c r="BJ282" t="s">
        <v>5422</v>
      </c>
      <c r="BK282" t="s">
        <v>710</v>
      </c>
      <c r="BL282" t="s">
        <v>2887</v>
      </c>
      <c r="BM282" t="s">
        <v>5423</v>
      </c>
      <c r="BN282" t="s">
        <v>74</v>
      </c>
      <c r="BO282" t="s">
        <v>74</v>
      </c>
      <c r="BP282" t="s">
        <v>74</v>
      </c>
      <c r="BQ282" t="s">
        <v>74</v>
      </c>
      <c r="BR282" t="s">
        <v>100</v>
      </c>
      <c r="BS282" t="s">
        <v>5424</v>
      </c>
      <c r="BT282" t="str">
        <f>HYPERLINK("https%3A%2F%2Fwww.webofscience.com%2Fwos%2Fwoscc%2Ffull-record%2FWOS:000373127600001","View Full Record in Web of Science")</f>
        <v>View Full Record in Web of Science</v>
      </c>
    </row>
    <row r="283" spans="1:72" x14ac:dyDescent="0.15">
      <c r="A283" t="s">
        <v>72</v>
      </c>
      <c r="B283" t="s">
        <v>5425</v>
      </c>
      <c r="C283" t="s">
        <v>74</v>
      </c>
      <c r="D283" t="s">
        <v>74</v>
      </c>
      <c r="E283" t="s">
        <v>74</v>
      </c>
      <c r="F283" t="s">
        <v>5426</v>
      </c>
      <c r="G283" t="s">
        <v>74</v>
      </c>
      <c r="H283" t="s">
        <v>74</v>
      </c>
      <c r="I283" t="s">
        <v>5427</v>
      </c>
      <c r="J283" t="s">
        <v>5428</v>
      </c>
      <c r="K283" t="s">
        <v>74</v>
      </c>
      <c r="L283" t="s">
        <v>74</v>
      </c>
      <c r="M283" t="s">
        <v>200</v>
      </c>
      <c r="N283" t="s">
        <v>79</v>
      </c>
      <c r="O283" t="s">
        <v>74</v>
      </c>
      <c r="P283" t="s">
        <v>74</v>
      </c>
      <c r="Q283" t="s">
        <v>74</v>
      </c>
      <c r="R283" t="s">
        <v>74</v>
      </c>
      <c r="S283" t="s">
        <v>74</v>
      </c>
      <c r="T283" t="s">
        <v>5429</v>
      </c>
      <c r="U283" t="s">
        <v>5430</v>
      </c>
      <c r="V283" t="s">
        <v>5431</v>
      </c>
      <c r="W283" t="s">
        <v>5432</v>
      </c>
      <c r="X283" t="s">
        <v>5433</v>
      </c>
      <c r="Y283" t="s">
        <v>5434</v>
      </c>
      <c r="Z283" t="s">
        <v>5435</v>
      </c>
      <c r="AA283" t="s">
        <v>5436</v>
      </c>
      <c r="AB283" t="s">
        <v>5437</v>
      </c>
      <c r="AC283" t="s">
        <v>5438</v>
      </c>
      <c r="AD283" t="s">
        <v>5438</v>
      </c>
      <c r="AE283" t="s">
        <v>5439</v>
      </c>
      <c r="AF283" t="s">
        <v>74</v>
      </c>
      <c r="AG283">
        <v>59</v>
      </c>
      <c r="AH283">
        <v>28</v>
      </c>
      <c r="AI283">
        <v>31</v>
      </c>
      <c r="AJ283">
        <v>0</v>
      </c>
      <c r="AK283">
        <v>53</v>
      </c>
      <c r="AL283" t="s">
        <v>3560</v>
      </c>
      <c r="AM283" t="s">
        <v>289</v>
      </c>
      <c r="AN283" t="s">
        <v>5440</v>
      </c>
      <c r="AO283" t="s">
        <v>5441</v>
      </c>
      <c r="AP283" t="s">
        <v>5442</v>
      </c>
      <c r="AQ283" t="s">
        <v>74</v>
      </c>
      <c r="AR283" t="s">
        <v>5428</v>
      </c>
      <c r="AS283" t="s">
        <v>5443</v>
      </c>
      <c r="AT283" t="s">
        <v>315</v>
      </c>
      <c r="AU283">
        <v>2016</v>
      </c>
      <c r="AV283">
        <v>19</v>
      </c>
      <c r="AW283">
        <v>1</v>
      </c>
      <c r="AX283" t="s">
        <v>74</v>
      </c>
      <c r="AY283" t="s">
        <v>74</v>
      </c>
      <c r="AZ283" t="s">
        <v>74</v>
      </c>
      <c r="BA283" t="s">
        <v>74</v>
      </c>
      <c r="BB283">
        <v>1</v>
      </c>
      <c r="BC283">
        <v>15</v>
      </c>
      <c r="BD283" t="s">
        <v>74</v>
      </c>
      <c r="BE283" t="s">
        <v>5444</v>
      </c>
      <c r="BF283" t="str">
        <f>HYPERLINK("http://dx.doi.org/10.1007/s10021-015-9913-6","http://dx.doi.org/10.1007/s10021-015-9913-6")</f>
        <v>http://dx.doi.org/10.1007/s10021-015-9913-6</v>
      </c>
      <c r="BG283" t="s">
        <v>74</v>
      </c>
      <c r="BH283" t="s">
        <v>74</v>
      </c>
      <c r="BI283">
        <v>15</v>
      </c>
      <c r="BJ283" t="s">
        <v>5445</v>
      </c>
      <c r="BK283" t="s">
        <v>264</v>
      </c>
      <c r="BL283" t="s">
        <v>2887</v>
      </c>
      <c r="BM283" t="s">
        <v>5446</v>
      </c>
      <c r="BN283" t="s">
        <v>74</v>
      </c>
      <c r="BO283" t="s">
        <v>74</v>
      </c>
      <c r="BP283" t="s">
        <v>74</v>
      </c>
      <c r="BQ283" t="s">
        <v>74</v>
      </c>
      <c r="BR283" t="s">
        <v>100</v>
      </c>
      <c r="BS283" t="s">
        <v>5447</v>
      </c>
      <c r="BT283" t="str">
        <f>HYPERLINK("https%3A%2F%2Fwww.webofscience.com%2Fwos%2Fwoscc%2Ffull-record%2FWOS:000373017800001","View Full Record in Web of Science")</f>
        <v>View Full Record in Web of Science</v>
      </c>
    </row>
    <row r="284" spans="1:72" x14ac:dyDescent="0.15">
      <c r="A284" t="s">
        <v>72</v>
      </c>
      <c r="B284" t="s">
        <v>5448</v>
      </c>
      <c r="C284" t="s">
        <v>74</v>
      </c>
      <c r="D284" t="s">
        <v>74</v>
      </c>
      <c r="E284" t="s">
        <v>74</v>
      </c>
      <c r="F284" t="s">
        <v>5449</v>
      </c>
      <c r="G284" t="s">
        <v>74</v>
      </c>
      <c r="H284" t="s">
        <v>74</v>
      </c>
      <c r="I284" t="s">
        <v>5450</v>
      </c>
      <c r="J284" t="s">
        <v>5451</v>
      </c>
      <c r="K284" t="s">
        <v>74</v>
      </c>
      <c r="L284" t="s">
        <v>74</v>
      </c>
      <c r="M284" t="s">
        <v>200</v>
      </c>
      <c r="N284" t="s">
        <v>79</v>
      </c>
      <c r="O284" t="s">
        <v>74</v>
      </c>
      <c r="P284" t="s">
        <v>74</v>
      </c>
      <c r="Q284" t="s">
        <v>74</v>
      </c>
      <c r="R284" t="s">
        <v>74</v>
      </c>
      <c r="S284" t="s">
        <v>74</v>
      </c>
      <c r="T284" t="s">
        <v>5452</v>
      </c>
      <c r="U284" t="s">
        <v>5453</v>
      </c>
      <c r="V284" t="s">
        <v>5454</v>
      </c>
      <c r="W284" t="s">
        <v>5455</v>
      </c>
      <c r="X284" t="s">
        <v>5456</v>
      </c>
      <c r="Y284" t="s">
        <v>5457</v>
      </c>
      <c r="Z284" t="s">
        <v>5458</v>
      </c>
      <c r="AA284" t="s">
        <v>5459</v>
      </c>
      <c r="AB284" t="s">
        <v>5460</v>
      </c>
      <c r="AC284" t="s">
        <v>5461</v>
      </c>
      <c r="AD284" t="s">
        <v>5462</v>
      </c>
      <c r="AE284" t="s">
        <v>5463</v>
      </c>
      <c r="AF284" t="s">
        <v>74</v>
      </c>
      <c r="AG284">
        <v>23</v>
      </c>
      <c r="AH284">
        <v>15</v>
      </c>
      <c r="AI284">
        <v>16</v>
      </c>
      <c r="AJ284">
        <v>0</v>
      </c>
      <c r="AK284">
        <v>2</v>
      </c>
      <c r="AL284" t="s">
        <v>5464</v>
      </c>
      <c r="AM284" t="s">
        <v>5465</v>
      </c>
      <c r="AN284" t="s">
        <v>5466</v>
      </c>
      <c r="AO284" t="s">
        <v>5467</v>
      </c>
      <c r="AP284" t="s">
        <v>5468</v>
      </c>
      <c r="AQ284" t="s">
        <v>74</v>
      </c>
      <c r="AR284" t="s">
        <v>5469</v>
      </c>
      <c r="AS284" t="s">
        <v>5470</v>
      </c>
      <c r="AT284" t="s">
        <v>315</v>
      </c>
      <c r="AU284">
        <v>2016</v>
      </c>
      <c r="AV284">
        <v>142</v>
      </c>
      <c r="AW284">
        <v>695</v>
      </c>
      <c r="AX284" t="s">
        <v>219</v>
      </c>
      <c r="AY284" t="s">
        <v>74</v>
      </c>
      <c r="AZ284" t="s">
        <v>74</v>
      </c>
      <c r="BA284" t="s">
        <v>74</v>
      </c>
      <c r="BB284">
        <v>597</v>
      </c>
      <c r="BC284">
        <v>610</v>
      </c>
      <c r="BD284" t="s">
        <v>74</v>
      </c>
      <c r="BE284" t="s">
        <v>5471</v>
      </c>
      <c r="BF284" t="str">
        <f>HYPERLINK("http://dx.doi.org/10.1002/qj.2470","http://dx.doi.org/10.1002/qj.2470")</f>
        <v>http://dx.doi.org/10.1002/qj.2470</v>
      </c>
      <c r="BG284" t="s">
        <v>74</v>
      </c>
      <c r="BH284" t="s">
        <v>74</v>
      </c>
      <c r="BI284">
        <v>14</v>
      </c>
      <c r="BJ284" t="s">
        <v>1721</v>
      </c>
      <c r="BK284" t="s">
        <v>264</v>
      </c>
      <c r="BL284" t="s">
        <v>1721</v>
      </c>
      <c r="BM284" t="s">
        <v>5472</v>
      </c>
      <c r="BN284" t="s">
        <v>74</v>
      </c>
      <c r="BO284" t="s">
        <v>5473</v>
      </c>
      <c r="BP284" t="s">
        <v>74</v>
      </c>
      <c r="BQ284" t="s">
        <v>74</v>
      </c>
      <c r="BR284" t="s">
        <v>100</v>
      </c>
      <c r="BS284" t="s">
        <v>5474</v>
      </c>
      <c r="BT284" t="str">
        <f>HYPERLINK("https%3A%2F%2Fwww.webofscience.com%2Fwos%2Fwoscc%2Ffull-record%2FWOS:000372951300007","View Full Record in Web of Science")</f>
        <v>View Full Record in Web of Science</v>
      </c>
    </row>
    <row r="285" spans="1:72" x14ac:dyDescent="0.15">
      <c r="A285" t="s">
        <v>72</v>
      </c>
      <c r="B285" t="s">
        <v>5475</v>
      </c>
      <c r="C285" t="s">
        <v>74</v>
      </c>
      <c r="D285" t="s">
        <v>74</v>
      </c>
      <c r="E285" t="s">
        <v>74</v>
      </c>
      <c r="F285" t="s">
        <v>5476</v>
      </c>
      <c r="G285" t="s">
        <v>74</v>
      </c>
      <c r="H285" t="s">
        <v>74</v>
      </c>
      <c r="I285" t="s">
        <v>5477</v>
      </c>
      <c r="J285" t="s">
        <v>5451</v>
      </c>
      <c r="K285" t="s">
        <v>74</v>
      </c>
      <c r="L285" t="s">
        <v>74</v>
      </c>
      <c r="M285" t="s">
        <v>200</v>
      </c>
      <c r="N285" t="s">
        <v>79</v>
      </c>
      <c r="O285" t="s">
        <v>74</v>
      </c>
      <c r="P285" t="s">
        <v>74</v>
      </c>
      <c r="Q285" t="s">
        <v>74</v>
      </c>
      <c r="R285" t="s">
        <v>74</v>
      </c>
      <c r="S285" t="s">
        <v>74</v>
      </c>
      <c r="T285" t="s">
        <v>5478</v>
      </c>
      <c r="U285" t="s">
        <v>5479</v>
      </c>
      <c r="V285" t="s">
        <v>5480</v>
      </c>
      <c r="W285" t="s">
        <v>5481</v>
      </c>
      <c r="X285" t="s">
        <v>5482</v>
      </c>
      <c r="Y285" t="s">
        <v>5483</v>
      </c>
      <c r="Z285" t="s">
        <v>5484</v>
      </c>
      <c r="AA285" t="s">
        <v>5485</v>
      </c>
      <c r="AB285" t="s">
        <v>5486</v>
      </c>
      <c r="AC285" t="s">
        <v>5487</v>
      </c>
      <c r="AD285" t="s">
        <v>5488</v>
      </c>
      <c r="AE285" t="s">
        <v>5489</v>
      </c>
      <c r="AF285" t="s">
        <v>74</v>
      </c>
      <c r="AG285">
        <v>73</v>
      </c>
      <c r="AH285">
        <v>11</v>
      </c>
      <c r="AI285">
        <v>12</v>
      </c>
      <c r="AJ285">
        <v>0</v>
      </c>
      <c r="AK285">
        <v>22</v>
      </c>
      <c r="AL285" t="s">
        <v>5464</v>
      </c>
      <c r="AM285" t="s">
        <v>5465</v>
      </c>
      <c r="AN285" t="s">
        <v>5466</v>
      </c>
      <c r="AO285" t="s">
        <v>5467</v>
      </c>
      <c r="AP285" t="s">
        <v>5468</v>
      </c>
      <c r="AQ285" t="s">
        <v>74</v>
      </c>
      <c r="AR285" t="s">
        <v>5469</v>
      </c>
      <c r="AS285" t="s">
        <v>5470</v>
      </c>
      <c r="AT285" t="s">
        <v>315</v>
      </c>
      <c r="AU285">
        <v>2016</v>
      </c>
      <c r="AV285">
        <v>142</v>
      </c>
      <c r="AW285">
        <v>695</v>
      </c>
      <c r="AX285" t="s">
        <v>219</v>
      </c>
      <c r="AY285" t="s">
        <v>74</v>
      </c>
      <c r="AZ285" t="s">
        <v>74</v>
      </c>
      <c r="BA285" t="s">
        <v>74</v>
      </c>
      <c r="BB285">
        <v>821</v>
      </c>
      <c r="BC285">
        <v>835</v>
      </c>
      <c r="BD285" t="s">
        <v>74</v>
      </c>
      <c r="BE285" t="s">
        <v>5490</v>
      </c>
      <c r="BF285" t="str">
        <f>HYPERLINK("http://dx.doi.org/10.1002/qj.2684","http://dx.doi.org/10.1002/qj.2684")</f>
        <v>http://dx.doi.org/10.1002/qj.2684</v>
      </c>
      <c r="BG285" t="s">
        <v>74</v>
      </c>
      <c r="BH285" t="s">
        <v>74</v>
      </c>
      <c r="BI285">
        <v>15</v>
      </c>
      <c r="BJ285" t="s">
        <v>1721</v>
      </c>
      <c r="BK285" t="s">
        <v>264</v>
      </c>
      <c r="BL285" t="s">
        <v>1721</v>
      </c>
      <c r="BM285" t="s">
        <v>5472</v>
      </c>
      <c r="BN285" t="s">
        <v>74</v>
      </c>
      <c r="BO285" t="s">
        <v>74</v>
      </c>
      <c r="BP285" t="s">
        <v>74</v>
      </c>
      <c r="BQ285" t="s">
        <v>74</v>
      </c>
      <c r="BR285" t="s">
        <v>100</v>
      </c>
      <c r="BS285" t="s">
        <v>5491</v>
      </c>
      <c r="BT285" t="str">
        <f>HYPERLINK("https%3A%2F%2Fwww.webofscience.com%2Fwos%2Fwoscc%2Ffull-record%2FWOS:000372951300025","View Full Record in Web of Science")</f>
        <v>View Full Record in Web of Science</v>
      </c>
    </row>
    <row r="286" spans="1:72" x14ac:dyDescent="0.15">
      <c r="A286" t="s">
        <v>72</v>
      </c>
      <c r="B286" t="s">
        <v>5492</v>
      </c>
      <c r="C286" t="s">
        <v>74</v>
      </c>
      <c r="D286" t="s">
        <v>74</v>
      </c>
      <c r="E286" t="s">
        <v>74</v>
      </c>
      <c r="F286" t="s">
        <v>5493</v>
      </c>
      <c r="G286" t="s">
        <v>74</v>
      </c>
      <c r="H286" t="s">
        <v>74</v>
      </c>
      <c r="I286" t="s">
        <v>5494</v>
      </c>
      <c r="J286" t="s">
        <v>5495</v>
      </c>
      <c r="K286" t="s">
        <v>74</v>
      </c>
      <c r="L286" t="s">
        <v>74</v>
      </c>
      <c r="M286" t="s">
        <v>200</v>
      </c>
      <c r="N286" t="s">
        <v>79</v>
      </c>
      <c r="O286" t="s">
        <v>74</v>
      </c>
      <c r="P286" t="s">
        <v>74</v>
      </c>
      <c r="Q286" t="s">
        <v>74</v>
      </c>
      <c r="R286" t="s">
        <v>74</v>
      </c>
      <c r="S286" t="s">
        <v>74</v>
      </c>
      <c r="T286" t="s">
        <v>5496</v>
      </c>
      <c r="U286" t="s">
        <v>5497</v>
      </c>
      <c r="V286" t="s">
        <v>5498</v>
      </c>
      <c r="W286" t="s">
        <v>5499</v>
      </c>
      <c r="X286" t="s">
        <v>5500</v>
      </c>
      <c r="Y286" t="s">
        <v>5501</v>
      </c>
      <c r="Z286" t="s">
        <v>5502</v>
      </c>
      <c r="AA286" t="s">
        <v>5503</v>
      </c>
      <c r="AB286" t="s">
        <v>5504</v>
      </c>
      <c r="AC286" t="s">
        <v>5505</v>
      </c>
      <c r="AD286" t="s">
        <v>5506</v>
      </c>
      <c r="AE286" t="s">
        <v>5507</v>
      </c>
      <c r="AF286" t="s">
        <v>74</v>
      </c>
      <c r="AG286">
        <v>24</v>
      </c>
      <c r="AH286">
        <v>17</v>
      </c>
      <c r="AI286">
        <v>18</v>
      </c>
      <c r="AJ286">
        <v>0</v>
      </c>
      <c r="AK286">
        <v>12</v>
      </c>
      <c r="AL286" t="s">
        <v>3880</v>
      </c>
      <c r="AM286" t="s">
        <v>3881</v>
      </c>
      <c r="AN286" t="s">
        <v>3882</v>
      </c>
      <c r="AO286" t="s">
        <v>5508</v>
      </c>
      <c r="AP286" t="s">
        <v>5509</v>
      </c>
      <c r="AQ286" t="s">
        <v>74</v>
      </c>
      <c r="AR286" t="s">
        <v>5510</v>
      </c>
      <c r="AS286" t="s">
        <v>5511</v>
      </c>
      <c r="AT286" t="s">
        <v>74</v>
      </c>
      <c r="AU286">
        <v>2016</v>
      </c>
      <c r="AV286">
        <v>7</v>
      </c>
      <c r="AW286">
        <v>3</v>
      </c>
      <c r="AX286" t="s">
        <v>74</v>
      </c>
      <c r="AY286" t="s">
        <v>74</v>
      </c>
      <c r="AZ286" t="s">
        <v>74</v>
      </c>
      <c r="BA286" t="s">
        <v>74</v>
      </c>
      <c r="BB286">
        <v>498</v>
      </c>
      <c r="BC286">
        <v>501</v>
      </c>
      <c r="BD286" t="s">
        <v>74</v>
      </c>
      <c r="BE286" t="s">
        <v>5512</v>
      </c>
      <c r="BF286" t="str">
        <f>HYPERLINK("http://dx.doi.org/10.1016/j.ttbdis.2016.02.006","http://dx.doi.org/10.1016/j.ttbdis.2016.02.006")</f>
        <v>http://dx.doi.org/10.1016/j.ttbdis.2016.02.006</v>
      </c>
      <c r="BG286" t="s">
        <v>74</v>
      </c>
      <c r="BH286" t="s">
        <v>74</v>
      </c>
      <c r="BI286">
        <v>4</v>
      </c>
      <c r="BJ286" t="s">
        <v>5513</v>
      </c>
      <c r="BK286" t="s">
        <v>264</v>
      </c>
      <c r="BL286" t="s">
        <v>5513</v>
      </c>
      <c r="BM286" t="s">
        <v>5514</v>
      </c>
      <c r="BN286">
        <v>26874670</v>
      </c>
      <c r="BO286" t="s">
        <v>74</v>
      </c>
      <c r="BP286" t="s">
        <v>74</v>
      </c>
      <c r="BQ286" t="s">
        <v>74</v>
      </c>
      <c r="BR286" t="s">
        <v>100</v>
      </c>
      <c r="BS286" t="s">
        <v>5515</v>
      </c>
      <c r="BT286" t="str">
        <f>HYPERLINK("https%3A%2F%2Fwww.webofscience.com%2Fwos%2Fwoscc%2Ffull-record%2FWOS:000372941300016","View Full Record in Web of Science")</f>
        <v>View Full Record in Web of Science</v>
      </c>
    </row>
    <row r="287" spans="1:72" x14ac:dyDescent="0.15">
      <c r="A287" t="s">
        <v>72</v>
      </c>
      <c r="B287" t="s">
        <v>5516</v>
      </c>
      <c r="C287" t="s">
        <v>74</v>
      </c>
      <c r="D287" t="s">
        <v>74</v>
      </c>
      <c r="E287" t="s">
        <v>74</v>
      </c>
      <c r="F287" t="s">
        <v>5517</v>
      </c>
      <c r="G287" t="s">
        <v>74</v>
      </c>
      <c r="H287" t="s">
        <v>74</v>
      </c>
      <c r="I287" t="s">
        <v>5518</v>
      </c>
      <c r="J287" t="s">
        <v>5519</v>
      </c>
      <c r="K287" t="s">
        <v>74</v>
      </c>
      <c r="L287" t="s">
        <v>74</v>
      </c>
      <c r="M287" t="s">
        <v>200</v>
      </c>
      <c r="N287" t="s">
        <v>79</v>
      </c>
      <c r="O287" t="s">
        <v>74</v>
      </c>
      <c r="P287" t="s">
        <v>74</v>
      </c>
      <c r="Q287" t="s">
        <v>74</v>
      </c>
      <c r="R287" t="s">
        <v>74</v>
      </c>
      <c r="S287" t="s">
        <v>74</v>
      </c>
      <c r="T287" t="s">
        <v>74</v>
      </c>
      <c r="U287" t="s">
        <v>5520</v>
      </c>
      <c r="V287" t="s">
        <v>5521</v>
      </c>
      <c r="W287" t="s">
        <v>5522</v>
      </c>
      <c r="X287" t="s">
        <v>5523</v>
      </c>
      <c r="Y287" t="s">
        <v>5524</v>
      </c>
      <c r="Z287" t="s">
        <v>5525</v>
      </c>
      <c r="AA287" t="s">
        <v>5526</v>
      </c>
      <c r="AB287" t="s">
        <v>5527</v>
      </c>
      <c r="AC287" t="s">
        <v>5528</v>
      </c>
      <c r="AD287" t="s">
        <v>5529</v>
      </c>
      <c r="AE287" t="s">
        <v>5530</v>
      </c>
      <c r="AF287" t="s">
        <v>74</v>
      </c>
      <c r="AG287">
        <v>56</v>
      </c>
      <c r="AH287">
        <v>34</v>
      </c>
      <c r="AI287">
        <v>36</v>
      </c>
      <c r="AJ287">
        <v>1</v>
      </c>
      <c r="AK287">
        <v>10</v>
      </c>
      <c r="AL287" t="s">
        <v>5531</v>
      </c>
      <c r="AM287" t="s">
        <v>5532</v>
      </c>
      <c r="AN287" t="s">
        <v>5533</v>
      </c>
      <c r="AO287" t="s">
        <v>5534</v>
      </c>
      <c r="AP287" t="s">
        <v>5535</v>
      </c>
      <c r="AQ287" t="s">
        <v>74</v>
      </c>
      <c r="AR287" t="s">
        <v>5536</v>
      </c>
      <c r="AS287" t="s">
        <v>5537</v>
      </c>
      <c r="AT287" t="s">
        <v>315</v>
      </c>
      <c r="AU287">
        <v>2016</v>
      </c>
      <c r="AV287">
        <v>124</v>
      </c>
      <c r="AW287">
        <v>1</v>
      </c>
      <c r="AX287" t="s">
        <v>74</v>
      </c>
      <c r="AY287" t="s">
        <v>74</v>
      </c>
      <c r="AZ287" t="s">
        <v>74</v>
      </c>
      <c r="BA287" t="s">
        <v>74</v>
      </c>
      <c r="BB287">
        <v>1</v>
      </c>
      <c r="BC287">
        <v>26</v>
      </c>
      <c r="BD287" t="s">
        <v>74</v>
      </c>
      <c r="BE287" t="s">
        <v>5538</v>
      </c>
      <c r="BF287" t="str">
        <f>HYPERLINK("http://dx.doi.org/10.1086/684052","http://dx.doi.org/10.1086/684052")</f>
        <v>http://dx.doi.org/10.1086/684052</v>
      </c>
      <c r="BG287" t="s">
        <v>74</v>
      </c>
      <c r="BH287" t="s">
        <v>74</v>
      </c>
      <c r="BI287">
        <v>26</v>
      </c>
      <c r="BJ287" t="s">
        <v>97</v>
      </c>
      <c r="BK287" t="s">
        <v>264</v>
      </c>
      <c r="BL287" t="s">
        <v>97</v>
      </c>
      <c r="BM287" t="s">
        <v>5539</v>
      </c>
      <c r="BN287" t="s">
        <v>74</v>
      </c>
      <c r="BO287" t="s">
        <v>74</v>
      </c>
      <c r="BP287" t="s">
        <v>74</v>
      </c>
      <c r="BQ287" t="s">
        <v>74</v>
      </c>
      <c r="BR287" t="s">
        <v>100</v>
      </c>
      <c r="BS287" t="s">
        <v>5540</v>
      </c>
      <c r="BT287" t="str">
        <f>HYPERLINK("https%3A%2F%2Fwww.webofscience.com%2Fwos%2Fwoscc%2Ffull-record%2FWOS:000372336200001","View Full Record in Web of Science")</f>
        <v>View Full Record in Web of Science</v>
      </c>
    </row>
    <row r="288" spans="1:72" x14ac:dyDescent="0.15">
      <c r="A288" t="s">
        <v>72</v>
      </c>
      <c r="B288" t="s">
        <v>5541</v>
      </c>
      <c r="C288" t="s">
        <v>74</v>
      </c>
      <c r="D288" t="s">
        <v>74</v>
      </c>
      <c r="E288" t="s">
        <v>74</v>
      </c>
      <c r="F288" t="s">
        <v>5542</v>
      </c>
      <c r="G288" t="s">
        <v>74</v>
      </c>
      <c r="H288" t="s">
        <v>74</v>
      </c>
      <c r="I288" t="s">
        <v>5543</v>
      </c>
      <c r="J288" t="s">
        <v>5519</v>
      </c>
      <c r="K288" t="s">
        <v>74</v>
      </c>
      <c r="L288" t="s">
        <v>74</v>
      </c>
      <c r="M288" t="s">
        <v>200</v>
      </c>
      <c r="N288" t="s">
        <v>79</v>
      </c>
      <c r="O288" t="s">
        <v>74</v>
      </c>
      <c r="P288" t="s">
        <v>74</v>
      </c>
      <c r="Q288" t="s">
        <v>74</v>
      </c>
      <c r="R288" t="s">
        <v>74</v>
      </c>
      <c r="S288" t="s">
        <v>74</v>
      </c>
      <c r="T288" t="s">
        <v>74</v>
      </c>
      <c r="U288" t="s">
        <v>5544</v>
      </c>
      <c r="V288" t="s">
        <v>5545</v>
      </c>
      <c r="W288" t="s">
        <v>5546</v>
      </c>
      <c r="X288" t="s">
        <v>5547</v>
      </c>
      <c r="Y288" t="s">
        <v>5548</v>
      </c>
      <c r="Z288" t="s">
        <v>5549</v>
      </c>
      <c r="AA288" t="s">
        <v>5550</v>
      </c>
      <c r="AB288" t="s">
        <v>5551</v>
      </c>
      <c r="AC288" t="s">
        <v>5552</v>
      </c>
      <c r="AD288" t="s">
        <v>5553</v>
      </c>
      <c r="AE288" t="s">
        <v>5554</v>
      </c>
      <c r="AF288" t="s">
        <v>74</v>
      </c>
      <c r="AG288">
        <v>79</v>
      </c>
      <c r="AH288">
        <v>27</v>
      </c>
      <c r="AI288">
        <v>27</v>
      </c>
      <c r="AJ288">
        <v>0</v>
      </c>
      <c r="AK288">
        <v>26</v>
      </c>
      <c r="AL288" t="s">
        <v>5531</v>
      </c>
      <c r="AM288" t="s">
        <v>5532</v>
      </c>
      <c r="AN288" t="s">
        <v>5533</v>
      </c>
      <c r="AO288" t="s">
        <v>5534</v>
      </c>
      <c r="AP288" t="s">
        <v>5535</v>
      </c>
      <c r="AQ288" t="s">
        <v>74</v>
      </c>
      <c r="AR288" t="s">
        <v>5536</v>
      </c>
      <c r="AS288" t="s">
        <v>5537</v>
      </c>
      <c r="AT288" t="s">
        <v>315</v>
      </c>
      <c r="AU288">
        <v>2016</v>
      </c>
      <c r="AV288">
        <v>124</v>
      </c>
      <c r="AW288">
        <v>1</v>
      </c>
      <c r="AX288" t="s">
        <v>74</v>
      </c>
      <c r="AY288" t="s">
        <v>74</v>
      </c>
      <c r="AZ288" t="s">
        <v>74</v>
      </c>
      <c r="BA288" t="s">
        <v>74</v>
      </c>
      <c r="BB288">
        <v>27</v>
      </c>
      <c r="BC288">
        <v>53</v>
      </c>
      <c r="BD288" t="s">
        <v>74</v>
      </c>
      <c r="BE288" t="s">
        <v>5555</v>
      </c>
      <c r="BF288" t="str">
        <f>HYPERLINK("http://dx.doi.org/10.1086/684252","http://dx.doi.org/10.1086/684252")</f>
        <v>http://dx.doi.org/10.1086/684252</v>
      </c>
      <c r="BG288" t="s">
        <v>74</v>
      </c>
      <c r="BH288" t="s">
        <v>74</v>
      </c>
      <c r="BI288">
        <v>27</v>
      </c>
      <c r="BJ288" t="s">
        <v>97</v>
      </c>
      <c r="BK288" t="s">
        <v>264</v>
      </c>
      <c r="BL288" t="s">
        <v>97</v>
      </c>
      <c r="BM288" t="s">
        <v>5539</v>
      </c>
      <c r="BN288" t="s">
        <v>74</v>
      </c>
      <c r="BO288" t="s">
        <v>403</v>
      </c>
      <c r="BP288" t="s">
        <v>74</v>
      </c>
      <c r="BQ288" t="s">
        <v>74</v>
      </c>
      <c r="BR288" t="s">
        <v>100</v>
      </c>
      <c r="BS288" t="s">
        <v>5556</v>
      </c>
      <c r="BT288" t="str">
        <f>HYPERLINK("https%3A%2F%2Fwww.webofscience.com%2Fwos%2Fwoscc%2Ffull-record%2FWOS:000372336200002","View Full Record in Web of Science")</f>
        <v>View Full Record in Web of Science</v>
      </c>
    </row>
    <row r="289" spans="1:72" x14ac:dyDescent="0.15">
      <c r="A289" t="s">
        <v>72</v>
      </c>
      <c r="B289" t="s">
        <v>5557</v>
      </c>
      <c r="C289" t="s">
        <v>74</v>
      </c>
      <c r="D289" t="s">
        <v>74</v>
      </c>
      <c r="E289" t="s">
        <v>74</v>
      </c>
      <c r="F289" t="s">
        <v>5558</v>
      </c>
      <c r="G289" t="s">
        <v>74</v>
      </c>
      <c r="H289" t="s">
        <v>74</v>
      </c>
      <c r="I289" t="s">
        <v>5559</v>
      </c>
      <c r="J289" t="s">
        <v>5560</v>
      </c>
      <c r="K289" t="s">
        <v>74</v>
      </c>
      <c r="L289" t="s">
        <v>74</v>
      </c>
      <c r="M289" t="s">
        <v>200</v>
      </c>
      <c r="N289" t="s">
        <v>79</v>
      </c>
      <c r="O289" t="s">
        <v>74</v>
      </c>
      <c r="P289" t="s">
        <v>74</v>
      </c>
      <c r="Q289" t="s">
        <v>74</v>
      </c>
      <c r="R289" t="s">
        <v>74</v>
      </c>
      <c r="S289" t="s">
        <v>74</v>
      </c>
      <c r="T289" t="s">
        <v>5561</v>
      </c>
      <c r="U289" t="s">
        <v>5562</v>
      </c>
      <c r="V289" t="s">
        <v>5563</v>
      </c>
      <c r="W289" t="s">
        <v>5564</v>
      </c>
      <c r="X289" t="s">
        <v>5565</v>
      </c>
      <c r="Y289" t="s">
        <v>5566</v>
      </c>
      <c r="Z289" t="s">
        <v>5567</v>
      </c>
      <c r="AA289" t="s">
        <v>5568</v>
      </c>
      <c r="AB289" t="s">
        <v>5569</v>
      </c>
      <c r="AC289" t="s">
        <v>74</v>
      </c>
      <c r="AD289" t="s">
        <v>74</v>
      </c>
      <c r="AE289" t="s">
        <v>74</v>
      </c>
      <c r="AF289" t="s">
        <v>74</v>
      </c>
      <c r="AG289">
        <v>46</v>
      </c>
      <c r="AH289">
        <v>17</v>
      </c>
      <c r="AI289">
        <v>20</v>
      </c>
      <c r="AJ289">
        <v>5</v>
      </c>
      <c r="AK289">
        <v>34</v>
      </c>
      <c r="AL289" t="s">
        <v>5570</v>
      </c>
      <c r="AM289" t="s">
        <v>5571</v>
      </c>
      <c r="AN289" t="s">
        <v>5572</v>
      </c>
      <c r="AO289" t="s">
        <v>5573</v>
      </c>
      <c r="AP289" t="s">
        <v>5574</v>
      </c>
      <c r="AQ289" t="s">
        <v>74</v>
      </c>
      <c r="AR289" t="s">
        <v>5575</v>
      </c>
      <c r="AS289" t="s">
        <v>5576</v>
      </c>
      <c r="AT289" t="s">
        <v>74</v>
      </c>
      <c r="AU289">
        <v>2016</v>
      </c>
      <c r="AV289">
        <v>24</v>
      </c>
      <c r="AW289">
        <v>3</v>
      </c>
      <c r="AX289" t="s">
        <v>74</v>
      </c>
      <c r="AY289" t="s">
        <v>74</v>
      </c>
      <c r="AZ289" t="s">
        <v>2540</v>
      </c>
      <c r="BA289" t="s">
        <v>74</v>
      </c>
      <c r="BB289">
        <v>412</v>
      </c>
      <c r="BC289">
        <v>429</v>
      </c>
      <c r="BD289" t="s">
        <v>74</v>
      </c>
      <c r="BE289" t="s">
        <v>5577</v>
      </c>
      <c r="BF289" t="str">
        <f>HYPERLINK("http://dx.doi.org/10.1080/09669582.2015.1107079","http://dx.doi.org/10.1080/09669582.2015.1107079")</f>
        <v>http://dx.doi.org/10.1080/09669582.2015.1107079</v>
      </c>
      <c r="BG289" t="s">
        <v>74</v>
      </c>
      <c r="BH289" t="s">
        <v>74</v>
      </c>
      <c r="BI289">
        <v>18</v>
      </c>
      <c r="BJ289" t="s">
        <v>5578</v>
      </c>
      <c r="BK289" t="s">
        <v>1208</v>
      </c>
      <c r="BL289" t="s">
        <v>5579</v>
      </c>
      <c r="BM289" t="s">
        <v>5580</v>
      </c>
      <c r="BN289" t="s">
        <v>74</v>
      </c>
      <c r="BO289" t="s">
        <v>5581</v>
      </c>
      <c r="BP289" t="s">
        <v>74</v>
      </c>
      <c r="BQ289" t="s">
        <v>74</v>
      </c>
      <c r="BR289" t="s">
        <v>100</v>
      </c>
      <c r="BS289" t="s">
        <v>5582</v>
      </c>
      <c r="BT289" t="str">
        <f>HYPERLINK("https%3A%2F%2Fwww.webofscience.com%2Fwos%2Fwoscc%2Ffull-record%2FWOS:000372414300006","View Full Record in Web of Science")</f>
        <v>View Full Record in Web of Science</v>
      </c>
    </row>
    <row r="290" spans="1:72" x14ac:dyDescent="0.15">
      <c r="A290" t="s">
        <v>72</v>
      </c>
      <c r="B290" t="s">
        <v>5583</v>
      </c>
      <c r="C290" t="s">
        <v>74</v>
      </c>
      <c r="D290" t="s">
        <v>74</v>
      </c>
      <c r="E290" t="s">
        <v>74</v>
      </c>
      <c r="F290" t="s">
        <v>5584</v>
      </c>
      <c r="G290" t="s">
        <v>74</v>
      </c>
      <c r="H290" t="s">
        <v>74</v>
      </c>
      <c r="I290" t="s">
        <v>5585</v>
      </c>
      <c r="J290" t="s">
        <v>1839</v>
      </c>
      <c r="K290" t="s">
        <v>74</v>
      </c>
      <c r="L290" t="s">
        <v>74</v>
      </c>
      <c r="M290" t="s">
        <v>200</v>
      </c>
      <c r="N290" t="s">
        <v>79</v>
      </c>
      <c r="O290" t="s">
        <v>74</v>
      </c>
      <c r="P290" t="s">
        <v>74</v>
      </c>
      <c r="Q290" t="s">
        <v>74</v>
      </c>
      <c r="R290" t="s">
        <v>74</v>
      </c>
      <c r="S290" t="s">
        <v>74</v>
      </c>
      <c r="T290" t="s">
        <v>5586</v>
      </c>
      <c r="U290" t="s">
        <v>5587</v>
      </c>
      <c r="V290" t="s">
        <v>5588</v>
      </c>
      <c r="W290" t="s">
        <v>5589</v>
      </c>
      <c r="X290" t="s">
        <v>5590</v>
      </c>
      <c r="Y290" t="s">
        <v>5591</v>
      </c>
      <c r="Z290" t="s">
        <v>3707</v>
      </c>
      <c r="AA290" t="s">
        <v>5592</v>
      </c>
      <c r="AB290" t="s">
        <v>5593</v>
      </c>
      <c r="AC290" t="s">
        <v>5594</v>
      </c>
      <c r="AD290" t="s">
        <v>5595</v>
      </c>
      <c r="AE290" t="s">
        <v>5596</v>
      </c>
      <c r="AF290" t="s">
        <v>74</v>
      </c>
      <c r="AG290">
        <v>69</v>
      </c>
      <c r="AH290">
        <v>15</v>
      </c>
      <c r="AI290">
        <v>15</v>
      </c>
      <c r="AJ290">
        <v>0</v>
      </c>
      <c r="AK290">
        <v>25</v>
      </c>
      <c r="AL290" t="s">
        <v>502</v>
      </c>
      <c r="AM290" t="s">
        <v>503</v>
      </c>
      <c r="AN290" t="s">
        <v>504</v>
      </c>
      <c r="AO290" t="s">
        <v>1850</v>
      </c>
      <c r="AP290" t="s">
        <v>1851</v>
      </c>
      <c r="AQ290" t="s">
        <v>74</v>
      </c>
      <c r="AR290" t="s">
        <v>1839</v>
      </c>
      <c r="AS290" t="s">
        <v>1852</v>
      </c>
      <c r="AT290" t="s">
        <v>74</v>
      </c>
      <c r="AU290">
        <v>2016</v>
      </c>
      <c r="AV290">
        <v>55</v>
      </c>
      <c r="AW290">
        <v>1</v>
      </c>
      <c r="AX290" t="s">
        <v>74</v>
      </c>
      <c r="AY290" t="s">
        <v>74</v>
      </c>
      <c r="AZ290" t="s">
        <v>74</v>
      </c>
      <c r="BA290" t="s">
        <v>74</v>
      </c>
      <c r="BB290">
        <v>12</v>
      </c>
      <c r="BC290">
        <v>20</v>
      </c>
      <c r="BD290" t="s">
        <v>74</v>
      </c>
      <c r="BE290" t="s">
        <v>5597</v>
      </c>
      <c r="BF290" t="str">
        <f>HYPERLINK("http://dx.doi.org/10.2216/15-87.1","http://dx.doi.org/10.2216/15-87.1")</f>
        <v>http://dx.doi.org/10.2216/15-87.1</v>
      </c>
      <c r="BG290" t="s">
        <v>74</v>
      </c>
      <c r="BH290" t="s">
        <v>74</v>
      </c>
      <c r="BI290">
        <v>9</v>
      </c>
      <c r="BJ290" t="s">
        <v>1854</v>
      </c>
      <c r="BK290" t="s">
        <v>264</v>
      </c>
      <c r="BL290" t="s">
        <v>1854</v>
      </c>
      <c r="BM290" t="s">
        <v>5598</v>
      </c>
      <c r="BN290" t="s">
        <v>74</v>
      </c>
      <c r="BO290" t="s">
        <v>74</v>
      </c>
      <c r="BP290" t="s">
        <v>74</v>
      </c>
      <c r="BQ290" t="s">
        <v>74</v>
      </c>
      <c r="BR290" t="s">
        <v>100</v>
      </c>
      <c r="BS290" t="s">
        <v>5599</v>
      </c>
      <c r="BT290" t="str">
        <f>HYPERLINK("https%3A%2F%2Fwww.webofscience.com%2Fwos%2Fwoscc%2Ffull-record%2FWOS:000372600200002","View Full Record in Web of Science")</f>
        <v>View Full Record in Web of Science</v>
      </c>
    </row>
    <row r="291" spans="1:72" x14ac:dyDescent="0.15">
      <c r="A291" t="s">
        <v>72</v>
      </c>
      <c r="B291" t="s">
        <v>5600</v>
      </c>
      <c r="C291" t="s">
        <v>74</v>
      </c>
      <c r="D291" t="s">
        <v>74</v>
      </c>
      <c r="E291" t="s">
        <v>74</v>
      </c>
      <c r="F291" t="s">
        <v>5601</v>
      </c>
      <c r="G291" t="s">
        <v>74</v>
      </c>
      <c r="H291" t="s">
        <v>74</v>
      </c>
      <c r="I291" t="s">
        <v>5602</v>
      </c>
      <c r="J291" t="s">
        <v>1839</v>
      </c>
      <c r="K291" t="s">
        <v>74</v>
      </c>
      <c r="L291" t="s">
        <v>74</v>
      </c>
      <c r="M291" t="s">
        <v>200</v>
      </c>
      <c r="N291" t="s">
        <v>79</v>
      </c>
      <c r="O291" t="s">
        <v>74</v>
      </c>
      <c r="P291" t="s">
        <v>74</v>
      </c>
      <c r="Q291" t="s">
        <v>74</v>
      </c>
      <c r="R291" t="s">
        <v>74</v>
      </c>
      <c r="S291" t="s">
        <v>74</v>
      </c>
      <c r="T291" t="s">
        <v>5603</v>
      </c>
      <c r="U291" t="s">
        <v>5604</v>
      </c>
      <c r="V291" t="s">
        <v>5605</v>
      </c>
      <c r="W291" t="s">
        <v>5606</v>
      </c>
      <c r="X291" t="s">
        <v>5607</v>
      </c>
      <c r="Y291" t="s">
        <v>5608</v>
      </c>
      <c r="Z291" t="s">
        <v>5609</v>
      </c>
      <c r="AA291" t="s">
        <v>74</v>
      </c>
      <c r="AB291" t="s">
        <v>74</v>
      </c>
      <c r="AC291" t="s">
        <v>5610</v>
      </c>
      <c r="AD291" t="s">
        <v>5611</v>
      </c>
      <c r="AE291" t="s">
        <v>5612</v>
      </c>
      <c r="AF291" t="s">
        <v>74</v>
      </c>
      <c r="AG291">
        <v>33</v>
      </c>
      <c r="AH291">
        <v>1</v>
      </c>
      <c r="AI291">
        <v>2</v>
      </c>
      <c r="AJ291">
        <v>1</v>
      </c>
      <c r="AK291">
        <v>6</v>
      </c>
      <c r="AL291" t="s">
        <v>502</v>
      </c>
      <c r="AM291" t="s">
        <v>503</v>
      </c>
      <c r="AN291" t="s">
        <v>504</v>
      </c>
      <c r="AO291" t="s">
        <v>1850</v>
      </c>
      <c r="AP291" t="s">
        <v>1851</v>
      </c>
      <c r="AQ291" t="s">
        <v>74</v>
      </c>
      <c r="AR291" t="s">
        <v>1839</v>
      </c>
      <c r="AS291" t="s">
        <v>1852</v>
      </c>
      <c r="AT291" t="s">
        <v>74</v>
      </c>
      <c r="AU291">
        <v>2016</v>
      </c>
      <c r="AV291">
        <v>55</v>
      </c>
      <c r="AW291">
        <v>1</v>
      </c>
      <c r="AX291" t="s">
        <v>74</v>
      </c>
      <c r="AY291" t="s">
        <v>74</v>
      </c>
      <c r="AZ291" t="s">
        <v>74</v>
      </c>
      <c r="BA291" t="s">
        <v>74</v>
      </c>
      <c r="BB291">
        <v>21</v>
      </c>
      <c r="BC291">
        <v>32</v>
      </c>
      <c r="BD291" t="s">
        <v>74</v>
      </c>
      <c r="BE291" t="s">
        <v>5613</v>
      </c>
      <c r="BF291" t="str">
        <f>HYPERLINK("http://dx.doi.org/10.2216/15-85.1","http://dx.doi.org/10.2216/15-85.1")</f>
        <v>http://dx.doi.org/10.2216/15-85.1</v>
      </c>
      <c r="BG291" t="s">
        <v>74</v>
      </c>
      <c r="BH291" t="s">
        <v>74</v>
      </c>
      <c r="BI291">
        <v>12</v>
      </c>
      <c r="BJ291" t="s">
        <v>1854</v>
      </c>
      <c r="BK291" t="s">
        <v>264</v>
      </c>
      <c r="BL291" t="s">
        <v>1854</v>
      </c>
      <c r="BM291" t="s">
        <v>5598</v>
      </c>
      <c r="BN291" t="s">
        <v>74</v>
      </c>
      <c r="BO291" t="s">
        <v>74</v>
      </c>
      <c r="BP291" t="s">
        <v>74</v>
      </c>
      <c r="BQ291" t="s">
        <v>74</v>
      </c>
      <c r="BR291" t="s">
        <v>100</v>
      </c>
      <c r="BS291" t="s">
        <v>5614</v>
      </c>
      <c r="BT291" t="str">
        <f>HYPERLINK("https%3A%2F%2Fwww.webofscience.com%2Fwos%2Fwoscc%2Ffull-record%2FWOS:000372600200003","View Full Record in Web of Science")</f>
        <v>View Full Record in Web of Science</v>
      </c>
    </row>
    <row r="292" spans="1:72" x14ac:dyDescent="0.15">
      <c r="A292" t="s">
        <v>72</v>
      </c>
      <c r="B292" t="s">
        <v>5615</v>
      </c>
      <c r="C292" t="s">
        <v>74</v>
      </c>
      <c r="D292" t="s">
        <v>74</v>
      </c>
      <c r="E292" t="s">
        <v>74</v>
      </c>
      <c r="F292" t="s">
        <v>5616</v>
      </c>
      <c r="G292" t="s">
        <v>74</v>
      </c>
      <c r="H292" t="s">
        <v>74</v>
      </c>
      <c r="I292" t="s">
        <v>5617</v>
      </c>
      <c r="J292" t="s">
        <v>1839</v>
      </c>
      <c r="K292" t="s">
        <v>74</v>
      </c>
      <c r="L292" t="s">
        <v>74</v>
      </c>
      <c r="M292" t="s">
        <v>200</v>
      </c>
      <c r="N292" t="s">
        <v>79</v>
      </c>
      <c r="O292" t="s">
        <v>74</v>
      </c>
      <c r="P292" t="s">
        <v>74</v>
      </c>
      <c r="Q292" t="s">
        <v>74</v>
      </c>
      <c r="R292" t="s">
        <v>74</v>
      </c>
      <c r="S292" t="s">
        <v>74</v>
      </c>
      <c r="T292" t="s">
        <v>5618</v>
      </c>
      <c r="U292" t="s">
        <v>5619</v>
      </c>
      <c r="V292" t="s">
        <v>5620</v>
      </c>
      <c r="W292" t="s">
        <v>5621</v>
      </c>
      <c r="X292" t="s">
        <v>5622</v>
      </c>
      <c r="Y292" t="s">
        <v>5623</v>
      </c>
      <c r="Z292" t="s">
        <v>5624</v>
      </c>
      <c r="AA292" t="s">
        <v>5625</v>
      </c>
      <c r="AB292" t="s">
        <v>74</v>
      </c>
      <c r="AC292" t="s">
        <v>5626</v>
      </c>
      <c r="AD292" t="s">
        <v>5627</v>
      </c>
      <c r="AE292" t="s">
        <v>5628</v>
      </c>
      <c r="AF292" t="s">
        <v>74</v>
      </c>
      <c r="AG292">
        <v>40</v>
      </c>
      <c r="AH292">
        <v>3</v>
      </c>
      <c r="AI292">
        <v>4</v>
      </c>
      <c r="AJ292">
        <v>1</v>
      </c>
      <c r="AK292">
        <v>44</v>
      </c>
      <c r="AL292" t="s">
        <v>502</v>
      </c>
      <c r="AM292" t="s">
        <v>503</v>
      </c>
      <c r="AN292" t="s">
        <v>504</v>
      </c>
      <c r="AO292" t="s">
        <v>1850</v>
      </c>
      <c r="AP292" t="s">
        <v>1851</v>
      </c>
      <c r="AQ292" t="s">
        <v>74</v>
      </c>
      <c r="AR292" t="s">
        <v>1839</v>
      </c>
      <c r="AS292" t="s">
        <v>1852</v>
      </c>
      <c r="AT292" t="s">
        <v>74</v>
      </c>
      <c r="AU292">
        <v>2016</v>
      </c>
      <c r="AV292">
        <v>55</v>
      </c>
      <c r="AW292">
        <v>2</v>
      </c>
      <c r="AX292" t="s">
        <v>74</v>
      </c>
      <c r="AY292" t="s">
        <v>74</v>
      </c>
      <c r="AZ292" t="s">
        <v>74</v>
      </c>
      <c r="BA292" t="s">
        <v>74</v>
      </c>
      <c r="BB292">
        <v>126</v>
      </c>
      <c r="BC292">
        <v>133</v>
      </c>
      <c r="BD292" t="s">
        <v>74</v>
      </c>
      <c r="BE292" t="s">
        <v>5629</v>
      </c>
      <c r="BF292" t="str">
        <f>HYPERLINK("http://dx.doi.org/10.2216/15-64.1","http://dx.doi.org/10.2216/15-64.1")</f>
        <v>http://dx.doi.org/10.2216/15-64.1</v>
      </c>
      <c r="BG292" t="s">
        <v>74</v>
      </c>
      <c r="BH292" t="s">
        <v>74</v>
      </c>
      <c r="BI292">
        <v>8</v>
      </c>
      <c r="BJ292" t="s">
        <v>1854</v>
      </c>
      <c r="BK292" t="s">
        <v>264</v>
      </c>
      <c r="BL292" t="s">
        <v>1854</v>
      </c>
      <c r="BM292" t="s">
        <v>5630</v>
      </c>
      <c r="BN292" t="s">
        <v>74</v>
      </c>
      <c r="BO292" t="s">
        <v>74</v>
      </c>
      <c r="BP292" t="s">
        <v>74</v>
      </c>
      <c r="BQ292" t="s">
        <v>74</v>
      </c>
      <c r="BR292" t="s">
        <v>100</v>
      </c>
      <c r="BS292" t="s">
        <v>5631</v>
      </c>
      <c r="BT292" t="str">
        <f>HYPERLINK("https%3A%2F%2Fwww.webofscience.com%2Fwos%2Fwoscc%2Ffull-record%2FWOS:000372601000003","View Full Record in Web of Science")</f>
        <v>View Full Record in Web of Science</v>
      </c>
    </row>
    <row r="293" spans="1:72" x14ac:dyDescent="0.15">
      <c r="A293" t="s">
        <v>72</v>
      </c>
      <c r="B293" t="s">
        <v>5632</v>
      </c>
      <c r="C293" t="s">
        <v>74</v>
      </c>
      <c r="D293" t="s">
        <v>74</v>
      </c>
      <c r="E293" t="s">
        <v>74</v>
      </c>
      <c r="F293" t="s">
        <v>5633</v>
      </c>
      <c r="G293" t="s">
        <v>74</v>
      </c>
      <c r="H293" t="s">
        <v>74</v>
      </c>
      <c r="I293" t="s">
        <v>5634</v>
      </c>
      <c r="J293" t="s">
        <v>5635</v>
      </c>
      <c r="K293" t="s">
        <v>74</v>
      </c>
      <c r="L293" t="s">
        <v>74</v>
      </c>
      <c r="M293" t="s">
        <v>200</v>
      </c>
      <c r="N293" t="s">
        <v>79</v>
      </c>
      <c r="O293" t="s">
        <v>74</v>
      </c>
      <c r="P293" t="s">
        <v>74</v>
      </c>
      <c r="Q293" t="s">
        <v>74</v>
      </c>
      <c r="R293" t="s">
        <v>74</v>
      </c>
      <c r="S293" t="s">
        <v>74</v>
      </c>
      <c r="T293" t="s">
        <v>5636</v>
      </c>
      <c r="U293" t="s">
        <v>5637</v>
      </c>
      <c r="V293" t="s">
        <v>5638</v>
      </c>
      <c r="W293" t="s">
        <v>5639</v>
      </c>
      <c r="X293" t="s">
        <v>5640</v>
      </c>
      <c r="Y293" t="s">
        <v>5641</v>
      </c>
      <c r="Z293" t="s">
        <v>5642</v>
      </c>
      <c r="AA293" t="s">
        <v>5643</v>
      </c>
      <c r="AB293" t="s">
        <v>5644</v>
      </c>
      <c r="AC293" t="s">
        <v>5645</v>
      </c>
      <c r="AD293" t="s">
        <v>5646</v>
      </c>
      <c r="AE293" t="s">
        <v>5647</v>
      </c>
      <c r="AF293" t="s">
        <v>74</v>
      </c>
      <c r="AG293">
        <v>23</v>
      </c>
      <c r="AH293">
        <v>7</v>
      </c>
      <c r="AI293">
        <v>12</v>
      </c>
      <c r="AJ293">
        <v>1</v>
      </c>
      <c r="AK293">
        <v>50</v>
      </c>
      <c r="AL293" t="s">
        <v>5648</v>
      </c>
      <c r="AM293" t="s">
        <v>5649</v>
      </c>
      <c r="AN293" t="s">
        <v>5650</v>
      </c>
      <c r="AO293" t="s">
        <v>5651</v>
      </c>
      <c r="AP293" t="s">
        <v>5652</v>
      </c>
      <c r="AQ293" t="s">
        <v>74</v>
      </c>
      <c r="AR293" t="s">
        <v>5635</v>
      </c>
      <c r="AS293" t="s">
        <v>5653</v>
      </c>
      <c r="AT293" t="s">
        <v>315</v>
      </c>
      <c r="AU293">
        <v>2016</v>
      </c>
      <c r="AV293">
        <v>68</v>
      </c>
      <c r="AW293" t="s">
        <v>5654</v>
      </c>
      <c r="AX293" t="s">
        <v>74</v>
      </c>
      <c r="AY293" t="s">
        <v>74</v>
      </c>
      <c r="AZ293" t="s">
        <v>74</v>
      </c>
      <c r="BA293" t="s">
        <v>74</v>
      </c>
      <c r="BB293">
        <v>20</v>
      </c>
      <c r="BC293">
        <v>28</v>
      </c>
      <c r="BD293" t="s">
        <v>74</v>
      </c>
      <c r="BE293" t="s">
        <v>5655</v>
      </c>
      <c r="BF293" t="str">
        <f>HYPERLINK("http://dx.doi.org/10.1002/star.201500077","http://dx.doi.org/10.1002/star.201500077")</f>
        <v>http://dx.doi.org/10.1002/star.201500077</v>
      </c>
      <c r="BG293" t="s">
        <v>74</v>
      </c>
      <c r="BH293" t="s">
        <v>74</v>
      </c>
      <c r="BI293">
        <v>9</v>
      </c>
      <c r="BJ293" t="s">
        <v>4275</v>
      </c>
      <c r="BK293" t="s">
        <v>264</v>
      </c>
      <c r="BL293" t="s">
        <v>4275</v>
      </c>
      <c r="BM293" t="s">
        <v>5656</v>
      </c>
      <c r="BN293" t="s">
        <v>74</v>
      </c>
      <c r="BO293" t="s">
        <v>74</v>
      </c>
      <c r="BP293" t="s">
        <v>74</v>
      </c>
      <c r="BQ293" t="s">
        <v>74</v>
      </c>
      <c r="BR293" t="s">
        <v>100</v>
      </c>
      <c r="BS293" t="s">
        <v>5657</v>
      </c>
      <c r="BT293" t="str">
        <f>HYPERLINK("https%3A%2F%2Fwww.webofscience.com%2Fwos%2Fwoscc%2Ffull-record%2FWOS:000372348200003","View Full Record in Web of Science")</f>
        <v>View Full Record in Web of Science</v>
      </c>
    </row>
    <row r="294" spans="1:72" x14ac:dyDescent="0.15">
      <c r="A294" t="s">
        <v>72</v>
      </c>
      <c r="B294" t="s">
        <v>5658</v>
      </c>
      <c r="C294" t="s">
        <v>74</v>
      </c>
      <c r="D294" t="s">
        <v>74</v>
      </c>
      <c r="E294" t="s">
        <v>74</v>
      </c>
      <c r="F294" t="s">
        <v>5659</v>
      </c>
      <c r="G294" t="s">
        <v>74</v>
      </c>
      <c r="H294" t="s">
        <v>74</v>
      </c>
      <c r="I294" t="s">
        <v>5660</v>
      </c>
      <c r="J294" t="s">
        <v>5661</v>
      </c>
      <c r="K294" t="s">
        <v>74</v>
      </c>
      <c r="L294" t="s">
        <v>74</v>
      </c>
      <c r="M294" t="s">
        <v>200</v>
      </c>
      <c r="N294" t="s">
        <v>5662</v>
      </c>
      <c r="O294" t="s">
        <v>74</v>
      </c>
      <c r="P294" t="s">
        <v>74</v>
      </c>
      <c r="Q294" t="s">
        <v>74</v>
      </c>
      <c r="R294" t="s">
        <v>74</v>
      </c>
      <c r="S294" t="s">
        <v>74</v>
      </c>
      <c r="T294" t="s">
        <v>74</v>
      </c>
      <c r="U294" t="s">
        <v>74</v>
      </c>
      <c r="V294" t="s">
        <v>74</v>
      </c>
      <c r="W294" t="s">
        <v>74</v>
      </c>
      <c r="X294" t="s">
        <v>74</v>
      </c>
      <c r="Y294" t="s">
        <v>74</v>
      </c>
      <c r="Z294" t="s">
        <v>74</v>
      </c>
      <c r="AA294" t="s">
        <v>74</v>
      </c>
      <c r="AB294" t="s">
        <v>74</v>
      </c>
      <c r="AC294" t="s">
        <v>74</v>
      </c>
      <c r="AD294" t="s">
        <v>74</v>
      </c>
      <c r="AE294" t="s">
        <v>74</v>
      </c>
      <c r="AF294" t="s">
        <v>74</v>
      </c>
      <c r="AG294">
        <v>0</v>
      </c>
      <c r="AH294">
        <v>0</v>
      </c>
      <c r="AI294">
        <v>0</v>
      </c>
      <c r="AJ294">
        <v>0</v>
      </c>
      <c r="AK294">
        <v>2</v>
      </c>
      <c r="AL294" t="s">
        <v>5663</v>
      </c>
      <c r="AM294" t="s">
        <v>5664</v>
      </c>
      <c r="AN294" t="s">
        <v>5665</v>
      </c>
      <c r="AO294" t="s">
        <v>5666</v>
      </c>
      <c r="AP294" t="s">
        <v>5667</v>
      </c>
      <c r="AQ294" t="s">
        <v>74</v>
      </c>
      <c r="AR294" t="s">
        <v>5668</v>
      </c>
      <c r="AS294" t="s">
        <v>5669</v>
      </c>
      <c r="AT294" t="s">
        <v>74</v>
      </c>
      <c r="AU294">
        <v>2016</v>
      </c>
      <c r="AV294">
        <v>80</v>
      </c>
      <c r="AW294">
        <v>3</v>
      </c>
      <c r="AX294" t="s">
        <v>74</v>
      </c>
      <c r="AY294" t="s">
        <v>74</v>
      </c>
      <c r="AZ294" t="s">
        <v>74</v>
      </c>
      <c r="BA294" t="s">
        <v>74</v>
      </c>
      <c r="BB294">
        <v>7</v>
      </c>
      <c r="BC294">
        <v>7</v>
      </c>
      <c r="BD294" t="s">
        <v>74</v>
      </c>
      <c r="BE294" t="s">
        <v>74</v>
      </c>
      <c r="BF294" t="s">
        <v>74</v>
      </c>
      <c r="BG294" t="s">
        <v>74</v>
      </c>
      <c r="BH294" t="s">
        <v>74</v>
      </c>
      <c r="BI294">
        <v>1</v>
      </c>
      <c r="BJ294" t="s">
        <v>5670</v>
      </c>
      <c r="BK294" t="s">
        <v>264</v>
      </c>
      <c r="BL294" t="s">
        <v>5671</v>
      </c>
      <c r="BM294" t="s">
        <v>5672</v>
      </c>
      <c r="BN294" t="s">
        <v>74</v>
      </c>
      <c r="BO294" t="s">
        <v>74</v>
      </c>
      <c r="BP294" t="s">
        <v>74</v>
      </c>
      <c r="BQ294" t="s">
        <v>74</v>
      </c>
      <c r="BR294" t="s">
        <v>100</v>
      </c>
      <c r="BS294" t="s">
        <v>5673</v>
      </c>
      <c r="BT294" t="str">
        <f>HYPERLINK("https%3A%2F%2Fwww.webofscience.com%2Fwos%2Fwoscc%2Ffull-record%2FWOS:000372308000005","View Full Record in Web of Science")</f>
        <v>View Full Record in Web of Science</v>
      </c>
    </row>
    <row r="295" spans="1:72" x14ac:dyDescent="0.15">
      <c r="A295" t="s">
        <v>72</v>
      </c>
      <c r="B295" t="s">
        <v>5674</v>
      </c>
      <c r="C295" t="s">
        <v>74</v>
      </c>
      <c r="D295" t="s">
        <v>74</v>
      </c>
      <c r="E295" t="s">
        <v>74</v>
      </c>
      <c r="F295" t="s">
        <v>5675</v>
      </c>
      <c r="G295" t="s">
        <v>74</v>
      </c>
      <c r="H295" t="s">
        <v>74</v>
      </c>
      <c r="I295" t="s">
        <v>5676</v>
      </c>
      <c r="J295" t="s">
        <v>5003</v>
      </c>
      <c r="K295" t="s">
        <v>74</v>
      </c>
      <c r="L295" t="s">
        <v>74</v>
      </c>
      <c r="M295" t="s">
        <v>200</v>
      </c>
      <c r="N295" t="s">
        <v>79</v>
      </c>
      <c r="O295" t="s">
        <v>74</v>
      </c>
      <c r="P295" t="s">
        <v>74</v>
      </c>
      <c r="Q295" t="s">
        <v>74</v>
      </c>
      <c r="R295" t="s">
        <v>74</v>
      </c>
      <c r="S295" t="s">
        <v>74</v>
      </c>
      <c r="T295" t="s">
        <v>74</v>
      </c>
      <c r="U295" t="s">
        <v>5677</v>
      </c>
      <c r="V295" t="s">
        <v>5678</v>
      </c>
      <c r="W295" t="s">
        <v>5679</v>
      </c>
      <c r="X295" t="s">
        <v>5680</v>
      </c>
      <c r="Y295" t="s">
        <v>5681</v>
      </c>
      <c r="Z295" t="s">
        <v>5682</v>
      </c>
      <c r="AA295" t="s">
        <v>5683</v>
      </c>
      <c r="AB295" t="s">
        <v>5684</v>
      </c>
      <c r="AC295" t="s">
        <v>5685</v>
      </c>
      <c r="AD295" t="s">
        <v>5686</v>
      </c>
      <c r="AE295" t="s">
        <v>5687</v>
      </c>
      <c r="AF295" t="s">
        <v>74</v>
      </c>
      <c r="AG295">
        <v>77</v>
      </c>
      <c r="AH295">
        <v>14</v>
      </c>
      <c r="AI295">
        <v>14</v>
      </c>
      <c r="AJ295">
        <v>0</v>
      </c>
      <c r="AK295">
        <v>31</v>
      </c>
      <c r="AL295" t="s">
        <v>358</v>
      </c>
      <c r="AM295" t="s">
        <v>359</v>
      </c>
      <c r="AN295" t="s">
        <v>3238</v>
      </c>
      <c r="AO295" t="s">
        <v>5015</v>
      </c>
      <c r="AP295" t="s">
        <v>5016</v>
      </c>
      <c r="AQ295" t="s">
        <v>74</v>
      </c>
      <c r="AR295" t="s">
        <v>5017</v>
      </c>
      <c r="AS295" t="s">
        <v>5018</v>
      </c>
      <c r="AT295" t="s">
        <v>74</v>
      </c>
      <c r="AU295">
        <v>2016</v>
      </c>
      <c r="AV295">
        <v>12</v>
      </c>
      <c r="AW295">
        <v>2</v>
      </c>
      <c r="AX295" t="s">
        <v>74</v>
      </c>
      <c r="AY295" t="s">
        <v>74</v>
      </c>
      <c r="AZ295" t="s">
        <v>74</v>
      </c>
      <c r="BA295" t="s">
        <v>74</v>
      </c>
      <c r="BB295">
        <v>255</v>
      </c>
      <c r="BC295">
        <v>272</v>
      </c>
      <c r="BD295" t="s">
        <v>74</v>
      </c>
      <c r="BE295" t="s">
        <v>5688</v>
      </c>
      <c r="BF295" t="str">
        <f>HYPERLINK("http://dx.doi.org/10.5194/cp-12-255-2016","http://dx.doi.org/10.5194/cp-12-255-2016")</f>
        <v>http://dx.doi.org/10.5194/cp-12-255-2016</v>
      </c>
      <c r="BG295" t="s">
        <v>74</v>
      </c>
      <c r="BH295" t="s">
        <v>74</v>
      </c>
      <c r="BI295">
        <v>18</v>
      </c>
      <c r="BJ295" t="s">
        <v>4328</v>
      </c>
      <c r="BK295" t="s">
        <v>264</v>
      </c>
      <c r="BL295" t="s">
        <v>4329</v>
      </c>
      <c r="BM295" t="s">
        <v>5689</v>
      </c>
      <c r="BN295" t="s">
        <v>74</v>
      </c>
      <c r="BO295" t="s">
        <v>2134</v>
      </c>
      <c r="BP295" t="s">
        <v>74</v>
      </c>
      <c r="BQ295" t="s">
        <v>74</v>
      </c>
      <c r="BR295" t="s">
        <v>100</v>
      </c>
      <c r="BS295" t="s">
        <v>5690</v>
      </c>
      <c r="BT295" t="str">
        <f>HYPERLINK("https%3A%2F%2Fwww.webofscience.com%2Fwos%2Fwoscc%2Ffull-record%2FWOS:000371625400006","View Full Record in Web of Science")</f>
        <v>View Full Record in Web of Science</v>
      </c>
    </row>
    <row r="296" spans="1:72" x14ac:dyDescent="0.15">
      <c r="A296" t="s">
        <v>72</v>
      </c>
      <c r="B296" t="s">
        <v>5691</v>
      </c>
      <c r="C296" t="s">
        <v>74</v>
      </c>
      <c r="D296" t="s">
        <v>74</v>
      </c>
      <c r="E296" t="s">
        <v>74</v>
      </c>
      <c r="F296" t="s">
        <v>5692</v>
      </c>
      <c r="G296" t="s">
        <v>74</v>
      </c>
      <c r="H296" t="s">
        <v>74</v>
      </c>
      <c r="I296" t="s">
        <v>5693</v>
      </c>
      <c r="J296" t="s">
        <v>5003</v>
      </c>
      <c r="K296" t="s">
        <v>74</v>
      </c>
      <c r="L296" t="s">
        <v>74</v>
      </c>
      <c r="M296" t="s">
        <v>200</v>
      </c>
      <c r="N296" t="s">
        <v>79</v>
      </c>
      <c r="O296" t="s">
        <v>74</v>
      </c>
      <c r="P296" t="s">
        <v>74</v>
      </c>
      <c r="Q296" t="s">
        <v>74</v>
      </c>
      <c r="R296" t="s">
        <v>74</v>
      </c>
      <c r="S296" t="s">
        <v>74</v>
      </c>
      <c r="T296" t="s">
        <v>74</v>
      </c>
      <c r="U296" t="s">
        <v>5694</v>
      </c>
      <c r="V296" t="s">
        <v>5695</v>
      </c>
      <c r="W296" t="s">
        <v>5696</v>
      </c>
      <c r="X296" t="s">
        <v>5697</v>
      </c>
      <c r="Y296" t="s">
        <v>5698</v>
      </c>
      <c r="Z296" t="s">
        <v>5699</v>
      </c>
      <c r="AA296" t="s">
        <v>74</v>
      </c>
      <c r="AB296" t="s">
        <v>74</v>
      </c>
      <c r="AC296" t="s">
        <v>5700</v>
      </c>
      <c r="AD296" t="s">
        <v>5701</v>
      </c>
      <c r="AE296" t="s">
        <v>5702</v>
      </c>
      <c r="AF296" t="s">
        <v>74</v>
      </c>
      <c r="AG296">
        <v>49</v>
      </c>
      <c r="AH296">
        <v>16</v>
      </c>
      <c r="AI296">
        <v>16</v>
      </c>
      <c r="AJ296">
        <v>0</v>
      </c>
      <c r="AK296">
        <v>7</v>
      </c>
      <c r="AL296" t="s">
        <v>358</v>
      </c>
      <c r="AM296" t="s">
        <v>359</v>
      </c>
      <c r="AN296" t="s">
        <v>3238</v>
      </c>
      <c r="AO296" t="s">
        <v>5015</v>
      </c>
      <c r="AP296" t="s">
        <v>5016</v>
      </c>
      <c r="AQ296" t="s">
        <v>74</v>
      </c>
      <c r="AR296" t="s">
        <v>5017</v>
      </c>
      <c r="AS296" t="s">
        <v>5018</v>
      </c>
      <c r="AT296" t="s">
        <v>74</v>
      </c>
      <c r="AU296">
        <v>2016</v>
      </c>
      <c r="AV296">
        <v>12</v>
      </c>
      <c r="AW296">
        <v>2</v>
      </c>
      <c r="AX296" t="s">
        <v>74</v>
      </c>
      <c r="AY296" t="s">
        <v>74</v>
      </c>
      <c r="AZ296" t="s">
        <v>74</v>
      </c>
      <c r="BA296" t="s">
        <v>74</v>
      </c>
      <c r="BB296">
        <v>553</v>
      </c>
      <c r="BC296">
        <v>573</v>
      </c>
      <c r="BD296" t="s">
        <v>74</v>
      </c>
      <c r="BE296" t="s">
        <v>5703</v>
      </c>
      <c r="BF296" t="str">
        <f>HYPERLINK("http://dx.doi.org/10.5194/cp-12-553-2016","http://dx.doi.org/10.5194/cp-12-553-2016")</f>
        <v>http://dx.doi.org/10.5194/cp-12-553-2016</v>
      </c>
      <c r="BG296" t="s">
        <v>74</v>
      </c>
      <c r="BH296" t="s">
        <v>74</v>
      </c>
      <c r="BI296">
        <v>21</v>
      </c>
      <c r="BJ296" t="s">
        <v>4328</v>
      </c>
      <c r="BK296" t="s">
        <v>264</v>
      </c>
      <c r="BL296" t="s">
        <v>4329</v>
      </c>
      <c r="BM296" t="s">
        <v>5689</v>
      </c>
      <c r="BN296" t="s">
        <v>74</v>
      </c>
      <c r="BO296" t="s">
        <v>369</v>
      </c>
      <c r="BP296" t="s">
        <v>74</v>
      </c>
      <c r="BQ296" t="s">
        <v>74</v>
      </c>
      <c r="BR296" t="s">
        <v>100</v>
      </c>
      <c r="BS296" t="s">
        <v>5704</v>
      </c>
      <c r="BT296" t="str">
        <f>HYPERLINK("https%3A%2F%2Fwww.webofscience.com%2Fwos%2Fwoscc%2Ffull-record%2FWOS:000371625400020","View Full Record in Web of Science")</f>
        <v>View Full Record in Web of Science</v>
      </c>
    </row>
    <row r="297" spans="1:72" x14ac:dyDescent="0.15">
      <c r="A297" t="s">
        <v>72</v>
      </c>
      <c r="B297" t="s">
        <v>5705</v>
      </c>
      <c r="C297" t="s">
        <v>74</v>
      </c>
      <c r="D297" t="s">
        <v>74</v>
      </c>
      <c r="E297" t="s">
        <v>74</v>
      </c>
      <c r="F297" t="s">
        <v>5706</v>
      </c>
      <c r="G297" t="s">
        <v>74</v>
      </c>
      <c r="H297" t="s">
        <v>74</v>
      </c>
      <c r="I297" t="s">
        <v>5707</v>
      </c>
      <c r="J297" t="s">
        <v>5708</v>
      </c>
      <c r="K297" t="s">
        <v>74</v>
      </c>
      <c r="L297" t="s">
        <v>74</v>
      </c>
      <c r="M297" t="s">
        <v>200</v>
      </c>
      <c r="N297" t="s">
        <v>79</v>
      </c>
      <c r="O297" t="s">
        <v>74</v>
      </c>
      <c r="P297" t="s">
        <v>74</v>
      </c>
      <c r="Q297" t="s">
        <v>74</v>
      </c>
      <c r="R297" t="s">
        <v>74</v>
      </c>
      <c r="S297" t="s">
        <v>74</v>
      </c>
      <c r="T297" t="s">
        <v>74</v>
      </c>
      <c r="U297" t="s">
        <v>5709</v>
      </c>
      <c r="V297" t="s">
        <v>5710</v>
      </c>
      <c r="W297" t="s">
        <v>5711</v>
      </c>
      <c r="X297" t="s">
        <v>3556</v>
      </c>
      <c r="Y297" t="s">
        <v>5712</v>
      </c>
      <c r="Z297" t="s">
        <v>5713</v>
      </c>
      <c r="AA297" t="s">
        <v>5714</v>
      </c>
      <c r="AB297" t="s">
        <v>5715</v>
      </c>
      <c r="AC297" t="s">
        <v>5716</v>
      </c>
      <c r="AD297" t="s">
        <v>5717</v>
      </c>
      <c r="AE297" t="s">
        <v>5718</v>
      </c>
      <c r="AF297" t="s">
        <v>74</v>
      </c>
      <c r="AG297">
        <v>36</v>
      </c>
      <c r="AH297">
        <v>17</v>
      </c>
      <c r="AI297">
        <v>20</v>
      </c>
      <c r="AJ297">
        <v>0</v>
      </c>
      <c r="AK297">
        <v>9</v>
      </c>
      <c r="AL297" t="s">
        <v>5719</v>
      </c>
      <c r="AM297" t="s">
        <v>2100</v>
      </c>
      <c r="AN297" t="s">
        <v>5720</v>
      </c>
      <c r="AO297" t="s">
        <v>5721</v>
      </c>
      <c r="AP297" t="s">
        <v>5722</v>
      </c>
      <c r="AQ297" t="s">
        <v>74</v>
      </c>
      <c r="AR297" t="s">
        <v>5723</v>
      </c>
      <c r="AS297" t="s">
        <v>5724</v>
      </c>
      <c r="AT297" t="s">
        <v>315</v>
      </c>
      <c r="AU297">
        <v>2016</v>
      </c>
      <c r="AV297">
        <v>66</v>
      </c>
      <c r="AW297" t="s">
        <v>74</v>
      </c>
      <c r="AX297">
        <v>1</v>
      </c>
      <c r="AY297" t="s">
        <v>74</v>
      </c>
      <c r="AZ297" t="s">
        <v>74</v>
      </c>
      <c r="BA297" t="s">
        <v>74</v>
      </c>
      <c r="BB297">
        <v>172</v>
      </c>
      <c r="BC297">
        <v>177</v>
      </c>
      <c r="BD297" t="s">
        <v>74</v>
      </c>
      <c r="BE297" t="s">
        <v>5725</v>
      </c>
      <c r="BF297" t="str">
        <f>HYPERLINK("http://dx.doi.org/10.1099/ijsem.0.000688","http://dx.doi.org/10.1099/ijsem.0.000688")</f>
        <v>http://dx.doi.org/10.1099/ijsem.0.000688</v>
      </c>
      <c r="BG297" t="s">
        <v>74</v>
      </c>
      <c r="BH297" t="s">
        <v>74</v>
      </c>
      <c r="BI297">
        <v>6</v>
      </c>
      <c r="BJ297" t="s">
        <v>5726</v>
      </c>
      <c r="BK297" t="s">
        <v>264</v>
      </c>
      <c r="BL297" t="s">
        <v>5726</v>
      </c>
      <c r="BM297" t="s">
        <v>5727</v>
      </c>
      <c r="BN297">
        <v>26475320</v>
      </c>
      <c r="BO297" t="s">
        <v>486</v>
      </c>
      <c r="BP297" t="s">
        <v>74</v>
      </c>
      <c r="BQ297" t="s">
        <v>74</v>
      </c>
      <c r="BR297" t="s">
        <v>100</v>
      </c>
      <c r="BS297" t="s">
        <v>5728</v>
      </c>
      <c r="BT297" t="str">
        <f>HYPERLINK("https%3A%2F%2Fwww.webofscience.com%2Fwos%2Fwoscc%2Ffull-record%2FWOS:000371452900022","View Full Record in Web of Science")</f>
        <v>View Full Record in Web of Science</v>
      </c>
    </row>
    <row r="298" spans="1:72" x14ac:dyDescent="0.15">
      <c r="A298" t="s">
        <v>72</v>
      </c>
      <c r="B298" t="s">
        <v>5729</v>
      </c>
      <c r="C298" t="s">
        <v>74</v>
      </c>
      <c r="D298" t="s">
        <v>74</v>
      </c>
      <c r="E298" t="s">
        <v>74</v>
      </c>
      <c r="F298" t="s">
        <v>5730</v>
      </c>
      <c r="G298" t="s">
        <v>74</v>
      </c>
      <c r="H298" t="s">
        <v>74</v>
      </c>
      <c r="I298" t="s">
        <v>5731</v>
      </c>
      <c r="J298" t="s">
        <v>5732</v>
      </c>
      <c r="K298" t="s">
        <v>74</v>
      </c>
      <c r="L298" t="s">
        <v>74</v>
      </c>
      <c r="M298" t="s">
        <v>200</v>
      </c>
      <c r="N298" t="s">
        <v>79</v>
      </c>
      <c r="O298" t="s">
        <v>74</v>
      </c>
      <c r="P298" t="s">
        <v>74</v>
      </c>
      <c r="Q298" t="s">
        <v>74</v>
      </c>
      <c r="R298" t="s">
        <v>74</v>
      </c>
      <c r="S298" t="s">
        <v>74</v>
      </c>
      <c r="T298" t="s">
        <v>5733</v>
      </c>
      <c r="U298" t="s">
        <v>5734</v>
      </c>
      <c r="V298" t="s">
        <v>5735</v>
      </c>
      <c r="W298" t="s">
        <v>5736</v>
      </c>
      <c r="X298" t="s">
        <v>5737</v>
      </c>
      <c r="Y298" t="s">
        <v>5738</v>
      </c>
      <c r="Z298" t="s">
        <v>5739</v>
      </c>
      <c r="AA298" t="s">
        <v>5740</v>
      </c>
      <c r="AB298" t="s">
        <v>5741</v>
      </c>
      <c r="AC298" t="s">
        <v>74</v>
      </c>
      <c r="AD298" t="s">
        <v>74</v>
      </c>
      <c r="AE298" t="s">
        <v>74</v>
      </c>
      <c r="AF298" t="s">
        <v>74</v>
      </c>
      <c r="AG298">
        <v>48</v>
      </c>
      <c r="AH298">
        <v>7</v>
      </c>
      <c r="AI298">
        <v>7</v>
      </c>
      <c r="AJ298">
        <v>1</v>
      </c>
      <c r="AK298">
        <v>25</v>
      </c>
      <c r="AL298" t="s">
        <v>5742</v>
      </c>
      <c r="AM298" t="s">
        <v>758</v>
      </c>
      <c r="AN298" t="s">
        <v>5743</v>
      </c>
      <c r="AO298" t="s">
        <v>5744</v>
      </c>
      <c r="AP298" t="s">
        <v>5745</v>
      </c>
      <c r="AQ298" t="s">
        <v>74</v>
      </c>
      <c r="AR298" t="s">
        <v>5732</v>
      </c>
      <c r="AS298" t="s">
        <v>5746</v>
      </c>
      <c r="AT298" t="s">
        <v>315</v>
      </c>
      <c r="AU298">
        <v>2016</v>
      </c>
      <c r="AV298">
        <v>47</v>
      </c>
      <c r="AW298">
        <v>1</v>
      </c>
      <c r="AX298" t="s">
        <v>74</v>
      </c>
      <c r="AY298" t="s">
        <v>74</v>
      </c>
      <c r="AZ298" t="s">
        <v>74</v>
      </c>
      <c r="BA298" t="s">
        <v>74</v>
      </c>
      <c r="BB298">
        <v>101</v>
      </c>
      <c r="BC298">
        <v>113</v>
      </c>
      <c r="BD298" t="s">
        <v>74</v>
      </c>
      <c r="BE298" t="s">
        <v>5747</v>
      </c>
      <c r="BF298" t="str">
        <f>HYPERLINK("http://dx.doi.org/10.1007/s13592-015-0379-5","http://dx.doi.org/10.1007/s13592-015-0379-5")</f>
        <v>http://dx.doi.org/10.1007/s13592-015-0379-5</v>
      </c>
      <c r="BG298" t="s">
        <v>74</v>
      </c>
      <c r="BH298" t="s">
        <v>74</v>
      </c>
      <c r="BI298">
        <v>13</v>
      </c>
      <c r="BJ298" t="s">
        <v>3955</v>
      </c>
      <c r="BK298" t="s">
        <v>264</v>
      </c>
      <c r="BL298" t="s">
        <v>3955</v>
      </c>
      <c r="BM298" t="s">
        <v>5748</v>
      </c>
      <c r="BN298" t="s">
        <v>74</v>
      </c>
      <c r="BO298" t="s">
        <v>2987</v>
      </c>
      <c r="BP298" t="s">
        <v>74</v>
      </c>
      <c r="BQ298" t="s">
        <v>74</v>
      </c>
      <c r="BR298" t="s">
        <v>100</v>
      </c>
      <c r="BS298" t="s">
        <v>5749</v>
      </c>
      <c r="BT298" t="str">
        <f>HYPERLINK("https%3A%2F%2Fwww.webofscience.com%2Fwos%2Fwoscc%2Ffull-record%2FWOS:000371162900010","View Full Record in Web of Science")</f>
        <v>View Full Record in Web of Science</v>
      </c>
    </row>
    <row r="299" spans="1:72" x14ac:dyDescent="0.15">
      <c r="A299" t="s">
        <v>72</v>
      </c>
      <c r="B299" t="s">
        <v>5750</v>
      </c>
      <c r="C299" t="s">
        <v>74</v>
      </c>
      <c r="D299" t="s">
        <v>74</v>
      </c>
      <c r="E299" t="s">
        <v>74</v>
      </c>
      <c r="F299" t="s">
        <v>5751</v>
      </c>
      <c r="G299" t="s">
        <v>74</v>
      </c>
      <c r="H299" t="s">
        <v>74</v>
      </c>
      <c r="I299" t="s">
        <v>5752</v>
      </c>
      <c r="J299" t="s">
        <v>3226</v>
      </c>
      <c r="K299" t="s">
        <v>74</v>
      </c>
      <c r="L299" t="s">
        <v>74</v>
      </c>
      <c r="M299" t="s">
        <v>200</v>
      </c>
      <c r="N299" t="s">
        <v>79</v>
      </c>
      <c r="O299" t="s">
        <v>74</v>
      </c>
      <c r="P299" t="s">
        <v>74</v>
      </c>
      <c r="Q299" t="s">
        <v>74</v>
      </c>
      <c r="R299" t="s">
        <v>74</v>
      </c>
      <c r="S299" t="s">
        <v>74</v>
      </c>
      <c r="T299" t="s">
        <v>74</v>
      </c>
      <c r="U299" t="s">
        <v>5753</v>
      </c>
      <c r="V299" t="s">
        <v>5754</v>
      </c>
      <c r="W299" t="s">
        <v>5755</v>
      </c>
      <c r="X299" t="s">
        <v>5756</v>
      </c>
      <c r="Y299" t="s">
        <v>5757</v>
      </c>
      <c r="Z299" t="s">
        <v>5758</v>
      </c>
      <c r="AA299" t="s">
        <v>5759</v>
      </c>
      <c r="AB299" t="s">
        <v>5760</v>
      </c>
      <c r="AC299" t="s">
        <v>5761</v>
      </c>
      <c r="AD299" t="s">
        <v>5762</v>
      </c>
      <c r="AE299" t="s">
        <v>5763</v>
      </c>
      <c r="AF299" t="s">
        <v>74</v>
      </c>
      <c r="AG299">
        <v>39</v>
      </c>
      <c r="AH299">
        <v>49</v>
      </c>
      <c r="AI299">
        <v>50</v>
      </c>
      <c r="AJ299">
        <v>0</v>
      </c>
      <c r="AK299">
        <v>17</v>
      </c>
      <c r="AL299" t="s">
        <v>358</v>
      </c>
      <c r="AM299" t="s">
        <v>359</v>
      </c>
      <c r="AN299" t="s">
        <v>3238</v>
      </c>
      <c r="AO299" t="s">
        <v>3239</v>
      </c>
      <c r="AP299" t="s">
        <v>3240</v>
      </c>
      <c r="AQ299" t="s">
        <v>74</v>
      </c>
      <c r="AR299" t="s">
        <v>3241</v>
      </c>
      <c r="AS299" t="s">
        <v>3242</v>
      </c>
      <c r="AT299" t="s">
        <v>74</v>
      </c>
      <c r="AU299">
        <v>2016</v>
      </c>
      <c r="AV299">
        <v>16</v>
      </c>
      <c r="AW299">
        <v>1</v>
      </c>
      <c r="AX299" t="s">
        <v>74</v>
      </c>
      <c r="AY299" t="s">
        <v>74</v>
      </c>
      <c r="AZ299" t="s">
        <v>74</v>
      </c>
      <c r="BA299" t="s">
        <v>74</v>
      </c>
      <c r="BB299">
        <v>35</v>
      </c>
      <c r="BC299">
        <v>46</v>
      </c>
      <c r="BD299" t="s">
        <v>74</v>
      </c>
      <c r="BE299" t="s">
        <v>5764</v>
      </c>
      <c r="BF299" t="str">
        <f>HYPERLINK("http://dx.doi.org/10.5194/acp-16-35-2016","http://dx.doi.org/10.5194/acp-16-35-2016")</f>
        <v>http://dx.doi.org/10.5194/acp-16-35-2016</v>
      </c>
      <c r="BG299" t="s">
        <v>74</v>
      </c>
      <c r="BH299" t="s">
        <v>74</v>
      </c>
      <c r="BI299">
        <v>12</v>
      </c>
      <c r="BJ299" t="s">
        <v>3244</v>
      </c>
      <c r="BK299" t="s">
        <v>264</v>
      </c>
      <c r="BL299" t="s">
        <v>3245</v>
      </c>
      <c r="BM299" t="s">
        <v>5765</v>
      </c>
      <c r="BN299" t="s">
        <v>74</v>
      </c>
      <c r="BO299" t="s">
        <v>2134</v>
      </c>
      <c r="BP299" t="s">
        <v>74</v>
      </c>
      <c r="BQ299" t="s">
        <v>74</v>
      </c>
      <c r="BR299" t="s">
        <v>100</v>
      </c>
      <c r="BS299" t="s">
        <v>5766</v>
      </c>
      <c r="BT299" t="str">
        <f>HYPERLINK("https%3A%2F%2Fwww.webofscience.com%2Fwos%2Fwoscc%2Ffull-record%2FWOS:000371283900003","View Full Record in Web of Science")</f>
        <v>View Full Record in Web of Science</v>
      </c>
    </row>
    <row r="300" spans="1:72" x14ac:dyDescent="0.15">
      <c r="A300" t="s">
        <v>72</v>
      </c>
      <c r="B300" t="s">
        <v>5767</v>
      </c>
      <c r="C300" t="s">
        <v>74</v>
      </c>
      <c r="D300" t="s">
        <v>74</v>
      </c>
      <c r="E300" t="s">
        <v>74</v>
      </c>
      <c r="F300" t="s">
        <v>5768</v>
      </c>
      <c r="G300" t="s">
        <v>74</v>
      </c>
      <c r="H300" t="s">
        <v>74</v>
      </c>
      <c r="I300" t="s">
        <v>5769</v>
      </c>
      <c r="J300" t="s">
        <v>3226</v>
      </c>
      <c r="K300" t="s">
        <v>74</v>
      </c>
      <c r="L300" t="s">
        <v>74</v>
      </c>
      <c r="M300" t="s">
        <v>200</v>
      </c>
      <c r="N300" t="s">
        <v>79</v>
      </c>
      <c r="O300" t="s">
        <v>74</v>
      </c>
      <c r="P300" t="s">
        <v>74</v>
      </c>
      <c r="Q300" t="s">
        <v>74</v>
      </c>
      <c r="R300" t="s">
        <v>74</v>
      </c>
      <c r="S300" t="s">
        <v>74</v>
      </c>
      <c r="T300" t="s">
        <v>74</v>
      </c>
      <c r="U300" t="s">
        <v>5770</v>
      </c>
      <c r="V300" t="s">
        <v>5771</v>
      </c>
      <c r="W300" t="s">
        <v>5772</v>
      </c>
      <c r="X300" t="s">
        <v>5773</v>
      </c>
      <c r="Y300" t="s">
        <v>5774</v>
      </c>
      <c r="Z300" t="s">
        <v>5775</v>
      </c>
      <c r="AA300" t="s">
        <v>5776</v>
      </c>
      <c r="AB300" t="s">
        <v>5777</v>
      </c>
      <c r="AC300" t="s">
        <v>5778</v>
      </c>
      <c r="AD300" t="s">
        <v>5779</v>
      </c>
      <c r="AE300" t="s">
        <v>5780</v>
      </c>
      <c r="AF300" t="s">
        <v>74</v>
      </c>
      <c r="AG300">
        <v>53</v>
      </c>
      <c r="AH300">
        <v>90</v>
      </c>
      <c r="AI300">
        <v>104</v>
      </c>
      <c r="AJ300">
        <v>0</v>
      </c>
      <c r="AK300">
        <v>44</v>
      </c>
      <c r="AL300" t="s">
        <v>358</v>
      </c>
      <c r="AM300" t="s">
        <v>359</v>
      </c>
      <c r="AN300" t="s">
        <v>3238</v>
      </c>
      <c r="AO300" t="s">
        <v>3239</v>
      </c>
      <c r="AP300" t="s">
        <v>3240</v>
      </c>
      <c r="AQ300" t="s">
        <v>74</v>
      </c>
      <c r="AR300" t="s">
        <v>3241</v>
      </c>
      <c r="AS300" t="s">
        <v>3242</v>
      </c>
      <c r="AT300" t="s">
        <v>74</v>
      </c>
      <c r="AU300">
        <v>2016</v>
      </c>
      <c r="AV300">
        <v>16</v>
      </c>
      <c r="AW300">
        <v>3</v>
      </c>
      <c r="AX300" t="s">
        <v>74</v>
      </c>
      <c r="AY300" t="s">
        <v>74</v>
      </c>
      <c r="AZ300" t="s">
        <v>74</v>
      </c>
      <c r="BA300" t="s">
        <v>74</v>
      </c>
      <c r="BB300">
        <v>1271</v>
      </c>
      <c r="BC300">
        <v>1287</v>
      </c>
      <c r="BD300" t="s">
        <v>74</v>
      </c>
      <c r="BE300" t="s">
        <v>5781</v>
      </c>
      <c r="BF300" t="str">
        <f>HYPERLINK("http://dx.doi.org/10.5194/acp-16-1271-2016","http://dx.doi.org/10.5194/acp-16-1271-2016")</f>
        <v>http://dx.doi.org/10.5194/acp-16-1271-2016</v>
      </c>
      <c r="BG300" t="s">
        <v>74</v>
      </c>
      <c r="BH300" t="s">
        <v>74</v>
      </c>
      <c r="BI300">
        <v>17</v>
      </c>
      <c r="BJ300" t="s">
        <v>3244</v>
      </c>
      <c r="BK300" t="s">
        <v>264</v>
      </c>
      <c r="BL300" t="s">
        <v>3245</v>
      </c>
      <c r="BM300" t="s">
        <v>5782</v>
      </c>
      <c r="BN300" t="s">
        <v>74</v>
      </c>
      <c r="BO300" t="s">
        <v>369</v>
      </c>
      <c r="BP300" t="s">
        <v>74</v>
      </c>
      <c r="BQ300" t="s">
        <v>74</v>
      </c>
      <c r="BR300" t="s">
        <v>100</v>
      </c>
      <c r="BS300" t="s">
        <v>5783</v>
      </c>
      <c r="BT300" t="str">
        <f>HYPERLINK("https%3A%2F%2Fwww.webofscience.com%2Fwos%2Fwoscc%2Ffull-record%2FWOS:000371284100005","View Full Record in Web of Science")</f>
        <v>View Full Record in Web of Science</v>
      </c>
    </row>
    <row r="301" spans="1:72" x14ac:dyDescent="0.15">
      <c r="A301" t="s">
        <v>72</v>
      </c>
      <c r="B301" t="s">
        <v>5784</v>
      </c>
      <c r="C301" t="s">
        <v>74</v>
      </c>
      <c r="D301" t="s">
        <v>74</v>
      </c>
      <c r="E301" t="s">
        <v>74</v>
      </c>
      <c r="F301" t="s">
        <v>5785</v>
      </c>
      <c r="G301" t="s">
        <v>74</v>
      </c>
      <c r="H301" t="s">
        <v>74</v>
      </c>
      <c r="I301" t="s">
        <v>5786</v>
      </c>
      <c r="J301" t="s">
        <v>5787</v>
      </c>
      <c r="K301" t="s">
        <v>74</v>
      </c>
      <c r="L301" t="s">
        <v>74</v>
      </c>
      <c r="M301" t="s">
        <v>200</v>
      </c>
      <c r="N301" t="s">
        <v>79</v>
      </c>
      <c r="O301" t="s">
        <v>74</v>
      </c>
      <c r="P301" t="s">
        <v>74</v>
      </c>
      <c r="Q301" t="s">
        <v>74</v>
      </c>
      <c r="R301" t="s">
        <v>74</v>
      </c>
      <c r="S301" t="s">
        <v>74</v>
      </c>
      <c r="T301" t="s">
        <v>5788</v>
      </c>
      <c r="U301" t="s">
        <v>5789</v>
      </c>
      <c r="V301" t="s">
        <v>5790</v>
      </c>
      <c r="W301" t="s">
        <v>5791</v>
      </c>
      <c r="X301" t="s">
        <v>5792</v>
      </c>
      <c r="Y301" t="s">
        <v>5793</v>
      </c>
      <c r="Z301" t="s">
        <v>5794</v>
      </c>
      <c r="AA301" t="s">
        <v>74</v>
      </c>
      <c r="AB301" t="s">
        <v>74</v>
      </c>
      <c r="AC301" t="s">
        <v>5795</v>
      </c>
      <c r="AD301" t="s">
        <v>5796</v>
      </c>
      <c r="AE301" t="s">
        <v>5797</v>
      </c>
      <c r="AF301" t="s">
        <v>74</v>
      </c>
      <c r="AG301">
        <v>55</v>
      </c>
      <c r="AH301">
        <v>6</v>
      </c>
      <c r="AI301">
        <v>6</v>
      </c>
      <c r="AJ301">
        <v>0</v>
      </c>
      <c r="AK301">
        <v>16</v>
      </c>
      <c r="AL301" t="s">
        <v>2410</v>
      </c>
      <c r="AM301" t="s">
        <v>1559</v>
      </c>
      <c r="AN301" t="s">
        <v>2411</v>
      </c>
      <c r="AO301" t="s">
        <v>5798</v>
      </c>
      <c r="AP301" t="s">
        <v>5799</v>
      </c>
      <c r="AQ301" t="s">
        <v>74</v>
      </c>
      <c r="AR301" t="s">
        <v>5800</v>
      </c>
      <c r="AS301" t="s">
        <v>5801</v>
      </c>
      <c r="AT301" t="s">
        <v>315</v>
      </c>
      <c r="AU301">
        <v>2016</v>
      </c>
      <c r="AV301">
        <v>121</v>
      </c>
      <c r="AW301">
        <v>1</v>
      </c>
      <c r="AX301" t="s">
        <v>74</v>
      </c>
      <c r="AY301" t="s">
        <v>74</v>
      </c>
      <c r="AZ301" t="s">
        <v>74</v>
      </c>
      <c r="BA301" t="s">
        <v>74</v>
      </c>
      <c r="BB301">
        <v>133</v>
      </c>
      <c r="BC301">
        <v>147</v>
      </c>
      <c r="BD301" t="s">
        <v>74</v>
      </c>
      <c r="BE301" t="s">
        <v>5802</v>
      </c>
      <c r="BF301" t="str">
        <f>HYPERLINK("http://dx.doi.org/10.1002/2015JC010802","http://dx.doi.org/10.1002/2015JC010802")</f>
        <v>http://dx.doi.org/10.1002/2015JC010802</v>
      </c>
      <c r="BG301" t="s">
        <v>74</v>
      </c>
      <c r="BH301" t="s">
        <v>74</v>
      </c>
      <c r="BI301">
        <v>15</v>
      </c>
      <c r="BJ301" t="s">
        <v>5339</v>
      </c>
      <c r="BK301" t="s">
        <v>264</v>
      </c>
      <c r="BL301" t="s">
        <v>5339</v>
      </c>
      <c r="BM301" t="s">
        <v>5803</v>
      </c>
      <c r="BN301" t="s">
        <v>74</v>
      </c>
      <c r="BO301" t="s">
        <v>486</v>
      </c>
      <c r="BP301" t="s">
        <v>74</v>
      </c>
      <c r="BQ301" t="s">
        <v>74</v>
      </c>
      <c r="BR301" t="s">
        <v>100</v>
      </c>
      <c r="BS301" t="s">
        <v>5804</v>
      </c>
      <c r="BT301" t="str">
        <f>HYPERLINK("https%3A%2F%2Fwww.webofscience.com%2Fwos%2Fwoscc%2Ffull-record%2FWOS:000371432200008","View Full Record in Web of Science")</f>
        <v>View Full Record in Web of Science</v>
      </c>
    </row>
    <row r="302" spans="1:72" x14ac:dyDescent="0.15">
      <c r="A302" t="s">
        <v>72</v>
      </c>
      <c r="B302" t="s">
        <v>5805</v>
      </c>
      <c r="C302" t="s">
        <v>74</v>
      </c>
      <c r="D302" t="s">
        <v>74</v>
      </c>
      <c r="E302" t="s">
        <v>74</v>
      </c>
      <c r="F302" t="s">
        <v>5806</v>
      </c>
      <c r="G302" t="s">
        <v>74</v>
      </c>
      <c r="H302" t="s">
        <v>74</v>
      </c>
      <c r="I302" t="s">
        <v>5807</v>
      </c>
      <c r="J302" t="s">
        <v>5787</v>
      </c>
      <c r="K302" t="s">
        <v>74</v>
      </c>
      <c r="L302" t="s">
        <v>74</v>
      </c>
      <c r="M302" t="s">
        <v>200</v>
      </c>
      <c r="N302" t="s">
        <v>79</v>
      </c>
      <c r="O302" t="s">
        <v>74</v>
      </c>
      <c r="P302" t="s">
        <v>74</v>
      </c>
      <c r="Q302" t="s">
        <v>74</v>
      </c>
      <c r="R302" t="s">
        <v>74</v>
      </c>
      <c r="S302" t="s">
        <v>74</v>
      </c>
      <c r="T302" t="s">
        <v>5808</v>
      </c>
      <c r="U302" t="s">
        <v>5809</v>
      </c>
      <c r="V302" t="s">
        <v>5810</v>
      </c>
      <c r="W302" t="s">
        <v>5811</v>
      </c>
      <c r="X302" t="s">
        <v>5812</v>
      </c>
      <c r="Y302" t="s">
        <v>5813</v>
      </c>
      <c r="Z302" t="s">
        <v>5814</v>
      </c>
      <c r="AA302" t="s">
        <v>5815</v>
      </c>
      <c r="AB302" t="s">
        <v>5816</v>
      </c>
      <c r="AC302" t="s">
        <v>5817</v>
      </c>
      <c r="AD302" t="s">
        <v>5818</v>
      </c>
      <c r="AE302" t="s">
        <v>5819</v>
      </c>
      <c r="AF302" t="s">
        <v>74</v>
      </c>
      <c r="AG302">
        <v>42</v>
      </c>
      <c r="AH302">
        <v>88</v>
      </c>
      <c r="AI302">
        <v>95</v>
      </c>
      <c r="AJ302">
        <v>2</v>
      </c>
      <c r="AK302">
        <v>33</v>
      </c>
      <c r="AL302" t="s">
        <v>2410</v>
      </c>
      <c r="AM302" t="s">
        <v>1559</v>
      </c>
      <c r="AN302" t="s">
        <v>2411</v>
      </c>
      <c r="AO302" t="s">
        <v>5798</v>
      </c>
      <c r="AP302" t="s">
        <v>5799</v>
      </c>
      <c r="AQ302" t="s">
        <v>74</v>
      </c>
      <c r="AR302" t="s">
        <v>5800</v>
      </c>
      <c r="AS302" t="s">
        <v>5801</v>
      </c>
      <c r="AT302" t="s">
        <v>315</v>
      </c>
      <c r="AU302">
        <v>2016</v>
      </c>
      <c r="AV302">
        <v>121</v>
      </c>
      <c r="AW302">
        <v>1</v>
      </c>
      <c r="AX302" t="s">
        <v>74</v>
      </c>
      <c r="AY302" t="s">
        <v>74</v>
      </c>
      <c r="AZ302" t="s">
        <v>74</v>
      </c>
      <c r="BA302" t="s">
        <v>74</v>
      </c>
      <c r="BB302">
        <v>327</v>
      </c>
      <c r="BC302">
        <v>349</v>
      </c>
      <c r="BD302" t="s">
        <v>74</v>
      </c>
      <c r="BE302" t="s">
        <v>5820</v>
      </c>
      <c r="BF302" t="str">
        <f>HYPERLINK("http://dx.doi.org/10.1002/2015JC011178","http://dx.doi.org/10.1002/2015JC011178")</f>
        <v>http://dx.doi.org/10.1002/2015JC011178</v>
      </c>
      <c r="BG302" t="s">
        <v>74</v>
      </c>
      <c r="BH302" t="s">
        <v>74</v>
      </c>
      <c r="BI302">
        <v>23</v>
      </c>
      <c r="BJ302" t="s">
        <v>5339</v>
      </c>
      <c r="BK302" t="s">
        <v>264</v>
      </c>
      <c r="BL302" t="s">
        <v>5339</v>
      </c>
      <c r="BM302" t="s">
        <v>5803</v>
      </c>
      <c r="BN302" t="s">
        <v>74</v>
      </c>
      <c r="BO302" t="s">
        <v>5821</v>
      </c>
      <c r="BP302" t="s">
        <v>74</v>
      </c>
      <c r="BQ302" t="s">
        <v>74</v>
      </c>
      <c r="BR302" t="s">
        <v>100</v>
      </c>
      <c r="BS302" t="s">
        <v>5822</v>
      </c>
      <c r="BT302" t="str">
        <f>HYPERLINK("https%3A%2F%2Fwww.webofscience.com%2Fwos%2Fwoscc%2Ffull-record%2FWOS:000371432200020","View Full Record in Web of Science")</f>
        <v>View Full Record in Web of Science</v>
      </c>
    </row>
    <row r="303" spans="1:72" x14ac:dyDescent="0.15">
      <c r="A303" t="s">
        <v>193</v>
      </c>
      <c r="B303" t="s">
        <v>5823</v>
      </c>
      <c r="C303" t="s">
        <v>74</v>
      </c>
      <c r="D303" t="s">
        <v>5824</v>
      </c>
      <c r="E303" t="s">
        <v>74</v>
      </c>
      <c r="F303" t="s">
        <v>5825</v>
      </c>
      <c r="G303" t="s">
        <v>74</v>
      </c>
      <c r="H303" t="s">
        <v>74</v>
      </c>
      <c r="I303" t="s">
        <v>5826</v>
      </c>
      <c r="J303" t="s">
        <v>5827</v>
      </c>
      <c r="K303" t="s">
        <v>5828</v>
      </c>
      <c r="L303" t="s">
        <v>74</v>
      </c>
      <c r="M303" t="s">
        <v>200</v>
      </c>
      <c r="N303" t="s">
        <v>201</v>
      </c>
      <c r="O303" t="s">
        <v>74</v>
      </c>
      <c r="P303" t="s">
        <v>74</v>
      </c>
      <c r="Q303" t="s">
        <v>74</v>
      </c>
      <c r="R303" t="s">
        <v>74</v>
      </c>
      <c r="S303" t="s">
        <v>74</v>
      </c>
      <c r="T303" t="s">
        <v>74</v>
      </c>
      <c r="U303" t="s">
        <v>5829</v>
      </c>
      <c r="V303" t="s">
        <v>5830</v>
      </c>
      <c r="W303" t="s">
        <v>5831</v>
      </c>
      <c r="X303" t="s">
        <v>5832</v>
      </c>
      <c r="Y303" t="s">
        <v>5833</v>
      </c>
      <c r="Z303" t="s">
        <v>5834</v>
      </c>
      <c r="AA303" t="s">
        <v>5835</v>
      </c>
      <c r="AB303" t="s">
        <v>5836</v>
      </c>
      <c r="AC303" t="s">
        <v>74</v>
      </c>
      <c r="AD303" t="s">
        <v>74</v>
      </c>
      <c r="AE303" t="s">
        <v>74</v>
      </c>
      <c r="AF303" t="s">
        <v>74</v>
      </c>
      <c r="AG303">
        <v>84</v>
      </c>
      <c r="AH303">
        <v>13</v>
      </c>
      <c r="AI303">
        <v>15</v>
      </c>
      <c r="AJ303">
        <v>0</v>
      </c>
      <c r="AK303">
        <v>25</v>
      </c>
      <c r="AL303" t="s">
        <v>393</v>
      </c>
      <c r="AM303" t="s">
        <v>394</v>
      </c>
      <c r="AN303" t="s">
        <v>395</v>
      </c>
      <c r="AO303" t="s">
        <v>5837</v>
      </c>
      <c r="AP303" t="s">
        <v>74</v>
      </c>
      <c r="AQ303" t="s">
        <v>5838</v>
      </c>
      <c r="AR303" t="s">
        <v>5839</v>
      </c>
      <c r="AS303" t="s">
        <v>74</v>
      </c>
      <c r="AT303" t="s">
        <v>74</v>
      </c>
      <c r="AU303">
        <v>2016</v>
      </c>
      <c r="AV303">
        <v>4</v>
      </c>
      <c r="AW303" t="s">
        <v>74</v>
      </c>
      <c r="AX303" t="s">
        <v>74</v>
      </c>
      <c r="AY303" t="s">
        <v>74</v>
      </c>
      <c r="AZ303" t="s">
        <v>74</v>
      </c>
      <c r="BA303" t="s">
        <v>74</v>
      </c>
      <c r="BB303">
        <v>89</v>
      </c>
      <c r="BC303">
        <v>112</v>
      </c>
      <c r="BD303" t="s">
        <v>74</v>
      </c>
      <c r="BE303" t="s">
        <v>5840</v>
      </c>
      <c r="BF303" t="str">
        <f>HYPERLINK("http://dx.doi.org/10.1007/978-3-319-24244-6_4","http://dx.doi.org/10.1007/978-3-319-24244-6_4")</f>
        <v>http://dx.doi.org/10.1007/978-3-319-24244-6_4</v>
      </c>
      <c r="BG303" t="s">
        <v>5841</v>
      </c>
      <c r="BH303" t="s">
        <v>74</v>
      </c>
      <c r="BI303">
        <v>24</v>
      </c>
      <c r="BJ303" t="s">
        <v>3955</v>
      </c>
      <c r="BK303" t="s">
        <v>216</v>
      </c>
      <c r="BL303" t="s">
        <v>3955</v>
      </c>
      <c r="BM303" t="s">
        <v>5842</v>
      </c>
      <c r="BN303" t="s">
        <v>74</v>
      </c>
      <c r="BO303" t="s">
        <v>74</v>
      </c>
      <c r="BP303" t="s">
        <v>74</v>
      </c>
      <c r="BQ303" t="s">
        <v>74</v>
      </c>
      <c r="BR303" t="s">
        <v>100</v>
      </c>
      <c r="BS303" t="s">
        <v>5843</v>
      </c>
      <c r="BT303" t="str">
        <f>HYPERLINK("https%3A%2F%2Fwww.webofscience.com%2Fwos%2Fwoscc%2Ffull-record%2FWOS:000371340300005","View Full Record in Web of Science")</f>
        <v>View Full Record in Web of Science</v>
      </c>
    </row>
    <row r="304" spans="1:72" x14ac:dyDescent="0.15">
      <c r="A304" t="s">
        <v>72</v>
      </c>
      <c r="B304" t="s">
        <v>5844</v>
      </c>
      <c r="C304" t="s">
        <v>74</v>
      </c>
      <c r="D304" t="s">
        <v>74</v>
      </c>
      <c r="E304" t="s">
        <v>74</v>
      </c>
      <c r="F304" t="s">
        <v>5845</v>
      </c>
      <c r="G304" t="s">
        <v>74</v>
      </c>
      <c r="H304" t="s">
        <v>74</v>
      </c>
      <c r="I304" t="s">
        <v>5846</v>
      </c>
      <c r="J304" t="s">
        <v>4892</v>
      </c>
      <c r="K304" t="s">
        <v>74</v>
      </c>
      <c r="L304" t="s">
        <v>74</v>
      </c>
      <c r="M304" t="s">
        <v>200</v>
      </c>
      <c r="N304" t="s">
        <v>79</v>
      </c>
      <c r="O304" t="s">
        <v>74</v>
      </c>
      <c r="P304" t="s">
        <v>74</v>
      </c>
      <c r="Q304" t="s">
        <v>74</v>
      </c>
      <c r="R304" t="s">
        <v>74</v>
      </c>
      <c r="S304" t="s">
        <v>74</v>
      </c>
      <c r="T304" t="s">
        <v>5847</v>
      </c>
      <c r="U304" t="s">
        <v>5848</v>
      </c>
      <c r="V304" t="s">
        <v>5849</v>
      </c>
      <c r="W304" t="s">
        <v>5850</v>
      </c>
      <c r="X304" t="s">
        <v>5851</v>
      </c>
      <c r="Y304" t="s">
        <v>5852</v>
      </c>
      <c r="Z304" t="s">
        <v>5853</v>
      </c>
      <c r="AA304" t="s">
        <v>74</v>
      </c>
      <c r="AB304" t="s">
        <v>74</v>
      </c>
      <c r="AC304" t="s">
        <v>5854</v>
      </c>
      <c r="AD304" t="s">
        <v>5854</v>
      </c>
      <c r="AE304" t="s">
        <v>5855</v>
      </c>
      <c r="AF304" t="s">
        <v>74</v>
      </c>
      <c r="AG304">
        <v>57</v>
      </c>
      <c r="AH304">
        <v>21</v>
      </c>
      <c r="AI304">
        <v>22</v>
      </c>
      <c r="AJ304">
        <v>1</v>
      </c>
      <c r="AK304">
        <v>15</v>
      </c>
      <c r="AL304" t="s">
        <v>4904</v>
      </c>
      <c r="AM304" t="s">
        <v>4905</v>
      </c>
      <c r="AN304" t="s">
        <v>4906</v>
      </c>
      <c r="AO304" t="s">
        <v>4907</v>
      </c>
      <c r="AP304" t="s">
        <v>74</v>
      </c>
      <c r="AQ304" t="s">
        <v>74</v>
      </c>
      <c r="AR304" t="s">
        <v>4908</v>
      </c>
      <c r="AS304" t="s">
        <v>4909</v>
      </c>
      <c r="AT304" t="s">
        <v>74</v>
      </c>
      <c r="AU304">
        <v>2016</v>
      </c>
      <c r="AV304">
        <v>42</v>
      </c>
      <c r="AW304">
        <v>1</v>
      </c>
      <c r="AX304" t="s">
        <v>74</v>
      </c>
      <c r="AY304" t="s">
        <v>74</v>
      </c>
      <c r="AZ304" t="s">
        <v>74</v>
      </c>
      <c r="BA304" t="s">
        <v>74</v>
      </c>
      <c r="BB304">
        <v>47</v>
      </c>
      <c r="BC304">
        <v>55</v>
      </c>
      <c r="BD304" t="s">
        <v>74</v>
      </c>
      <c r="BE304" t="s">
        <v>5856</v>
      </c>
      <c r="BF304" t="str">
        <f>HYPERLINK("http://dx.doi.org/10.1578/AM.42.1.2016.47","http://dx.doi.org/10.1578/AM.42.1.2016.47")</f>
        <v>http://dx.doi.org/10.1578/AM.42.1.2016.47</v>
      </c>
      <c r="BG304" t="s">
        <v>74</v>
      </c>
      <c r="BH304" t="s">
        <v>74</v>
      </c>
      <c r="BI304">
        <v>9</v>
      </c>
      <c r="BJ304" t="s">
        <v>1660</v>
      </c>
      <c r="BK304" t="s">
        <v>264</v>
      </c>
      <c r="BL304" t="s">
        <v>1660</v>
      </c>
      <c r="BM304" t="s">
        <v>5857</v>
      </c>
      <c r="BN304" t="s">
        <v>74</v>
      </c>
      <c r="BO304" t="s">
        <v>74</v>
      </c>
      <c r="BP304" t="s">
        <v>74</v>
      </c>
      <c r="BQ304" t="s">
        <v>74</v>
      </c>
      <c r="BR304" t="s">
        <v>100</v>
      </c>
      <c r="BS304" t="s">
        <v>5858</v>
      </c>
      <c r="BT304" t="str">
        <f>HYPERLINK("https%3A%2F%2Fwww.webofscience.com%2Fwos%2Fwoscc%2Ffull-record%2FWOS:000370943200007","View Full Record in Web of Science")</f>
        <v>View Full Record in Web of Science</v>
      </c>
    </row>
    <row r="305" spans="1:72" x14ac:dyDescent="0.15">
      <c r="A305" t="s">
        <v>193</v>
      </c>
      <c r="B305" t="s">
        <v>5859</v>
      </c>
      <c r="C305" t="s">
        <v>5860</v>
      </c>
      <c r="D305" t="s">
        <v>74</v>
      </c>
      <c r="E305" t="s">
        <v>74</v>
      </c>
      <c r="F305" t="s">
        <v>5861</v>
      </c>
      <c r="G305" t="s">
        <v>5860</v>
      </c>
      <c r="H305" t="s">
        <v>74</v>
      </c>
      <c r="I305" t="s">
        <v>5862</v>
      </c>
      <c r="J305" t="s">
        <v>5863</v>
      </c>
      <c r="K305" t="s">
        <v>5864</v>
      </c>
      <c r="L305" t="s">
        <v>74</v>
      </c>
      <c r="M305" t="s">
        <v>200</v>
      </c>
      <c r="N305" t="s">
        <v>201</v>
      </c>
      <c r="O305" t="s">
        <v>74</v>
      </c>
      <c r="P305" t="s">
        <v>74</v>
      </c>
      <c r="Q305" t="s">
        <v>74</v>
      </c>
      <c r="R305" t="s">
        <v>74</v>
      </c>
      <c r="S305" t="s">
        <v>74</v>
      </c>
      <c r="T305" t="s">
        <v>74</v>
      </c>
      <c r="U305" t="s">
        <v>74</v>
      </c>
      <c r="V305" t="s">
        <v>5865</v>
      </c>
      <c r="W305" t="s">
        <v>74</v>
      </c>
      <c r="X305" t="s">
        <v>74</v>
      </c>
      <c r="Y305" t="s">
        <v>74</v>
      </c>
      <c r="Z305" t="s">
        <v>74</v>
      </c>
      <c r="AA305" t="s">
        <v>74</v>
      </c>
      <c r="AB305" t="s">
        <v>74</v>
      </c>
      <c r="AC305" t="s">
        <v>74</v>
      </c>
      <c r="AD305" t="s">
        <v>74</v>
      </c>
      <c r="AE305" t="s">
        <v>74</v>
      </c>
      <c r="AF305" t="s">
        <v>74</v>
      </c>
      <c r="AG305">
        <v>0</v>
      </c>
      <c r="AH305">
        <v>0</v>
      </c>
      <c r="AI305">
        <v>0</v>
      </c>
      <c r="AJ305">
        <v>0</v>
      </c>
      <c r="AK305">
        <v>8</v>
      </c>
      <c r="AL305" t="s">
        <v>3560</v>
      </c>
      <c r="AM305" t="s">
        <v>4093</v>
      </c>
      <c r="AN305" t="s">
        <v>4094</v>
      </c>
      <c r="AO305" t="s">
        <v>5866</v>
      </c>
      <c r="AP305" t="s">
        <v>74</v>
      </c>
      <c r="AQ305" t="s">
        <v>5867</v>
      </c>
      <c r="AR305" t="s">
        <v>5868</v>
      </c>
      <c r="AS305" t="s">
        <v>74</v>
      </c>
      <c r="AT305" t="s">
        <v>74</v>
      </c>
      <c r="AU305">
        <v>2016</v>
      </c>
      <c r="AV305">
        <v>10</v>
      </c>
      <c r="AW305" t="s">
        <v>74</v>
      </c>
      <c r="AX305" t="s">
        <v>74</v>
      </c>
      <c r="AY305" t="s">
        <v>74</v>
      </c>
      <c r="AZ305" t="s">
        <v>74</v>
      </c>
      <c r="BA305" t="s">
        <v>74</v>
      </c>
      <c r="BB305">
        <v>45</v>
      </c>
      <c r="BC305">
        <v>67</v>
      </c>
      <c r="BD305" t="s">
        <v>74</v>
      </c>
      <c r="BE305" t="s">
        <v>5869</v>
      </c>
      <c r="BF305" t="str">
        <f>HYPERLINK("http://dx.doi.org/10.1007/978-3-319-22512-8_2","http://dx.doi.org/10.1007/978-3-319-22512-8_2")</f>
        <v>http://dx.doi.org/10.1007/978-3-319-22512-8_2</v>
      </c>
      <c r="BG305" t="s">
        <v>74</v>
      </c>
      <c r="BH305" t="s">
        <v>74</v>
      </c>
      <c r="BI305">
        <v>23</v>
      </c>
      <c r="BJ305" t="s">
        <v>3244</v>
      </c>
      <c r="BK305" t="s">
        <v>216</v>
      </c>
      <c r="BL305" t="s">
        <v>3245</v>
      </c>
      <c r="BM305" t="s">
        <v>5870</v>
      </c>
      <c r="BN305" t="s">
        <v>74</v>
      </c>
      <c r="BO305" t="s">
        <v>74</v>
      </c>
      <c r="BP305" t="s">
        <v>74</v>
      </c>
      <c r="BQ305" t="s">
        <v>74</v>
      </c>
      <c r="BR305" t="s">
        <v>100</v>
      </c>
      <c r="BS305" t="s">
        <v>5871</v>
      </c>
      <c r="BT305" t="str">
        <f>HYPERLINK("https%3A%2F%2Fwww.webofscience.com%2Fwos%2Fwoscc%2Ffull-record%2FWOS:000369234400004","View Full Record in Web of Science")</f>
        <v>View Full Record in Web of Science</v>
      </c>
    </row>
    <row r="306" spans="1:72" x14ac:dyDescent="0.15">
      <c r="A306" t="s">
        <v>72</v>
      </c>
      <c r="B306" t="s">
        <v>5872</v>
      </c>
      <c r="C306" t="s">
        <v>74</v>
      </c>
      <c r="D306" t="s">
        <v>74</v>
      </c>
      <c r="E306" t="s">
        <v>74</v>
      </c>
      <c r="F306" t="s">
        <v>5873</v>
      </c>
      <c r="G306" t="s">
        <v>74</v>
      </c>
      <c r="H306" t="s">
        <v>74</v>
      </c>
      <c r="I306" t="s">
        <v>5874</v>
      </c>
      <c r="J306" t="s">
        <v>5875</v>
      </c>
      <c r="K306" t="s">
        <v>74</v>
      </c>
      <c r="L306" t="s">
        <v>74</v>
      </c>
      <c r="M306" t="s">
        <v>200</v>
      </c>
      <c r="N306" t="s">
        <v>79</v>
      </c>
      <c r="O306" t="s">
        <v>74</v>
      </c>
      <c r="P306" t="s">
        <v>74</v>
      </c>
      <c r="Q306" t="s">
        <v>74</v>
      </c>
      <c r="R306" t="s">
        <v>74</v>
      </c>
      <c r="S306" t="s">
        <v>74</v>
      </c>
      <c r="T306" t="s">
        <v>5876</v>
      </c>
      <c r="U306" t="s">
        <v>5877</v>
      </c>
      <c r="V306" t="s">
        <v>5878</v>
      </c>
      <c r="W306" t="s">
        <v>5879</v>
      </c>
      <c r="X306" t="s">
        <v>5880</v>
      </c>
      <c r="Y306" t="s">
        <v>5881</v>
      </c>
      <c r="Z306" t="s">
        <v>5882</v>
      </c>
      <c r="AA306" t="s">
        <v>5883</v>
      </c>
      <c r="AB306" t="s">
        <v>5884</v>
      </c>
      <c r="AC306" t="s">
        <v>5885</v>
      </c>
      <c r="AD306" t="s">
        <v>5886</v>
      </c>
      <c r="AE306" t="s">
        <v>5887</v>
      </c>
      <c r="AF306" t="s">
        <v>74</v>
      </c>
      <c r="AG306">
        <v>36</v>
      </c>
      <c r="AH306">
        <v>18</v>
      </c>
      <c r="AI306">
        <v>20</v>
      </c>
      <c r="AJ306">
        <v>0</v>
      </c>
      <c r="AK306">
        <v>10</v>
      </c>
      <c r="AL306" t="s">
        <v>5888</v>
      </c>
      <c r="AM306" t="s">
        <v>1386</v>
      </c>
      <c r="AN306" t="s">
        <v>5889</v>
      </c>
      <c r="AO306" t="s">
        <v>5890</v>
      </c>
      <c r="AP306" t="s">
        <v>5891</v>
      </c>
      <c r="AQ306" t="s">
        <v>74</v>
      </c>
      <c r="AR306" t="s">
        <v>5892</v>
      </c>
      <c r="AS306" t="s">
        <v>5893</v>
      </c>
      <c r="AT306" t="s">
        <v>315</v>
      </c>
      <c r="AU306">
        <v>2016</v>
      </c>
      <c r="AV306">
        <v>123</v>
      </c>
      <c r="AW306" t="s">
        <v>74</v>
      </c>
      <c r="AX306" t="s">
        <v>74</v>
      </c>
      <c r="AY306" t="s">
        <v>74</v>
      </c>
      <c r="AZ306" t="s">
        <v>74</v>
      </c>
      <c r="BA306" t="s">
        <v>74</v>
      </c>
      <c r="BB306">
        <v>7</v>
      </c>
      <c r="BC306">
        <v>15</v>
      </c>
      <c r="BD306" t="s">
        <v>74</v>
      </c>
      <c r="BE306" t="s">
        <v>5894</v>
      </c>
      <c r="BF306" t="str">
        <f>HYPERLINK("http://dx.doi.org/10.1016/j.dsr2.2015.07.014","http://dx.doi.org/10.1016/j.dsr2.2015.07.014")</f>
        <v>http://dx.doi.org/10.1016/j.dsr2.2015.07.014</v>
      </c>
      <c r="BG306" t="s">
        <v>74</v>
      </c>
      <c r="BH306" t="s">
        <v>74</v>
      </c>
      <c r="BI306">
        <v>9</v>
      </c>
      <c r="BJ306" t="s">
        <v>5339</v>
      </c>
      <c r="BK306" t="s">
        <v>264</v>
      </c>
      <c r="BL306" t="s">
        <v>5339</v>
      </c>
      <c r="BM306" t="s">
        <v>5895</v>
      </c>
      <c r="BN306" t="s">
        <v>74</v>
      </c>
      <c r="BO306" t="s">
        <v>74</v>
      </c>
      <c r="BP306" t="s">
        <v>74</v>
      </c>
      <c r="BQ306" t="s">
        <v>74</v>
      </c>
      <c r="BR306" t="s">
        <v>100</v>
      </c>
      <c r="BS306" t="s">
        <v>5896</v>
      </c>
      <c r="BT306" t="str">
        <f>HYPERLINK("https%3A%2F%2Fwww.webofscience.com%2Fwos%2Fwoscc%2Ffull-record%2FWOS:000370885500002","View Full Record in Web of Science")</f>
        <v>View Full Record in Web of Science</v>
      </c>
    </row>
    <row r="307" spans="1:72" x14ac:dyDescent="0.15">
      <c r="A307" t="s">
        <v>72</v>
      </c>
      <c r="B307" t="s">
        <v>5897</v>
      </c>
      <c r="C307" t="s">
        <v>74</v>
      </c>
      <c r="D307" t="s">
        <v>74</v>
      </c>
      <c r="E307" t="s">
        <v>74</v>
      </c>
      <c r="F307" t="s">
        <v>5898</v>
      </c>
      <c r="G307" t="s">
        <v>74</v>
      </c>
      <c r="H307" t="s">
        <v>74</v>
      </c>
      <c r="I307" t="s">
        <v>5899</v>
      </c>
      <c r="J307" t="s">
        <v>5875</v>
      </c>
      <c r="K307" t="s">
        <v>74</v>
      </c>
      <c r="L307" t="s">
        <v>74</v>
      </c>
      <c r="M307" t="s">
        <v>200</v>
      </c>
      <c r="N307" t="s">
        <v>79</v>
      </c>
      <c r="O307" t="s">
        <v>74</v>
      </c>
      <c r="P307" t="s">
        <v>74</v>
      </c>
      <c r="Q307" t="s">
        <v>74</v>
      </c>
      <c r="R307" t="s">
        <v>74</v>
      </c>
      <c r="S307" t="s">
        <v>74</v>
      </c>
      <c r="T307" t="s">
        <v>5900</v>
      </c>
      <c r="U307" t="s">
        <v>5901</v>
      </c>
      <c r="V307" t="s">
        <v>5902</v>
      </c>
      <c r="W307" t="s">
        <v>5903</v>
      </c>
      <c r="X307" t="s">
        <v>5904</v>
      </c>
      <c r="Y307" t="s">
        <v>5905</v>
      </c>
      <c r="Z307" t="s">
        <v>5906</v>
      </c>
      <c r="AA307" t="s">
        <v>5907</v>
      </c>
      <c r="AB307" t="s">
        <v>5908</v>
      </c>
      <c r="AC307" t="s">
        <v>5909</v>
      </c>
      <c r="AD307" t="s">
        <v>5910</v>
      </c>
      <c r="AE307" t="s">
        <v>5911</v>
      </c>
      <c r="AF307" t="s">
        <v>74</v>
      </c>
      <c r="AG307">
        <v>71</v>
      </c>
      <c r="AH307">
        <v>32</v>
      </c>
      <c r="AI307">
        <v>37</v>
      </c>
      <c r="AJ307">
        <v>0</v>
      </c>
      <c r="AK307">
        <v>20</v>
      </c>
      <c r="AL307" t="s">
        <v>5888</v>
      </c>
      <c r="AM307" t="s">
        <v>1386</v>
      </c>
      <c r="AN307" t="s">
        <v>5889</v>
      </c>
      <c r="AO307" t="s">
        <v>5890</v>
      </c>
      <c r="AP307" t="s">
        <v>5891</v>
      </c>
      <c r="AQ307" t="s">
        <v>74</v>
      </c>
      <c r="AR307" t="s">
        <v>5892</v>
      </c>
      <c r="AS307" t="s">
        <v>5893</v>
      </c>
      <c r="AT307" t="s">
        <v>315</v>
      </c>
      <c r="AU307">
        <v>2016</v>
      </c>
      <c r="AV307">
        <v>123</v>
      </c>
      <c r="AW307" t="s">
        <v>74</v>
      </c>
      <c r="AX307" t="s">
        <v>74</v>
      </c>
      <c r="AY307" t="s">
        <v>74</v>
      </c>
      <c r="AZ307" t="s">
        <v>74</v>
      </c>
      <c r="BA307" t="s">
        <v>74</v>
      </c>
      <c r="BB307">
        <v>16</v>
      </c>
      <c r="BC307">
        <v>29</v>
      </c>
      <c r="BD307" t="s">
        <v>74</v>
      </c>
      <c r="BE307" t="s">
        <v>5912</v>
      </c>
      <c r="BF307" t="str">
        <f>HYPERLINK("http://dx.doi.org/10.1016/j.dsr2.2015.08.008","http://dx.doi.org/10.1016/j.dsr2.2015.08.008")</f>
        <v>http://dx.doi.org/10.1016/j.dsr2.2015.08.008</v>
      </c>
      <c r="BG307" t="s">
        <v>74</v>
      </c>
      <c r="BH307" t="s">
        <v>74</v>
      </c>
      <c r="BI307">
        <v>14</v>
      </c>
      <c r="BJ307" t="s">
        <v>5339</v>
      </c>
      <c r="BK307" t="s">
        <v>264</v>
      </c>
      <c r="BL307" t="s">
        <v>5339</v>
      </c>
      <c r="BM307" t="s">
        <v>5895</v>
      </c>
      <c r="BN307" t="s">
        <v>74</v>
      </c>
      <c r="BO307" t="s">
        <v>5581</v>
      </c>
      <c r="BP307" t="s">
        <v>74</v>
      </c>
      <c r="BQ307" t="s">
        <v>74</v>
      </c>
      <c r="BR307" t="s">
        <v>100</v>
      </c>
      <c r="BS307" t="s">
        <v>5913</v>
      </c>
      <c r="BT307" t="str">
        <f>HYPERLINK("https%3A%2F%2Fwww.webofscience.com%2Fwos%2Fwoscc%2Ffull-record%2FWOS:000370885500003","View Full Record in Web of Science")</f>
        <v>View Full Record in Web of Science</v>
      </c>
    </row>
    <row r="308" spans="1:72" x14ac:dyDescent="0.15">
      <c r="A308" t="s">
        <v>72</v>
      </c>
      <c r="B308" t="s">
        <v>5914</v>
      </c>
      <c r="C308" t="s">
        <v>74</v>
      </c>
      <c r="D308" t="s">
        <v>74</v>
      </c>
      <c r="E308" t="s">
        <v>74</v>
      </c>
      <c r="F308" t="s">
        <v>5915</v>
      </c>
      <c r="G308" t="s">
        <v>74</v>
      </c>
      <c r="H308" t="s">
        <v>74</v>
      </c>
      <c r="I308" t="s">
        <v>5916</v>
      </c>
      <c r="J308" t="s">
        <v>5875</v>
      </c>
      <c r="K308" t="s">
        <v>74</v>
      </c>
      <c r="L308" t="s">
        <v>74</v>
      </c>
      <c r="M308" t="s">
        <v>200</v>
      </c>
      <c r="N308" t="s">
        <v>79</v>
      </c>
      <c r="O308" t="s">
        <v>74</v>
      </c>
      <c r="P308" t="s">
        <v>74</v>
      </c>
      <c r="Q308" t="s">
        <v>74</v>
      </c>
      <c r="R308" t="s">
        <v>74</v>
      </c>
      <c r="S308" t="s">
        <v>74</v>
      </c>
      <c r="T308" t="s">
        <v>5917</v>
      </c>
      <c r="U308" t="s">
        <v>5918</v>
      </c>
      <c r="V308" t="s">
        <v>5919</v>
      </c>
      <c r="W308" t="s">
        <v>5920</v>
      </c>
      <c r="X308" t="s">
        <v>5921</v>
      </c>
      <c r="Y308" t="s">
        <v>5922</v>
      </c>
      <c r="Z308" t="s">
        <v>5923</v>
      </c>
      <c r="AA308" t="s">
        <v>5924</v>
      </c>
      <c r="AB308" t="s">
        <v>5925</v>
      </c>
      <c r="AC308" t="s">
        <v>5926</v>
      </c>
      <c r="AD308" t="s">
        <v>968</v>
      </c>
      <c r="AE308" t="s">
        <v>5927</v>
      </c>
      <c r="AF308" t="s">
        <v>74</v>
      </c>
      <c r="AG308">
        <v>59</v>
      </c>
      <c r="AH308">
        <v>8</v>
      </c>
      <c r="AI308">
        <v>8</v>
      </c>
      <c r="AJ308">
        <v>0</v>
      </c>
      <c r="AK308">
        <v>20</v>
      </c>
      <c r="AL308" t="s">
        <v>5888</v>
      </c>
      <c r="AM308" t="s">
        <v>1386</v>
      </c>
      <c r="AN308" t="s">
        <v>5889</v>
      </c>
      <c r="AO308" t="s">
        <v>5890</v>
      </c>
      <c r="AP308" t="s">
        <v>5891</v>
      </c>
      <c r="AQ308" t="s">
        <v>74</v>
      </c>
      <c r="AR308" t="s">
        <v>5892</v>
      </c>
      <c r="AS308" t="s">
        <v>5893</v>
      </c>
      <c r="AT308" t="s">
        <v>315</v>
      </c>
      <c r="AU308">
        <v>2016</v>
      </c>
      <c r="AV308">
        <v>123</v>
      </c>
      <c r="AW308" t="s">
        <v>74</v>
      </c>
      <c r="AX308" t="s">
        <v>74</v>
      </c>
      <c r="AY308" t="s">
        <v>74</v>
      </c>
      <c r="AZ308" t="s">
        <v>74</v>
      </c>
      <c r="BA308" t="s">
        <v>74</v>
      </c>
      <c r="BB308">
        <v>50</v>
      </c>
      <c r="BC308">
        <v>57</v>
      </c>
      <c r="BD308" t="s">
        <v>74</v>
      </c>
      <c r="BE308" t="s">
        <v>5928</v>
      </c>
      <c r="BF308" t="str">
        <f>HYPERLINK("http://dx.doi.org/10.1016/j.dsr2.2015.07.015","http://dx.doi.org/10.1016/j.dsr2.2015.07.015")</f>
        <v>http://dx.doi.org/10.1016/j.dsr2.2015.07.015</v>
      </c>
      <c r="BG308" t="s">
        <v>74</v>
      </c>
      <c r="BH308" t="s">
        <v>74</v>
      </c>
      <c r="BI308">
        <v>8</v>
      </c>
      <c r="BJ308" t="s">
        <v>5339</v>
      </c>
      <c r="BK308" t="s">
        <v>264</v>
      </c>
      <c r="BL308" t="s">
        <v>5339</v>
      </c>
      <c r="BM308" t="s">
        <v>5895</v>
      </c>
      <c r="BN308" t="s">
        <v>74</v>
      </c>
      <c r="BO308" t="s">
        <v>74</v>
      </c>
      <c r="BP308" t="s">
        <v>74</v>
      </c>
      <c r="BQ308" t="s">
        <v>74</v>
      </c>
      <c r="BR308" t="s">
        <v>100</v>
      </c>
      <c r="BS308" t="s">
        <v>5929</v>
      </c>
      <c r="BT308" t="str">
        <f>HYPERLINK("https%3A%2F%2Fwww.webofscience.com%2Fwos%2Fwoscc%2Ffull-record%2FWOS:000370885500006","View Full Record in Web of Science")</f>
        <v>View Full Record in Web of Science</v>
      </c>
    </row>
    <row r="309" spans="1:72" x14ac:dyDescent="0.15">
      <c r="A309" t="s">
        <v>72</v>
      </c>
      <c r="B309" t="s">
        <v>5930</v>
      </c>
      <c r="C309" t="s">
        <v>74</v>
      </c>
      <c r="D309" t="s">
        <v>74</v>
      </c>
      <c r="E309" t="s">
        <v>74</v>
      </c>
      <c r="F309" t="s">
        <v>5931</v>
      </c>
      <c r="G309" t="s">
        <v>74</v>
      </c>
      <c r="H309" t="s">
        <v>74</v>
      </c>
      <c r="I309" t="s">
        <v>5932</v>
      </c>
      <c r="J309" t="s">
        <v>5875</v>
      </c>
      <c r="K309" t="s">
        <v>74</v>
      </c>
      <c r="L309" t="s">
        <v>74</v>
      </c>
      <c r="M309" t="s">
        <v>200</v>
      </c>
      <c r="N309" t="s">
        <v>79</v>
      </c>
      <c r="O309" t="s">
        <v>74</v>
      </c>
      <c r="P309" t="s">
        <v>74</v>
      </c>
      <c r="Q309" t="s">
        <v>74</v>
      </c>
      <c r="R309" t="s">
        <v>74</v>
      </c>
      <c r="S309" t="s">
        <v>74</v>
      </c>
      <c r="T309" t="s">
        <v>5933</v>
      </c>
      <c r="U309" t="s">
        <v>5934</v>
      </c>
      <c r="V309" t="s">
        <v>5935</v>
      </c>
      <c r="W309" t="s">
        <v>5936</v>
      </c>
      <c r="X309" t="s">
        <v>5937</v>
      </c>
      <c r="Y309" t="s">
        <v>5938</v>
      </c>
      <c r="Z309" t="s">
        <v>5939</v>
      </c>
      <c r="AA309" t="s">
        <v>5940</v>
      </c>
      <c r="AB309" t="s">
        <v>5941</v>
      </c>
      <c r="AC309" t="s">
        <v>5942</v>
      </c>
      <c r="AD309" t="s">
        <v>5943</v>
      </c>
      <c r="AE309" t="s">
        <v>5944</v>
      </c>
      <c r="AF309" t="s">
        <v>74</v>
      </c>
      <c r="AG309">
        <v>54</v>
      </c>
      <c r="AH309">
        <v>22</v>
      </c>
      <c r="AI309">
        <v>24</v>
      </c>
      <c r="AJ309">
        <v>0</v>
      </c>
      <c r="AK309">
        <v>17</v>
      </c>
      <c r="AL309" t="s">
        <v>5888</v>
      </c>
      <c r="AM309" t="s">
        <v>1386</v>
      </c>
      <c r="AN309" t="s">
        <v>5889</v>
      </c>
      <c r="AO309" t="s">
        <v>5890</v>
      </c>
      <c r="AP309" t="s">
        <v>5891</v>
      </c>
      <c r="AQ309" t="s">
        <v>74</v>
      </c>
      <c r="AR309" t="s">
        <v>5892</v>
      </c>
      <c r="AS309" t="s">
        <v>5893</v>
      </c>
      <c r="AT309" t="s">
        <v>315</v>
      </c>
      <c r="AU309">
        <v>2016</v>
      </c>
      <c r="AV309">
        <v>123</v>
      </c>
      <c r="AW309" t="s">
        <v>74</v>
      </c>
      <c r="AX309" t="s">
        <v>74</v>
      </c>
      <c r="AY309" t="s">
        <v>74</v>
      </c>
      <c r="AZ309" t="s">
        <v>74</v>
      </c>
      <c r="BA309" t="s">
        <v>74</v>
      </c>
      <c r="BB309">
        <v>69</v>
      </c>
      <c r="BC309">
        <v>77</v>
      </c>
      <c r="BD309" t="s">
        <v>74</v>
      </c>
      <c r="BE309" t="s">
        <v>5945</v>
      </c>
      <c r="BF309" t="str">
        <f>HYPERLINK("http://dx.doi.org/10.1016/j.dsr2.2015.04.015","http://dx.doi.org/10.1016/j.dsr2.2015.04.015")</f>
        <v>http://dx.doi.org/10.1016/j.dsr2.2015.04.015</v>
      </c>
      <c r="BG309" t="s">
        <v>74</v>
      </c>
      <c r="BH309" t="s">
        <v>74</v>
      </c>
      <c r="BI309">
        <v>9</v>
      </c>
      <c r="BJ309" t="s">
        <v>5339</v>
      </c>
      <c r="BK309" t="s">
        <v>264</v>
      </c>
      <c r="BL309" t="s">
        <v>5339</v>
      </c>
      <c r="BM309" t="s">
        <v>5895</v>
      </c>
      <c r="BN309" t="s">
        <v>74</v>
      </c>
      <c r="BO309" t="s">
        <v>74</v>
      </c>
      <c r="BP309" t="s">
        <v>74</v>
      </c>
      <c r="BQ309" t="s">
        <v>74</v>
      </c>
      <c r="BR309" t="s">
        <v>100</v>
      </c>
      <c r="BS309" t="s">
        <v>5946</v>
      </c>
      <c r="BT309" t="str">
        <f>HYPERLINK("https%3A%2F%2Fwww.webofscience.com%2Fwos%2Fwoscc%2Ffull-record%2FWOS:000370885500008","View Full Record in Web of Science")</f>
        <v>View Full Record in Web of Science</v>
      </c>
    </row>
    <row r="310" spans="1:72" x14ac:dyDescent="0.15">
      <c r="A310" t="s">
        <v>72</v>
      </c>
      <c r="B310" t="s">
        <v>5947</v>
      </c>
      <c r="C310" t="s">
        <v>74</v>
      </c>
      <c r="D310" t="s">
        <v>74</v>
      </c>
      <c r="E310" t="s">
        <v>74</v>
      </c>
      <c r="F310" t="s">
        <v>5948</v>
      </c>
      <c r="G310" t="s">
        <v>74</v>
      </c>
      <c r="H310" t="s">
        <v>74</v>
      </c>
      <c r="I310" t="s">
        <v>5949</v>
      </c>
      <c r="J310" t="s">
        <v>5875</v>
      </c>
      <c r="K310" t="s">
        <v>74</v>
      </c>
      <c r="L310" t="s">
        <v>74</v>
      </c>
      <c r="M310" t="s">
        <v>200</v>
      </c>
      <c r="N310" t="s">
        <v>79</v>
      </c>
      <c r="O310" t="s">
        <v>74</v>
      </c>
      <c r="P310" t="s">
        <v>74</v>
      </c>
      <c r="Q310" t="s">
        <v>74</v>
      </c>
      <c r="R310" t="s">
        <v>74</v>
      </c>
      <c r="S310" t="s">
        <v>74</v>
      </c>
      <c r="T310" t="s">
        <v>5950</v>
      </c>
      <c r="U310" t="s">
        <v>5951</v>
      </c>
      <c r="V310" t="s">
        <v>5952</v>
      </c>
      <c r="W310" t="s">
        <v>5953</v>
      </c>
      <c r="X310" t="s">
        <v>5954</v>
      </c>
      <c r="Y310" t="s">
        <v>5955</v>
      </c>
      <c r="Z310" t="s">
        <v>5956</v>
      </c>
      <c r="AA310" t="s">
        <v>74</v>
      </c>
      <c r="AB310" t="s">
        <v>5957</v>
      </c>
      <c r="AC310" t="s">
        <v>5958</v>
      </c>
      <c r="AD310" t="s">
        <v>5959</v>
      </c>
      <c r="AE310" t="s">
        <v>5960</v>
      </c>
      <c r="AF310" t="s">
        <v>74</v>
      </c>
      <c r="AG310">
        <v>39</v>
      </c>
      <c r="AH310">
        <v>7</v>
      </c>
      <c r="AI310">
        <v>9</v>
      </c>
      <c r="AJ310">
        <v>1</v>
      </c>
      <c r="AK310">
        <v>10</v>
      </c>
      <c r="AL310" t="s">
        <v>5888</v>
      </c>
      <c r="AM310" t="s">
        <v>1386</v>
      </c>
      <c r="AN310" t="s">
        <v>5889</v>
      </c>
      <c r="AO310" t="s">
        <v>5890</v>
      </c>
      <c r="AP310" t="s">
        <v>5891</v>
      </c>
      <c r="AQ310" t="s">
        <v>74</v>
      </c>
      <c r="AR310" t="s">
        <v>5892</v>
      </c>
      <c r="AS310" t="s">
        <v>5893</v>
      </c>
      <c r="AT310" t="s">
        <v>315</v>
      </c>
      <c r="AU310">
        <v>2016</v>
      </c>
      <c r="AV310">
        <v>123</v>
      </c>
      <c r="AW310" t="s">
        <v>74</v>
      </c>
      <c r="AX310" t="s">
        <v>74</v>
      </c>
      <c r="AY310" t="s">
        <v>74</v>
      </c>
      <c r="AZ310" t="s">
        <v>74</v>
      </c>
      <c r="BA310" t="s">
        <v>74</v>
      </c>
      <c r="BB310">
        <v>86</v>
      </c>
      <c r="BC310">
        <v>91</v>
      </c>
      <c r="BD310" t="s">
        <v>74</v>
      </c>
      <c r="BE310" t="s">
        <v>5961</v>
      </c>
      <c r="BF310" t="str">
        <f>HYPERLINK("http://dx.doi.org/10.1016/j.dsr2.2015.05.018","http://dx.doi.org/10.1016/j.dsr2.2015.05.018")</f>
        <v>http://dx.doi.org/10.1016/j.dsr2.2015.05.018</v>
      </c>
      <c r="BG310" t="s">
        <v>74</v>
      </c>
      <c r="BH310" t="s">
        <v>74</v>
      </c>
      <c r="BI310">
        <v>6</v>
      </c>
      <c r="BJ310" t="s">
        <v>5339</v>
      </c>
      <c r="BK310" t="s">
        <v>264</v>
      </c>
      <c r="BL310" t="s">
        <v>5339</v>
      </c>
      <c r="BM310" t="s">
        <v>5895</v>
      </c>
      <c r="BN310" t="s">
        <v>74</v>
      </c>
      <c r="BO310" t="s">
        <v>74</v>
      </c>
      <c r="BP310" t="s">
        <v>74</v>
      </c>
      <c r="BQ310" t="s">
        <v>74</v>
      </c>
      <c r="BR310" t="s">
        <v>100</v>
      </c>
      <c r="BS310" t="s">
        <v>5962</v>
      </c>
      <c r="BT310" t="str">
        <f>HYPERLINK("https%3A%2F%2Fwww.webofscience.com%2Fwos%2Fwoscc%2Ffull-record%2FWOS:000370885500010","View Full Record in Web of Science")</f>
        <v>View Full Record in Web of Science</v>
      </c>
    </row>
    <row r="311" spans="1:72" x14ac:dyDescent="0.15">
      <c r="A311" t="s">
        <v>72</v>
      </c>
      <c r="B311" t="s">
        <v>5963</v>
      </c>
      <c r="C311" t="s">
        <v>74</v>
      </c>
      <c r="D311" t="s">
        <v>74</v>
      </c>
      <c r="E311" t="s">
        <v>74</v>
      </c>
      <c r="F311" t="s">
        <v>5964</v>
      </c>
      <c r="G311" t="s">
        <v>74</v>
      </c>
      <c r="H311" t="s">
        <v>74</v>
      </c>
      <c r="I311" t="s">
        <v>5965</v>
      </c>
      <c r="J311" t="s">
        <v>5875</v>
      </c>
      <c r="K311" t="s">
        <v>74</v>
      </c>
      <c r="L311" t="s">
        <v>74</v>
      </c>
      <c r="M311" t="s">
        <v>200</v>
      </c>
      <c r="N311" t="s">
        <v>79</v>
      </c>
      <c r="O311" t="s">
        <v>74</v>
      </c>
      <c r="P311" t="s">
        <v>74</v>
      </c>
      <c r="Q311" t="s">
        <v>74</v>
      </c>
      <c r="R311" t="s">
        <v>74</v>
      </c>
      <c r="S311" t="s">
        <v>74</v>
      </c>
      <c r="T311" t="s">
        <v>5966</v>
      </c>
      <c r="U311" t="s">
        <v>5967</v>
      </c>
      <c r="V311" t="s">
        <v>5968</v>
      </c>
      <c r="W311" t="s">
        <v>5969</v>
      </c>
      <c r="X311" t="s">
        <v>5970</v>
      </c>
      <c r="Y311" t="s">
        <v>5971</v>
      </c>
      <c r="Z311" t="s">
        <v>5972</v>
      </c>
      <c r="AA311" t="s">
        <v>5973</v>
      </c>
      <c r="AB311" t="s">
        <v>5974</v>
      </c>
      <c r="AC311" t="s">
        <v>5975</v>
      </c>
      <c r="AD311" t="s">
        <v>5976</v>
      </c>
      <c r="AE311" t="s">
        <v>5977</v>
      </c>
      <c r="AF311" t="s">
        <v>74</v>
      </c>
      <c r="AG311">
        <v>47</v>
      </c>
      <c r="AH311">
        <v>11</v>
      </c>
      <c r="AI311">
        <v>11</v>
      </c>
      <c r="AJ311">
        <v>2</v>
      </c>
      <c r="AK311">
        <v>27</v>
      </c>
      <c r="AL311" t="s">
        <v>5888</v>
      </c>
      <c r="AM311" t="s">
        <v>1386</v>
      </c>
      <c r="AN311" t="s">
        <v>5889</v>
      </c>
      <c r="AO311" t="s">
        <v>5890</v>
      </c>
      <c r="AP311" t="s">
        <v>5891</v>
      </c>
      <c r="AQ311" t="s">
        <v>74</v>
      </c>
      <c r="AR311" t="s">
        <v>5892</v>
      </c>
      <c r="AS311" t="s">
        <v>5893</v>
      </c>
      <c r="AT311" t="s">
        <v>315</v>
      </c>
      <c r="AU311">
        <v>2016</v>
      </c>
      <c r="AV311">
        <v>123</v>
      </c>
      <c r="AW311" t="s">
        <v>74</v>
      </c>
      <c r="AX311" t="s">
        <v>74</v>
      </c>
      <c r="AY311" t="s">
        <v>74</v>
      </c>
      <c r="AZ311" t="s">
        <v>74</v>
      </c>
      <c r="BA311" t="s">
        <v>74</v>
      </c>
      <c r="BB311">
        <v>126</v>
      </c>
      <c r="BC311">
        <v>134</v>
      </c>
      <c r="BD311" t="s">
        <v>74</v>
      </c>
      <c r="BE311" t="s">
        <v>5978</v>
      </c>
      <c r="BF311" t="str">
        <f>HYPERLINK("http://dx.doi.org/10.1016/j.dsr2.2015.04.027","http://dx.doi.org/10.1016/j.dsr2.2015.04.027")</f>
        <v>http://dx.doi.org/10.1016/j.dsr2.2015.04.027</v>
      </c>
      <c r="BG311" t="s">
        <v>74</v>
      </c>
      <c r="BH311" t="s">
        <v>74</v>
      </c>
      <c r="BI311">
        <v>9</v>
      </c>
      <c r="BJ311" t="s">
        <v>5339</v>
      </c>
      <c r="BK311" t="s">
        <v>264</v>
      </c>
      <c r="BL311" t="s">
        <v>5339</v>
      </c>
      <c r="BM311" t="s">
        <v>5895</v>
      </c>
      <c r="BN311" t="s">
        <v>74</v>
      </c>
      <c r="BO311" t="s">
        <v>74</v>
      </c>
      <c r="BP311" t="s">
        <v>74</v>
      </c>
      <c r="BQ311" t="s">
        <v>74</v>
      </c>
      <c r="BR311" t="s">
        <v>100</v>
      </c>
      <c r="BS311" t="s">
        <v>5979</v>
      </c>
      <c r="BT311" t="str">
        <f>HYPERLINK("https%3A%2F%2Fwww.webofscience.com%2Fwos%2Fwoscc%2Ffull-record%2FWOS:000370885500014","View Full Record in Web of Science")</f>
        <v>View Full Record in Web of Science</v>
      </c>
    </row>
    <row r="312" spans="1:72" x14ac:dyDescent="0.15">
      <c r="A312" t="s">
        <v>72</v>
      </c>
      <c r="B312" t="s">
        <v>5980</v>
      </c>
      <c r="C312" t="s">
        <v>74</v>
      </c>
      <c r="D312" t="s">
        <v>74</v>
      </c>
      <c r="E312" t="s">
        <v>74</v>
      </c>
      <c r="F312" t="s">
        <v>5981</v>
      </c>
      <c r="G312" t="s">
        <v>74</v>
      </c>
      <c r="H312" t="s">
        <v>74</v>
      </c>
      <c r="I312" t="s">
        <v>5982</v>
      </c>
      <c r="J312" t="s">
        <v>5983</v>
      </c>
      <c r="K312" t="s">
        <v>74</v>
      </c>
      <c r="L312" t="s">
        <v>74</v>
      </c>
      <c r="M312" t="s">
        <v>200</v>
      </c>
      <c r="N312" t="s">
        <v>79</v>
      </c>
      <c r="O312" t="s">
        <v>74</v>
      </c>
      <c r="P312" t="s">
        <v>74</v>
      </c>
      <c r="Q312" t="s">
        <v>74</v>
      </c>
      <c r="R312" t="s">
        <v>74</v>
      </c>
      <c r="S312" t="s">
        <v>74</v>
      </c>
      <c r="T312" t="s">
        <v>74</v>
      </c>
      <c r="U312" t="s">
        <v>5984</v>
      </c>
      <c r="V312" t="s">
        <v>5985</v>
      </c>
      <c r="W312" t="s">
        <v>5986</v>
      </c>
      <c r="X312" t="s">
        <v>5987</v>
      </c>
      <c r="Y312" t="s">
        <v>5988</v>
      </c>
      <c r="Z312" t="s">
        <v>5989</v>
      </c>
      <c r="AA312" t="s">
        <v>74</v>
      </c>
      <c r="AB312" t="s">
        <v>5990</v>
      </c>
      <c r="AC312" t="s">
        <v>5991</v>
      </c>
      <c r="AD312" t="s">
        <v>5992</v>
      </c>
      <c r="AE312" t="s">
        <v>5993</v>
      </c>
      <c r="AF312" t="s">
        <v>74</v>
      </c>
      <c r="AG312">
        <v>72</v>
      </c>
      <c r="AH312">
        <v>12</v>
      </c>
      <c r="AI312">
        <v>14</v>
      </c>
      <c r="AJ312">
        <v>0</v>
      </c>
      <c r="AK312">
        <v>25</v>
      </c>
      <c r="AL312" t="s">
        <v>1385</v>
      </c>
      <c r="AM312" t="s">
        <v>1386</v>
      </c>
      <c r="AN312" t="s">
        <v>1387</v>
      </c>
      <c r="AO312" t="s">
        <v>5994</v>
      </c>
      <c r="AP312" t="s">
        <v>5995</v>
      </c>
      <c r="AQ312" t="s">
        <v>74</v>
      </c>
      <c r="AR312" t="s">
        <v>5983</v>
      </c>
      <c r="AS312" t="s">
        <v>5996</v>
      </c>
      <c r="AT312" t="s">
        <v>74</v>
      </c>
      <c r="AU312">
        <v>2016</v>
      </c>
      <c r="AV312">
        <v>8</v>
      </c>
      <c r="AW312">
        <v>1</v>
      </c>
      <c r="AX312" t="s">
        <v>74</v>
      </c>
      <c r="AY312" t="s">
        <v>74</v>
      </c>
      <c r="AZ312" t="s">
        <v>74</v>
      </c>
      <c r="BA312" t="s">
        <v>74</v>
      </c>
      <c r="BB312">
        <v>108</v>
      </c>
      <c r="BC312">
        <v>117</v>
      </c>
      <c r="BD312" t="s">
        <v>74</v>
      </c>
      <c r="BE312" t="s">
        <v>5997</v>
      </c>
      <c r="BF312" t="str">
        <f>HYPERLINK("http://dx.doi.org/10.1039/c5mt00256g","http://dx.doi.org/10.1039/c5mt00256g")</f>
        <v>http://dx.doi.org/10.1039/c5mt00256g</v>
      </c>
      <c r="BG312" t="s">
        <v>74</v>
      </c>
      <c r="BH312" t="s">
        <v>74</v>
      </c>
      <c r="BI312">
        <v>10</v>
      </c>
      <c r="BJ312" t="s">
        <v>5998</v>
      </c>
      <c r="BK312" t="s">
        <v>264</v>
      </c>
      <c r="BL312" t="s">
        <v>5998</v>
      </c>
      <c r="BM312" t="s">
        <v>5999</v>
      </c>
      <c r="BN312">
        <v>26560799</v>
      </c>
      <c r="BO312" t="s">
        <v>74</v>
      </c>
      <c r="BP312" t="s">
        <v>74</v>
      </c>
      <c r="BQ312" t="s">
        <v>74</v>
      </c>
      <c r="BR312" t="s">
        <v>100</v>
      </c>
      <c r="BS312" t="s">
        <v>6000</v>
      </c>
      <c r="BT312" t="str">
        <f>HYPERLINK("https%3A%2F%2Fwww.webofscience.com%2Fwos%2Fwoscc%2Ffull-record%2FWOS:000370970800010","View Full Record in Web of Science")</f>
        <v>View Full Record in Web of Science</v>
      </c>
    </row>
    <row r="313" spans="1:72" x14ac:dyDescent="0.15">
      <c r="A313" t="s">
        <v>72</v>
      </c>
      <c r="B313" t="s">
        <v>6001</v>
      </c>
      <c r="C313" t="s">
        <v>74</v>
      </c>
      <c r="D313" t="s">
        <v>74</v>
      </c>
      <c r="E313" t="s">
        <v>74</v>
      </c>
      <c r="F313" t="s">
        <v>6002</v>
      </c>
      <c r="G313" t="s">
        <v>74</v>
      </c>
      <c r="H313" t="s">
        <v>74</v>
      </c>
      <c r="I313" t="s">
        <v>6003</v>
      </c>
      <c r="J313" t="s">
        <v>6004</v>
      </c>
      <c r="K313" t="s">
        <v>74</v>
      </c>
      <c r="L313" t="s">
        <v>74</v>
      </c>
      <c r="M313" t="s">
        <v>200</v>
      </c>
      <c r="N313" t="s">
        <v>79</v>
      </c>
      <c r="O313" t="s">
        <v>74</v>
      </c>
      <c r="P313" t="s">
        <v>74</v>
      </c>
      <c r="Q313" t="s">
        <v>74</v>
      </c>
      <c r="R313" t="s">
        <v>74</v>
      </c>
      <c r="S313" t="s">
        <v>74</v>
      </c>
      <c r="T313" t="s">
        <v>6005</v>
      </c>
      <c r="U313" t="s">
        <v>6006</v>
      </c>
      <c r="V313" t="s">
        <v>6007</v>
      </c>
      <c r="W313" t="s">
        <v>6008</v>
      </c>
      <c r="X313" t="s">
        <v>6009</v>
      </c>
      <c r="Y313" t="s">
        <v>6010</v>
      </c>
      <c r="Z313" t="s">
        <v>6011</v>
      </c>
      <c r="AA313" t="s">
        <v>6012</v>
      </c>
      <c r="AB313" t="s">
        <v>6013</v>
      </c>
      <c r="AC313" t="s">
        <v>6014</v>
      </c>
      <c r="AD313" t="s">
        <v>6015</v>
      </c>
      <c r="AE313" t="s">
        <v>6016</v>
      </c>
      <c r="AF313" t="s">
        <v>74</v>
      </c>
      <c r="AG313">
        <v>44</v>
      </c>
      <c r="AH313">
        <v>9</v>
      </c>
      <c r="AI313">
        <v>11</v>
      </c>
      <c r="AJ313">
        <v>0</v>
      </c>
      <c r="AK313">
        <v>8</v>
      </c>
      <c r="AL313" t="s">
        <v>3560</v>
      </c>
      <c r="AM313" t="s">
        <v>289</v>
      </c>
      <c r="AN313" t="s">
        <v>5440</v>
      </c>
      <c r="AO313" t="s">
        <v>6017</v>
      </c>
      <c r="AP313" t="s">
        <v>6018</v>
      </c>
      <c r="AQ313" t="s">
        <v>74</v>
      </c>
      <c r="AR313" t="s">
        <v>6019</v>
      </c>
      <c r="AS313" t="s">
        <v>6020</v>
      </c>
      <c r="AT313" t="s">
        <v>315</v>
      </c>
      <c r="AU313">
        <v>2016</v>
      </c>
      <c r="AV313">
        <v>115</v>
      </c>
      <c r="AW313">
        <v>1</v>
      </c>
      <c r="AX313" t="s">
        <v>74</v>
      </c>
      <c r="AY313" t="s">
        <v>74</v>
      </c>
      <c r="AZ313" t="s">
        <v>74</v>
      </c>
      <c r="BA313" t="s">
        <v>74</v>
      </c>
      <c r="BB313">
        <v>131</v>
      </c>
      <c r="BC313">
        <v>141</v>
      </c>
      <c r="BD313" t="s">
        <v>74</v>
      </c>
      <c r="BE313" t="s">
        <v>6021</v>
      </c>
      <c r="BF313" t="str">
        <f>HYPERLINK("http://dx.doi.org/10.1007/s00436-015-4728-0","http://dx.doi.org/10.1007/s00436-015-4728-0")</f>
        <v>http://dx.doi.org/10.1007/s00436-015-4728-0</v>
      </c>
      <c r="BG313" t="s">
        <v>74</v>
      </c>
      <c r="BH313" t="s">
        <v>74</v>
      </c>
      <c r="BI313">
        <v>11</v>
      </c>
      <c r="BJ313" t="s">
        <v>6022</v>
      </c>
      <c r="BK313" t="s">
        <v>264</v>
      </c>
      <c r="BL313" t="s">
        <v>6022</v>
      </c>
      <c r="BM313" t="s">
        <v>6023</v>
      </c>
      <c r="BN313">
        <v>26443684</v>
      </c>
      <c r="BO313" t="s">
        <v>74</v>
      </c>
      <c r="BP313" t="s">
        <v>74</v>
      </c>
      <c r="BQ313" t="s">
        <v>74</v>
      </c>
      <c r="BR313" t="s">
        <v>100</v>
      </c>
      <c r="BS313" t="s">
        <v>6024</v>
      </c>
      <c r="BT313" t="str">
        <f>HYPERLINK("https%3A%2F%2Fwww.webofscience.com%2Fwos%2Fwoscc%2Ffull-record%2FWOS:000370868600013","View Full Record in Web of Science")</f>
        <v>View Full Record in Web of Science</v>
      </c>
    </row>
    <row r="314" spans="1:72" x14ac:dyDescent="0.15">
      <c r="A314" t="s">
        <v>72</v>
      </c>
      <c r="B314" t="s">
        <v>6025</v>
      </c>
      <c r="C314" t="s">
        <v>74</v>
      </c>
      <c r="D314" t="s">
        <v>74</v>
      </c>
      <c r="E314" t="s">
        <v>74</v>
      </c>
      <c r="F314" t="s">
        <v>6026</v>
      </c>
      <c r="G314" t="s">
        <v>74</v>
      </c>
      <c r="H314" t="s">
        <v>74</v>
      </c>
      <c r="I314" t="s">
        <v>6027</v>
      </c>
      <c r="J314" t="s">
        <v>2619</v>
      </c>
      <c r="K314" t="s">
        <v>74</v>
      </c>
      <c r="L314" t="s">
        <v>74</v>
      </c>
      <c r="M314" t="s">
        <v>200</v>
      </c>
      <c r="N314" t="s">
        <v>79</v>
      </c>
      <c r="O314" t="s">
        <v>74</v>
      </c>
      <c r="P314" t="s">
        <v>74</v>
      </c>
      <c r="Q314" t="s">
        <v>74</v>
      </c>
      <c r="R314" t="s">
        <v>74</v>
      </c>
      <c r="S314" t="s">
        <v>74</v>
      </c>
      <c r="T314" t="s">
        <v>6028</v>
      </c>
      <c r="U314" t="s">
        <v>2145</v>
      </c>
      <c r="V314" t="s">
        <v>6029</v>
      </c>
      <c r="W314" t="s">
        <v>6030</v>
      </c>
      <c r="X314" t="s">
        <v>6031</v>
      </c>
      <c r="Y314" t="s">
        <v>6032</v>
      </c>
      <c r="Z314" t="s">
        <v>6033</v>
      </c>
      <c r="AA314" t="s">
        <v>6034</v>
      </c>
      <c r="AB314" t="s">
        <v>6035</v>
      </c>
      <c r="AC314" t="s">
        <v>6036</v>
      </c>
      <c r="AD314" t="s">
        <v>6037</v>
      </c>
      <c r="AE314" t="s">
        <v>6038</v>
      </c>
      <c r="AF314" t="s">
        <v>74</v>
      </c>
      <c r="AG314">
        <v>55</v>
      </c>
      <c r="AH314">
        <v>14</v>
      </c>
      <c r="AI314">
        <v>14</v>
      </c>
      <c r="AJ314">
        <v>2</v>
      </c>
      <c r="AK314">
        <v>37</v>
      </c>
      <c r="AL314" t="s">
        <v>502</v>
      </c>
      <c r="AM314" t="s">
        <v>503</v>
      </c>
      <c r="AN314" t="s">
        <v>504</v>
      </c>
      <c r="AO314" t="s">
        <v>2632</v>
      </c>
      <c r="AP314" t="s">
        <v>2633</v>
      </c>
      <c r="AQ314" t="s">
        <v>74</v>
      </c>
      <c r="AR314" t="s">
        <v>2634</v>
      </c>
      <c r="AS314" t="s">
        <v>2635</v>
      </c>
      <c r="AT314" t="s">
        <v>74</v>
      </c>
      <c r="AU314">
        <v>2016</v>
      </c>
      <c r="AV314">
        <v>35</v>
      </c>
      <c r="AW314" t="s">
        <v>74</v>
      </c>
      <c r="AX314" t="s">
        <v>74</v>
      </c>
      <c r="AY314" t="s">
        <v>74</v>
      </c>
      <c r="AZ314" t="s">
        <v>74</v>
      </c>
      <c r="BA314" t="s">
        <v>74</v>
      </c>
      <c r="BB314" t="s">
        <v>74</v>
      </c>
      <c r="BC314" t="s">
        <v>74</v>
      </c>
      <c r="BD314">
        <v>24980</v>
      </c>
      <c r="BE314" t="s">
        <v>6039</v>
      </c>
      <c r="BF314" t="str">
        <f>HYPERLINK("http://dx.doi.org/10.3402/polar.v35.24980","http://dx.doi.org/10.3402/polar.v35.24980")</f>
        <v>http://dx.doi.org/10.3402/polar.v35.24980</v>
      </c>
      <c r="BG314" t="s">
        <v>74</v>
      </c>
      <c r="BH314" t="s">
        <v>74</v>
      </c>
      <c r="BI314">
        <v>13</v>
      </c>
      <c r="BJ314" t="s">
        <v>2637</v>
      </c>
      <c r="BK314" t="s">
        <v>264</v>
      </c>
      <c r="BL314" t="s">
        <v>2638</v>
      </c>
      <c r="BM314" t="s">
        <v>6040</v>
      </c>
      <c r="BN314" t="s">
        <v>74</v>
      </c>
      <c r="BO314" t="s">
        <v>4294</v>
      </c>
      <c r="BP314" t="s">
        <v>74</v>
      </c>
      <c r="BQ314" t="s">
        <v>74</v>
      </c>
      <c r="BR314" t="s">
        <v>100</v>
      </c>
      <c r="BS314" t="s">
        <v>6041</v>
      </c>
      <c r="BT314" t="str">
        <f>HYPERLINK("https%3A%2F%2Fwww.webofscience.com%2Fwos%2Fwoscc%2Ffull-record%2FWOS:000371024600001","View Full Record in Web of Science")</f>
        <v>View Full Record in Web of Science</v>
      </c>
    </row>
    <row r="315" spans="1:72" x14ac:dyDescent="0.15">
      <c r="A315" t="s">
        <v>72</v>
      </c>
      <c r="B315" t="s">
        <v>6042</v>
      </c>
      <c r="C315" t="s">
        <v>74</v>
      </c>
      <c r="D315" t="s">
        <v>74</v>
      </c>
      <c r="E315" t="s">
        <v>74</v>
      </c>
      <c r="F315" t="s">
        <v>6043</v>
      </c>
      <c r="G315" t="s">
        <v>74</v>
      </c>
      <c r="H315" t="s">
        <v>74</v>
      </c>
      <c r="I315" t="s">
        <v>6044</v>
      </c>
      <c r="J315" t="s">
        <v>6045</v>
      </c>
      <c r="K315" t="s">
        <v>74</v>
      </c>
      <c r="L315" t="s">
        <v>74</v>
      </c>
      <c r="M315" t="s">
        <v>6046</v>
      </c>
      <c r="N315" t="s">
        <v>79</v>
      </c>
      <c r="O315" t="s">
        <v>74</v>
      </c>
      <c r="P315" t="s">
        <v>74</v>
      </c>
      <c r="Q315" t="s">
        <v>74</v>
      </c>
      <c r="R315" t="s">
        <v>74</v>
      </c>
      <c r="S315" t="s">
        <v>74</v>
      </c>
      <c r="T315" t="s">
        <v>6047</v>
      </c>
      <c r="U315" t="s">
        <v>6048</v>
      </c>
      <c r="V315" t="s">
        <v>6049</v>
      </c>
      <c r="W315" t="s">
        <v>6050</v>
      </c>
      <c r="X315" t="s">
        <v>6051</v>
      </c>
      <c r="Y315" t="s">
        <v>6052</v>
      </c>
      <c r="Z315" t="s">
        <v>6053</v>
      </c>
      <c r="AA315" t="s">
        <v>6054</v>
      </c>
      <c r="AB315" t="s">
        <v>6055</v>
      </c>
      <c r="AC315" t="s">
        <v>74</v>
      </c>
      <c r="AD315" t="s">
        <v>74</v>
      </c>
      <c r="AE315" t="s">
        <v>74</v>
      </c>
      <c r="AF315" t="s">
        <v>74</v>
      </c>
      <c r="AG315">
        <v>16</v>
      </c>
      <c r="AH315">
        <v>0</v>
      </c>
      <c r="AI315">
        <v>3</v>
      </c>
      <c r="AJ315">
        <v>0</v>
      </c>
      <c r="AK315">
        <v>14</v>
      </c>
      <c r="AL315" t="s">
        <v>6056</v>
      </c>
      <c r="AM315" t="s">
        <v>6057</v>
      </c>
      <c r="AN315" t="s">
        <v>6058</v>
      </c>
      <c r="AO315" t="s">
        <v>6059</v>
      </c>
      <c r="AP315" t="s">
        <v>74</v>
      </c>
      <c r="AQ315" t="s">
        <v>74</v>
      </c>
      <c r="AR315" t="s">
        <v>6060</v>
      </c>
      <c r="AS315" t="s">
        <v>6061</v>
      </c>
      <c r="AT315" t="s">
        <v>315</v>
      </c>
      <c r="AU315">
        <v>2016</v>
      </c>
      <c r="AV315">
        <v>32</v>
      </c>
      <c r="AW315">
        <v>1</v>
      </c>
      <c r="AX315" t="s">
        <v>74</v>
      </c>
      <c r="AY315" t="s">
        <v>74</v>
      </c>
      <c r="AZ315" t="s">
        <v>74</v>
      </c>
      <c r="BA315" t="s">
        <v>74</v>
      </c>
      <c r="BB315">
        <v>71</v>
      </c>
      <c r="BC315">
        <v>76</v>
      </c>
      <c r="BD315" t="s">
        <v>74</v>
      </c>
      <c r="BE315" t="s">
        <v>74</v>
      </c>
      <c r="BF315" t="s">
        <v>74</v>
      </c>
      <c r="BG315" t="s">
        <v>74</v>
      </c>
      <c r="BH315" t="s">
        <v>74</v>
      </c>
      <c r="BI315">
        <v>6</v>
      </c>
      <c r="BJ315" t="s">
        <v>97</v>
      </c>
      <c r="BK315" t="s">
        <v>264</v>
      </c>
      <c r="BL315" t="s">
        <v>97</v>
      </c>
      <c r="BM315" t="s">
        <v>6062</v>
      </c>
      <c r="BN315" t="s">
        <v>74</v>
      </c>
      <c r="BO315" t="s">
        <v>74</v>
      </c>
      <c r="BP315" t="s">
        <v>74</v>
      </c>
      <c r="BQ315" t="s">
        <v>74</v>
      </c>
      <c r="BR315" t="s">
        <v>100</v>
      </c>
      <c r="BS315" t="s">
        <v>6063</v>
      </c>
      <c r="BT315" t="str">
        <f>HYPERLINK("https%3A%2F%2Fwww.webofscience.com%2Fwos%2Fwoscc%2Ffull-record%2FWOS:000370217700008","View Full Record in Web of Science")</f>
        <v>View Full Record in Web of Science</v>
      </c>
    </row>
    <row r="316" spans="1:72" x14ac:dyDescent="0.15">
      <c r="A316" t="s">
        <v>72</v>
      </c>
      <c r="B316" t="s">
        <v>6064</v>
      </c>
      <c r="C316" t="s">
        <v>74</v>
      </c>
      <c r="D316" t="s">
        <v>74</v>
      </c>
      <c r="E316" t="s">
        <v>74</v>
      </c>
      <c r="F316" t="s">
        <v>6065</v>
      </c>
      <c r="G316" t="s">
        <v>74</v>
      </c>
      <c r="H316" t="s">
        <v>74</v>
      </c>
      <c r="I316" t="s">
        <v>6066</v>
      </c>
      <c r="J316" t="s">
        <v>6067</v>
      </c>
      <c r="K316" t="s">
        <v>74</v>
      </c>
      <c r="L316" t="s">
        <v>74</v>
      </c>
      <c r="M316" t="s">
        <v>200</v>
      </c>
      <c r="N316" t="s">
        <v>79</v>
      </c>
      <c r="O316" t="s">
        <v>74</v>
      </c>
      <c r="P316" t="s">
        <v>74</v>
      </c>
      <c r="Q316" t="s">
        <v>74</v>
      </c>
      <c r="R316" t="s">
        <v>74</v>
      </c>
      <c r="S316" t="s">
        <v>74</v>
      </c>
      <c r="T316" t="s">
        <v>6068</v>
      </c>
      <c r="U316" t="s">
        <v>6069</v>
      </c>
      <c r="V316" t="s">
        <v>6070</v>
      </c>
      <c r="W316" t="s">
        <v>6071</v>
      </c>
      <c r="X316" t="s">
        <v>6072</v>
      </c>
      <c r="Y316" t="s">
        <v>6073</v>
      </c>
      <c r="Z316" t="s">
        <v>6074</v>
      </c>
      <c r="AA316" t="s">
        <v>74</v>
      </c>
      <c r="AB316" t="s">
        <v>6075</v>
      </c>
      <c r="AC316" t="s">
        <v>6076</v>
      </c>
      <c r="AD316" t="s">
        <v>6077</v>
      </c>
      <c r="AE316" t="s">
        <v>6078</v>
      </c>
      <c r="AF316" t="s">
        <v>74</v>
      </c>
      <c r="AG316">
        <v>15</v>
      </c>
      <c r="AH316">
        <v>2</v>
      </c>
      <c r="AI316">
        <v>4</v>
      </c>
      <c r="AJ316">
        <v>0</v>
      </c>
      <c r="AK316">
        <v>4</v>
      </c>
      <c r="AL316" t="s">
        <v>6079</v>
      </c>
      <c r="AM316" t="s">
        <v>6080</v>
      </c>
      <c r="AN316" t="s">
        <v>6081</v>
      </c>
      <c r="AO316" t="s">
        <v>6082</v>
      </c>
      <c r="AP316" t="s">
        <v>6083</v>
      </c>
      <c r="AQ316" t="s">
        <v>74</v>
      </c>
      <c r="AR316" t="s">
        <v>6084</v>
      </c>
      <c r="AS316" t="s">
        <v>6085</v>
      </c>
      <c r="AT316" t="s">
        <v>74</v>
      </c>
      <c r="AU316">
        <v>2016</v>
      </c>
      <c r="AV316">
        <v>55</v>
      </c>
      <c r="AW316">
        <v>1</v>
      </c>
      <c r="AX316" t="s">
        <v>74</v>
      </c>
      <c r="AY316" t="s">
        <v>74</v>
      </c>
      <c r="AZ316" t="s">
        <v>74</v>
      </c>
      <c r="BA316" t="s">
        <v>74</v>
      </c>
      <c r="BB316">
        <v>33</v>
      </c>
      <c r="BC316">
        <v>50</v>
      </c>
      <c r="BD316" t="s">
        <v>74</v>
      </c>
      <c r="BE316" t="s">
        <v>6086</v>
      </c>
      <c r="BF316" t="str">
        <f>HYPERLINK("http://dx.doi.org/10.4467/16890027AP.16.005.4046","http://dx.doi.org/10.4467/16890027AP.16.005.4046")</f>
        <v>http://dx.doi.org/10.4467/16890027AP.16.005.4046</v>
      </c>
      <c r="BG316" t="s">
        <v>74</v>
      </c>
      <c r="BH316" t="s">
        <v>74</v>
      </c>
      <c r="BI316">
        <v>18</v>
      </c>
      <c r="BJ316" t="s">
        <v>5726</v>
      </c>
      <c r="BK316" t="s">
        <v>264</v>
      </c>
      <c r="BL316" t="s">
        <v>5726</v>
      </c>
      <c r="BM316" t="s">
        <v>6087</v>
      </c>
      <c r="BN316" t="s">
        <v>74</v>
      </c>
      <c r="BO316" t="s">
        <v>74</v>
      </c>
      <c r="BP316" t="s">
        <v>74</v>
      </c>
      <c r="BQ316" t="s">
        <v>74</v>
      </c>
      <c r="BR316" t="s">
        <v>100</v>
      </c>
      <c r="BS316" t="s">
        <v>6088</v>
      </c>
      <c r="BT316" t="str">
        <f>HYPERLINK("https%3A%2F%2Fwww.webofscience.com%2Fwos%2Fwoscc%2Ffull-record%2FWOS:000370648800005","View Full Record in Web of Science")</f>
        <v>View Full Record in Web of Science</v>
      </c>
    </row>
    <row r="317" spans="1:72" x14ac:dyDescent="0.15">
      <c r="A317" t="s">
        <v>72</v>
      </c>
      <c r="B317" t="s">
        <v>6089</v>
      </c>
      <c r="C317" t="s">
        <v>74</v>
      </c>
      <c r="D317" t="s">
        <v>74</v>
      </c>
      <c r="E317" t="s">
        <v>74</v>
      </c>
      <c r="F317" t="s">
        <v>6090</v>
      </c>
      <c r="G317" t="s">
        <v>74</v>
      </c>
      <c r="H317" t="s">
        <v>74</v>
      </c>
      <c r="I317" t="s">
        <v>6091</v>
      </c>
      <c r="J317" t="s">
        <v>6092</v>
      </c>
      <c r="K317" t="s">
        <v>74</v>
      </c>
      <c r="L317" t="s">
        <v>74</v>
      </c>
      <c r="M317" t="s">
        <v>200</v>
      </c>
      <c r="N317" t="s">
        <v>79</v>
      </c>
      <c r="O317" t="s">
        <v>74</v>
      </c>
      <c r="P317" t="s">
        <v>74</v>
      </c>
      <c r="Q317" t="s">
        <v>74</v>
      </c>
      <c r="R317" t="s">
        <v>74</v>
      </c>
      <c r="S317" t="s">
        <v>74</v>
      </c>
      <c r="T317" t="s">
        <v>6093</v>
      </c>
      <c r="U317" t="s">
        <v>6094</v>
      </c>
      <c r="V317" t="s">
        <v>6095</v>
      </c>
      <c r="W317" t="s">
        <v>6096</v>
      </c>
      <c r="X317" t="s">
        <v>6097</v>
      </c>
      <c r="Y317" t="s">
        <v>6098</v>
      </c>
      <c r="Z317" t="s">
        <v>6099</v>
      </c>
      <c r="AA317" t="s">
        <v>6100</v>
      </c>
      <c r="AB317" t="s">
        <v>6101</v>
      </c>
      <c r="AC317" t="s">
        <v>74</v>
      </c>
      <c r="AD317" t="s">
        <v>74</v>
      </c>
      <c r="AE317" t="s">
        <v>74</v>
      </c>
      <c r="AF317" t="s">
        <v>74</v>
      </c>
      <c r="AG317">
        <v>40</v>
      </c>
      <c r="AH317">
        <v>7</v>
      </c>
      <c r="AI317">
        <v>7</v>
      </c>
      <c r="AJ317">
        <v>0</v>
      </c>
      <c r="AK317">
        <v>11</v>
      </c>
      <c r="AL317" t="s">
        <v>3560</v>
      </c>
      <c r="AM317" t="s">
        <v>289</v>
      </c>
      <c r="AN317" t="s">
        <v>5440</v>
      </c>
      <c r="AO317" t="s">
        <v>6102</v>
      </c>
      <c r="AP317" t="s">
        <v>6103</v>
      </c>
      <c r="AQ317" t="s">
        <v>74</v>
      </c>
      <c r="AR317" t="s">
        <v>6104</v>
      </c>
      <c r="AS317" t="s">
        <v>6105</v>
      </c>
      <c r="AT317" t="s">
        <v>315</v>
      </c>
      <c r="AU317">
        <v>2016</v>
      </c>
      <c r="AV317">
        <v>46</v>
      </c>
      <c r="AW317" t="s">
        <v>5654</v>
      </c>
      <c r="AX317" t="s">
        <v>74</v>
      </c>
      <c r="AY317" t="s">
        <v>74</v>
      </c>
      <c r="AZ317" t="s">
        <v>74</v>
      </c>
      <c r="BA317" t="s">
        <v>74</v>
      </c>
      <c r="BB317">
        <v>159</v>
      </c>
      <c r="BC317">
        <v>176</v>
      </c>
      <c r="BD317" t="s">
        <v>74</v>
      </c>
      <c r="BE317" t="s">
        <v>6106</v>
      </c>
      <c r="BF317" t="str">
        <f>HYPERLINK("http://dx.doi.org/10.1007/s00382-015-2576-3","http://dx.doi.org/10.1007/s00382-015-2576-3")</f>
        <v>http://dx.doi.org/10.1007/s00382-015-2576-3</v>
      </c>
      <c r="BG317" t="s">
        <v>74</v>
      </c>
      <c r="BH317" t="s">
        <v>74</v>
      </c>
      <c r="BI317">
        <v>18</v>
      </c>
      <c r="BJ317" t="s">
        <v>1721</v>
      </c>
      <c r="BK317" t="s">
        <v>264</v>
      </c>
      <c r="BL317" t="s">
        <v>1721</v>
      </c>
      <c r="BM317" t="s">
        <v>6107</v>
      </c>
      <c r="BN317" t="s">
        <v>74</v>
      </c>
      <c r="BO317" t="s">
        <v>74</v>
      </c>
      <c r="BP317" t="s">
        <v>74</v>
      </c>
      <c r="BQ317" t="s">
        <v>74</v>
      </c>
      <c r="BR317" t="s">
        <v>100</v>
      </c>
      <c r="BS317" t="s">
        <v>6108</v>
      </c>
      <c r="BT317" t="str">
        <f>HYPERLINK("https%3A%2F%2Fwww.webofscience.com%2Fwos%2Fwoscc%2Ffull-record%2FWOS:000370040100013","View Full Record in Web of Science")</f>
        <v>View Full Record in Web of Science</v>
      </c>
    </row>
    <row r="318" spans="1:72" x14ac:dyDescent="0.15">
      <c r="A318" t="s">
        <v>72</v>
      </c>
      <c r="B318" t="s">
        <v>6109</v>
      </c>
      <c r="C318" t="s">
        <v>74</v>
      </c>
      <c r="D318" t="s">
        <v>74</v>
      </c>
      <c r="E318" t="s">
        <v>74</v>
      </c>
      <c r="F318" t="s">
        <v>6110</v>
      </c>
      <c r="G318" t="s">
        <v>74</v>
      </c>
      <c r="H318" t="s">
        <v>74</v>
      </c>
      <c r="I318" t="s">
        <v>6111</v>
      </c>
      <c r="J318" t="s">
        <v>6092</v>
      </c>
      <c r="K318" t="s">
        <v>74</v>
      </c>
      <c r="L318" t="s">
        <v>74</v>
      </c>
      <c r="M318" t="s">
        <v>200</v>
      </c>
      <c r="N318" t="s">
        <v>79</v>
      </c>
      <c r="O318" t="s">
        <v>74</v>
      </c>
      <c r="P318" t="s">
        <v>74</v>
      </c>
      <c r="Q318" t="s">
        <v>74</v>
      </c>
      <c r="R318" t="s">
        <v>74</v>
      </c>
      <c r="S318" t="s">
        <v>74</v>
      </c>
      <c r="T318" t="s">
        <v>6112</v>
      </c>
      <c r="U318" t="s">
        <v>6113</v>
      </c>
      <c r="V318" t="s">
        <v>6114</v>
      </c>
      <c r="W318" t="s">
        <v>6115</v>
      </c>
      <c r="X318" t="s">
        <v>6116</v>
      </c>
      <c r="Y318" t="s">
        <v>6117</v>
      </c>
      <c r="Z318" t="s">
        <v>6118</v>
      </c>
      <c r="AA318" t="s">
        <v>6119</v>
      </c>
      <c r="AB318" t="s">
        <v>6120</v>
      </c>
      <c r="AC318" t="s">
        <v>6121</v>
      </c>
      <c r="AD318" t="s">
        <v>6122</v>
      </c>
      <c r="AE318" t="s">
        <v>6123</v>
      </c>
      <c r="AF318" t="s">
        <v>74</v>
      </c>
      <c r="AG318">
        <v>53</v>
      </c>
      <c r="AH318">
        <v>58</v>
      </c>
      <c r="AI318">
        <v>61</v>
      </c>
      <c r="AJ318">
        <v>0</v>
      </c>
      <c r="AK318">
        <v>26</v>
      </c>
      <c r="AL318" t="s">
        <v>3560</v>
      </c>
      <c r="AM318" t="s">
        <v>289</v>
      </c>
      <c r="AN318" t="s">
        <v>6124</v>
      </c>
      <c r="AO318" t="s">
        <v>6102</v>
      </c>
      <c r="AP318" t="s">
        <v>6103</v>
      </c>
      <c r="AQ318" t="s">
        <v>74</v>
      </c>
      <c r="AR318" t="s">
        <v>6104</v>
      </c>
      <c r="AS318" t="s">
        <v>6105</v>
      </c>
      <c r="AT318" t="s">
        <v>315</v>
      </c>
      <c r="AU318">
        <v>2016</v>
      </c>
      <c r="AV318">
        <v>46</v>
      </c>
      <c r="AW318" t="s">
        <v>5654</v>
      </c>
      <c r="AX318" t="s">
        <v>74</v>
      </c>
      <c r="AY318" t="s">
        <v>74</v>
      </c>
      <c r="AZ318" t="s">
        <v>74</v>
      </c>
      <c r="BA318" t="s">
        <v>74</v>
      </c>
      <c r="BB318">
        <v>263</v>
      </c>
      <c r="BC318">
        <v>271</v>
      </c>
      <c r="BD318" t="s">
        <v>74</v>
      </c>
      <c r="BE318" t="s">
        <v>6125</v>
      </c>
      <c r="BF318" t="str">
        <f>HYPERLINK("http://dx.doi.org/10.1007/s00382-015-2582-5","http://dx.doi.org/10.1007/s00382-015-2582-5")</f>
        <v>http://dx.doi.org/10.1007/s00382-015-2582-5</v>
      </c>
      <c r="BG318" t="s">
        <v>74</v>
      </c>
      <c r="BH318" t="s">
        <v>74</v>
      </c>
      <c r="BI318">
        <v>9</v>
      </c>
      <c r="BJ318" t="s">
        <v>1721</v>
      </c>
      <c r="BK318" t="s">
        <v>264</v>
      </c>
      <c r="BL318" t="s">
        <v>1721</v>
      </c>
      <c r="BM318" t="s">
        <v>6107</v>
      </c>
      <c r="BN318" t="s">
        <v>74</v>
      </c>
      <c r="BO318" t="s">
        <v>74</v>
      </c>
      <c r="BP318" t="s">
        <v>74</v>
      </c>
      <c r="BQ318" t="s">
        <v>74</v>
      </c>
      <c r="BR318" t="s">
        <v>100</v>
      </c>
      <c r="BS318" t="s">
        <v>6126</v>
      </c>
      <c r="BT318" t="str">
        <f>HYPERLINK("https%3A%2F%2Fwww.webofscience.com%2Fwos%2Fwoscc%2Ffull-record%2FWOS:000370040100019","View Full Record in Web of Science")</f>
        <v>View Full Record in Web of Science</v>
      </c>
    </row>
    <row r="319" spans="1:72" x14ac:dyDescent="0.15">
      <c r="A319" t="s">
        <v>72</v>
      </c>
      <c r="B319" t="s">
        <v>6127</v>
      </c>
      <c r="C319" t="s">
        <v>74</v>
      </c>
      <c r="D319" t="s">
        <v>74</v>
      </c>
      <c r="E319" t="s">
        <v>74</v>
      </c>
      <c r="F319" t="s">
        <v>6128</v>
      </c>
      <c r="G319" t="s">
        <v>74</v>
      </c>
      <c r="H319" t="s">
        <v>74</v>
      </c>
      <c r="I319" t="s">
        <v>6129</v>
      </c>
      <c r="J319" t="s">
        <v>6130</v>
      </c>
      <c r="K319" t="s">
        <v>74</v>
      </c>
      <c r="L319" t="s">
        <v>74</v>
      </c>
      <c r="M319" t="s">
        <v>200</v>
      </c>
      <c r="N319" t="s">
        <v>79</v>
      </c>
      <c r="O319" t="s">
        <v>74</v>
      </c>
      <c r="P319" t="s">
        <v>74</v>
      </c>
      <c r="Q319" t="s">
        <v>74</v>
      </c>
      <c r="R319" t="s">
        <v>74</v>
      </c>
      <c r="S319" t="s">
        <v>74</v>
      </c>
      <c r="T319" t="s">
        <v>6131</v>
      </c>
      <c r="U319" t="s">
        <v>6132</v>
      </c>
      <c r="V319" t="s">
        <v>6133</v>
      </c>
      <c r="W319" t="s">
        <v>6134</v>
      </c>
      <c r="X319" t="s">
        <v>6135</v>
      </c>
      <c r="Y319" t="s">
        <v>6136</v>
      </c>
      <c r="Z319" t="s">
        <v>6137</v>
      </c>
      <c r="AA319" t="s">
        <v>6138</v>
      </c>
      <c r="AB319" t="s">
        <v>74</v>
      </c>
      <c r="AC319" t="s">
        <v>74</v>
      </c>
      <c r="AD319" t="s">
        <v>74</v>
      </c>
      <c r="AE319" t="s">
        <v>74</v>
      </c>
      <c r="AF319" t="s">
        <v>74</v>
      </c>
      <c r="AG319">
        <v>35</v>
      </c>
      <c r="AH319">
        <v>9</v>
      </c>
      <c r="AI319">
        <v>10</v>
      </c>
      <c r="AJ319">
        <v>0</v>
      </c>
      <c r="AK319">
        <v>11</v>
      </c>
      <c r="AL319" t="s">
        <v>5110</v>
      </c>
      <c r="AM319" t="s">
        <v>289</v>
      </c>
      <c r="AN319" t="s">
        <v>5111</v>
      </c>
      <c r="AO319" t="s">
        <v>6139</v>
      </c>
      <c r="AP319" t="s">
        <v>6140</v>
      </c>
      <c r="AQ319" t="s">
        <v>74</v>
      </c>
      <c r="AR319" t="s">
        <v>6141</v>
      </c>
      <c r="AS319" t="s">
        <v>6142</v>
      </c>
      <c r="AT319" t="s">
        <v>315</v>
      </c>
      <c r="AU319">
        <v>2016</v>
      </c>
      <c r="AV319">
        <v>54</v>
      </c>
      <c r="AW319">
        <v>1</v>
      </c>
      <c r="AX319" t="s">
        <v>74</v>
      </c>
      <c r="AY319" t="s">
        <v>74</v>
      </c>
      <c r="AZ319" t="s">
        <v>74</v>
      </c>
      <c r="BA319" t="s">
        <v>74</v>
      </c>
      <c r="BB319">
        <v>68</v>
      </c>
      <c r="BC319">
        <v>77</v>
      </c>
      <c r="BD319" t="s">
        <v>74</v>
      </c>
      <c r="BE319" t="s">
        <v>6143</v>
      </c>
      <c r="BF319" t="str">
        <f>HYPERLINK("http://dx.doi.org/10.1134/S0016702916010067","http://dx.doi.org/10.1134/S0016702916010067")</f>
        <v>http://dx.doi.org/10.1134/S0016702916010067</v>
      </c>
      <c r="BG319" t="s">
        <v>74</v>
      </c>
      <c r="BH319" t="s">
        <v>74</v>
      </c>
      <c r="BI319">
        <v>10</v>
      </c>
      <c r="BJ319" t="s">
        <v>4474</v>
      </c>
      <c r="BK319" t="s">
        <v>264</v>
      </c>
      <c r="BL319" t="s">
        <v>4474</v>
      </c>
      <c r="BM319" t="s">
        <v>6144</v>
      </c>
      <c r="BN319" t="s">
        <v>74</v>
      </c>
      <c r="BO319" t="s">
        <v>241</v>
      </c>
      <c r="BP319" t="s">
        <v>74</v>
      </c>
      <c r="BQ319" t="s">
        <v>74</v>
      </c>
      <c r="BR319" t="s">
        <v>100</v>
      </c>
      <c r="BS319" t="s">
        <v>6145</v>
      </c>
      <c r="BT319" t="str">
        <f>HYPERLINK("https%3A%2F%2Fwww.webofscience.com%2Fwos%2Fwoscc%2Ffull-record%2FWOS:000370383100005","View Full Record in Web of Science")</f>
        <v>View Full Record in Web of Science</v>
      </c>
    </row>
    <row r="320" spans="1:72" x14ac:dyDescent="0.15">
      <c r="A320" t="s">
        <v>72</v>
      </c>
      <c r="B320" t="s">
        <v>6146</v>
      </c>
      <c r="C320" t="s">
        <v>74</v>
      </c>
      <c r="D320" t="s">
        <v>74</v>
      </c>
      <c r="E320" t="s">
        <v>74</v>
      </c>
      <c r="F320" t="s">
        <v>6147</v>
      </c>
      <c r="G320" t="s">
        <v>74</v>
      </c>
      <c r="H320" t="s">
        <v>74</v>
      </c>
      <c r="I320" t="s">
        <v>6148</v>
      </c>
      <c r="J320" t="s">
        <v>6149</v>
      </c>
      <c r="K320" t="s">
        <v>74</v>
      </c>
      <c r="L320" t="s">
        <v>74</v>
      </c>
      <c r="M320" t="s">
        <v>200</v>
      </c>
      <c r="N320" t="s">
        <v>79</v>
      </c>
      <c r="O320" t="s">
        <v>74</v>
      </c>
      <c r="P320" t="s">
        <v>74</v>
      </c>
      <c r="Q320" t="s">
        <v>74</v>
      </c>
      <c r="R320" t="s">
        <v>74</v>
      </c>
      <c r="S320" t="s">
        <v>74</v>
      </c>
      <c r="T320" t="s">
        <v>74</v>
      </c>
      <c r="U320" t="s">
        <v>6150</v>
      </c>
      <c r="V320" t="s">
        <v>6151</v>
      </c>
      <c r="W320" t="s">
        <v>6152</v>
      </c>
      <c r="X320" t="s">
        <v>6153</v>
      </c>
      <c r="Y320" t="s">
        <v>6154</v>
      </c>
      <c r="Z320" t="s">
        <v>74</v>
      </c>
      <c r="AA320" t="s">
        <v>6155</v>
      </c>
      <c r="AB320" t="s">
        <v>6156</v>
      </c>
      <c r="AC320" t="s">
        <v>6157</v>
      </c>
      <c r="AD320" t="s">
        <v>6158</v>
      </c>
      <c r="AE320" t="s">
        <v>6159</v>
      </c>
      <c r="AF320" t="s">
        <v>74</v>
      </c>
      <c r="AG320">
        <v>27</v>
      </c>
      <c r="AH320">
        <v>50</v>
      </c>
      <c r="AI320">
        <v>59</v>
      </c>
      <c r="AJ320">
        <v>0</v>
      </c>
      <c r="AK320">
        <v>33</v>
      </c>
      <c r="AL320" t="s">
        <v>6160</v>
      </c>
      <c r="AM320" t="s">
        <v>6161</v>
      </c>
      <c r="AN320" t="s">
        <v>6162</v>
      </c>
      <c r="AO320" t="s">
        <v>6163</v>
      </c>
      <c r="AP320" t="s">
        <v>6164</v>
      </c>
      <c r="AQ320" t="s">
        <v>74</v>
      </c>
      <c r="AR320" t="s">
        <v>6149</v>
      </c>
      <c r="AS320" t="s">
        <v>97</v>
      </c>
      <c r="AT320" t="s">
        <v>315</v>
      </c>
      <c r="AU320">
        <v>2016</v>
      </c>
      <c r="AV320">
        <v>44</v>
      </c>
      <c r="AW320">
        <v>1</v>
      </c>
      <c r="AX320" t="s">
        <v>74</v>
      </c>
      <c r="AY320" t="s">
        <v>74</v>
      </c>
      <c r="AZ320" t="s">
        <v>74</v>
      </c>
      <c r="BA320" t="s">
        <v>74</v>
      </c>
      <c r="BB320">
        <v>7</v>
      </c>
      <c r="BC320">
        <v>10</v>
      </c>
      <c r="BD320" t="s">
        <v>74</v>
      </c>
      <c r="BE320" t="s">
        <v>6165</v>
      </c>
      <c r="BF320" t="str">
        <f>HYPERLINK("http://dx.doi.org/10.1130/G37315.1","http://dx.doi.org/10.1130/G37315.1")</f>
        <v>http://dx.doi.org/10.1130/G37315.1</v>
      </c>
      <c r="BG320" t="s">
        <v>74</v>
      </c>
      <c r="BH320" t="s">
        <v>74</v>
      </c>
      <c r="BI320">
        <v>4</v>
      </c>
      <c r="BJ320" t="s">
        <v>97</v>
      </c>
      <c r="BK320" t="s">
        <v>264</v>
      </c>
      <c r="BL320" t="s">
        <v>97</v>
      </c>
      <c r="BM320" t="s">
        <v>6166</v>
      </c>
      <c r="BN320" t="s">
        <v>74</v>
      </c>
      <c r="BO320" t="s">
        <v>74</v>
      </c>
      <c r="BP320" t="s">
        <v>74</v>
      </c>
      <c r="BQ320" t="s">
        <v>74</v>
      </c>
      <c r="BR320" t="s">
        <v>100</v>
      </c>
      <c r="BS320" t="s">
        <v>6167</v>
      </c>
      <c r="BT320" t="str">
        <f>HYPERLINK("https%3A%2F%2Fwww.webofscience.com%2Fwos%2Fwoscc%2Ffull-record%2FWOS:000370074800005","View Full Record in Web of Science")</f>
        <v>View Full Record in Web of Science</v>
      </c>
    </row>
    <row r="321" spans="1:72" x14ac:dyDescent="0.15">
      <c r="A321" t="s">
        <v>72</v>
      </c>
      <c r="B321" t="s">
        <v>6168</v>
      </c>
      <c r="C321" t="s">
        <v>74</v>
      </c>
      <c r="D321" t="s">
        <v>74</v>
      </c>
      <c r="E321" t="s">
        <v>74</v>
      </c>
      <c r="F321" t="s">
        <v>6169</v>
      </c>
      <c r="G321" t="s">
        <v>74</v>
      </c>
      <c r="H321" t="s">
        <v>74</v>
      </c>
      <c r="I321" t="s">
        <v>6170</v>
      </c>
      <c r="J321" t="s">
        <v>6171</v>
      </c>
      <c r="K321" t="s">
        <v>74</v>
      </c>
      <c r="L321" t="s">
        <v>74</v>
      </c>
      <c r="M321" t="s">
        <v>200</v>
      </c>
      <c r="N321" t="s">
        <v>79</v>
      </c>
      <c r="O321" t="s">
        <v>74</v>
      </c>
      <c r="P321" t="s">
        <v>74</v>
      </c>
      <c r="Q321" t="s">
        <v>74</v>
      </c>
      <c r="R321" t="s">
        <v>74</v>
      </c>
      <c r="S321" t="s">
        <v>74</v>
      </c>
      <c r="T321" t="s">
        <v>6172</v>
      </c>
      <c r="U321" t="s">
        <v>6173</v>
      </c>
      <c r="V321" t="s">
        <v>6174</v>
      </c>
      <c r="W321" t="s">
        <v>6175</v>
      </c>
      <c r="X321" t="s">
        <v>6176</v>
      </c>
      <c r="Y321" t="s">
        <v>6177</v>
      </c>
      <c r="Z321" t="s">
        <v>6178</v>
      </c>
      <c r="AA321" t="s">
        <v>6179</v>
      </c>
      <c r="AB321" t="s">
        <v>6180</v>
      </c>
      <c r="AC321" t="s">
        <v>6181</v>
      </c>
      <c r="AD321" t="s">
        <v>6182</v>
      </c>
      <c r="AE321" t="s">
        <v>6183</v>
      </c>
      <c r="AF321" t="s">
        <v>74</v>
      </c>
      <c r="AG321">
        <v>111</v>
      </c>
      <c r="AH321">
        <v>22</v>
      </c>
      <c r="AI321">
        <v>25</v>
      </c>
      <c r="AJ321">
        <v>3</v>
      </c>
      <c r="AK321">
        <v>34</v>
      </c>
      <c r="AL321" t="s">
        <v>2410</v>
      </c>
      <c r="AM321" t="s">
        <v>1559</v>
      </c>
      <c r="AN321" t="s">
        <v>2411</v>
      </c>
      <c r="AO321" t="s">
        <v>6184</v>
      </c>
      <c r="AP321" t="s">
        <v>6185</v>
      </c>
      <c r="AQ321" t="s">
        <v>74</v>
      </c>
      <c r="AR321" t="s">
        <v>6171</v>
      </c>
      <c r="AS321" t="s">
        <v>6186</v>
      </c>
      <c r="AT321" t="s">
        <v>315</v>
      </c>
      <c r="AU321">
        <v>2016</v>
      </c>
      <c r="AV321">
        <v>31</v>
      </c>
      <c r="AW321">
        <v>1</v>
      </c>
      <c r="AX321" t="s">
        <v>74</v>
      </c>
      <c r="AY321" t="s">
        <v>74</v>
      </c>
      <c r="AZ321" t="s">
        <v>74</v>
      </c>
      <c r="BA321" t="s">
        <v>74</v>
      </c>
      <c r="BB321">
        <v>131</v>
      </c>
      <c r="BC321">
        <v>147</v>
      </c>
      <c r="BD321" t="s">
        <v>74</v>
      </c>
      <c r="BE321" t="s">
        <v>6187</v>
      </c>
      <c r="BF321" t="str">
        <f>HYPERLINK("http://dx.doi.org/10.1002/2015PA002785","http://dx.doi.org/10.1002/2015PA002785")</f>
        <v>http://dx.doi.org/10.1002/2015PA002785</v>
      </c>
      <c r="BG321" t="s">
        <v>74</v>
      </c>
      <c r="BH321" t="s">
        <v>74</v>
      </c>
      <c r="BI321">
        <v>17</v>
      </c>
      <c r="BJ321" t="s">
        <v>6188</v>
      </c>
      <c r="BK321" t="s">
        <v>264</v>
      </c>
      <c r="BL321" t="s">
        <v>6189</v>
      </c>
      <c r="BM321" t="s">
        <v>6190</v>
      </c>
      <c r="BN321" t="s">
        <v>74</v>
      </c>
      <c r="BO321" t="s">
        <v>241</v>
      </c>
      <c r="BP321" t="s">
        <v>74</v>
      </c>
      <c r="BQ321" t="s">
        <v>74</v>
      </c>
      <c r="BR321" t="s">
        <v>100</v>
      </c>
      <c r="BS321" t="s">
        <v>6191</v>
      </c>
      <c r="BT321" t="str">
        <f>HYPERLINK("https%3A%2F%2Fwww.webofscience.com%2Fwos%2Fwoscc%2Ffull-record%2FWOS:000370351800008","View Full Record in Web of Science")</f>
        <v>View Full Record in Web of Science</v>
      </c>
    </row>
    <row r="322" spans="1:72" x14ac:dyDescent="0.15">
      <c r="A322" t="s">
        <v>72</v>
      </c>
      <c r="B322" t="s">
        <v>6192</v>
      </c>
      <c r="C322" t="s">
        <v>74</v>
      </c>
      <c r="D322" t="s">
        <v>74</v>
      </c>
      <c r="E322" t="s">
        <v>74</v>
      </c>
      <c r="F322" t="s">
        <v>6193</v>
      </c>
      <c r="G322" t="s">
        <v>74</v>
      </c>
      <c r="H322" t="s">
        <v>74</v>
      </c>
      <c r="I322" t="s">
        <v>6194</v>
      </c>
      <c r="J322" t="s">
        <v>6171</v>
      </c>
      <c r="K322" t="s">
        <v>74</v>
      </c>
      <c r="L322" t="s">
        <v>74</v>
      </c>
      <c r="M322" t="s">
        <v>200</v>
      </c>
      <c r="N322" t="s">
        <v>79</v>
      </c>
      <c r="O322" t="s">
        <v>74</v>
      </c>
      <c r="P322" t="s">
        <v>74</v>
      </c>
      <c r="Q322" t="s">
        <v>74</v>
      </c>
      <c r="R322" t="s">
        <v>74</v>
      </c>
      <c r="S322" t="s">
        <v>74</v>
      </c>
      <c r="T322" t="s">
        <v>6195</v>
      </c>
      <c r="U322" t="s">
        <v>6196</v>
      </c>
      <c r="V322" t="s">
        <v>6197</v>
      </c>
      <c r="W322" t="s">
        <v>6198</v>
      </c>
      <c r="X322" t="s">
        <v>6199</v>
      </c>
      <c r="Y322" t="s">
        <v>6200</v>
      </c>
      <c r="Z322" t="s">
        <v>6201</v>
      </c>
      <c r="AA322" t="s">
        <v>6202</v>
      </c>
      <c r="AB322" t="s">
        <v>6203</v>
      </c>
      <c r="AC322" t="s">
        <v>6204</v>
      </c>
      <c r="AD322" t="s">
        <v>6204</v>
      </c>
      <c r="AE322" t="s">
        <v>6205</v>
      </c>
      <c r="AF322" t="s">
        <v>74</v>
      </c>
      <c r="AG322">
        <v>95</v>
      </c>
      <c r="AH322">
        <v>29</v>
      </c>
      <c r="AI322">
        <v>32</v>
      </c>
      <c r="AJ322">
        <v>5</v>
      </c>
      <c r="AK322">
        <v>55</v>
      </c>
      <c r="AL322" t="s">
        <v>2410</v>
      </c>
      <c r="AM322" t="s">
        <v>1559</v>
      </c>
      <c r="AN322" t="s">
        <v>2411</v>
      </c>
      <c r="AO322" t="s">
        <v>6184</v>
      </c>
      <c r="AP322" t="s">
        <v>6185</v>
      </c>
      <c r="AQ322" t="s">
        <v>74</v>
      </c>
      <c r="AR322" t="s">
        <v>6171</v>
      </c>
      <c r="AS322" t="s">
        <v>6186</v>
      </c>
      <c r="AT322" t="s">
        <v>315</v>
      </c>
      <c r="AU322">
        <v>2016</v>
      </c>
      <c r="AV322">
        <v>31</v>
      </c>
      <c r="AW322">
        <v>1</v>
      </c>
      <c r="AX322" t="s">
        <v>74</v>
      </c>
      <c r="AY322" t="s">
        <v>74</v>
      </c>
      <c r="AZ322" t="s">
        <v>74</v>
      </c>
      <c r="BA322" t="s">
        <v>74</v>
      </c>
      <c r="BB322">
        <v>167</v>
      </c>
      <c r="BC322">
        <v>184</v>
      </c>
      <c r="BD322" t="s">
        <v>74</v>
      </c>
      <c r="BE322" t="s">
        <v>6206</v>
      </c>
      <c r="BF322" t="str">
        <f>HYPERLINK("http://dx.doi.org/10.1002/2015PA002881","http://dx.doi.org/10.1002/2015PA002881")</f>
        <v>http://dx.doi.org/10.1002/2015PA002881</v>
      </c>
      <c r="BG322" t="s">
        <v>74</v>
      </c>
      <c r="BH322" t="s">
        <v>74</v>
      </c>
      <c r="BI322">
        <v>18</v>
      </c>
      <c r="BJ322" t="s">
        <v>6188</v>
      </c>
      <c r="BK322" t="s">
        <v>264</v>
      </c>
      <c r="BL322" t="s">
        <v>6189</v>
      </c>
      <c r="BM322" t="s">
        <v>6190</v>
      </c>
      <c r="BN322" t="s">
        <v>74</v>
      </c>
      <c r="BO322" t="s">
        <v>3183</v>
      </c>
      <c r="BP322" t="s">
        <v>74</v>
      </c>
      <c r="BQ322" t="s">
        <v>74</v>
      </c>
      <c r="BR322" t="s">
        <v>100</v>
      </c>
      <c r="BS322" t="s">
        <v>6207</v>
      </c>
      <c r="BT322" t="str">
        <f>HYPERLINK("https%3A%2F%2Fwww.webofscience.com%2Fwos%2Fwoscc%2Ffull-record%2FWOS:000370351800010","View Full Record in Web of Science")</f>
        <v>View Full Record in Web of Science</v>
      </c>
    </row>
    <row r="323" spans="1:72" x14ac:dyDescent="0.15">
      <c r="A323" t="s">
        <v>72</v>
      </c>
      <c r="B323" t="s">
        <v>6208</v>
      </c>
      <c r="C323" t="s">
        <v>74</v>
      </c>
      <c r="D323" t="s">
        <v>74</v>
      </c>
      <c r="E323" t="s">
        <v>74</v>
      </c>
      <c r="F323" t="s">
        <v>6209</v>
      </c>
      <c r="G323" t="s">
        <v>74</v>
      </c>
      <c r="H323" t="s">
        <v>74</v>
      </c>
      <c r="I323" t="s">
        <v>6210</v>
      </c>
      <c r="J323" t="s">
        <v>6211</v>
      </c>
      <c r="K323" t="s">
        <v>74</v>
      </c>
      <c r="L323" t="s">
        <v>74</v>
      </c>
      <c r="M323" t="s">
        <v>200</v>
      </c>
      <c r="N323" t="s">
        <v>79</v>
      </c>
      <c r="O323" t="s">
        <v>74</v>
      </c>
      <c r="P323" t="s">
        <v>74</v>
      </c>
      <c r="Q323" t="s">
        <v>74</v>
      </c>
      <c r="R323" t="s">
        <v>74</v>
      </c>
      <c r="S323" t="s">
        <v>74</v>
      </c>
      <c r="T323" t="s">
        <v>74</v>
      </c>
      <c r="U323" t="s">
        <v>74</v>
      </c>
      <c r="V323" t="s">
        <v>74</v>
      </c>
      <c r="W323" t="s">
        <v>6212</v>
      </c>
      <c r="X323" t="s">
        <v>74</v>
      </c>
      <c r="Y323" t="s">
        <v>6213</v>
      </c>
      <c r="Z323" t="s">
        <v>74</v>
      </c>
      <c r="AA323" t="s">
        <v>74</v>
      </c>
      <c r="AB323" t="s">
        <v>74</v>
      </c>
      <c r="AC323" t="s">
        <v>74</v>
      </c>
      <c r="AD323" t="s">
        <v>74</v>
      </c>
      <c r="AE323" t="s">
        <v>74</v>
      </c>
      <c r="AF323" t="s">
        <v>74</v>
      </c>
      <c r="AG323">
        <v>0</v>
      </c>
      <c r="AH323">
        <v>0</v>
      </c>
      <c r="AI323">
        <v>0</v>
      </c>
      <c r="AJ323">
        <v>0</v>
      </c>
      <c r="AK323">
        <v>1</v>
      </c>
      <c r="AL323" t="s">
        <v>6214</v>
      </c>
      <c r="AM323" t="s">
        <v>6215</v>
      </c>
      <c r="AN323" t="s">
        <v>6216</v>
      </c>
      <c r="AO323" t="s">
        <v>6217</v>
      </c>
      <c r="AP323" t="s">
        <v>74</v>
      </c>
      <c r="AQ323" t="s">
        <v>74</v>
      </c>
      <c r="AR323" t="s">
        <v>6218</v>
      </c>
      <c r="AS323" t="s">
        <v>6219</v>
      </c>
      <c r="AT323" t="s">
        <v>315</v>
      </c>
      <c r="AU323">
        <v>2016</v>
      </c>
      <c r="AV323">
        <v>57</v>
      </c>
      <c r="AW323">
        <v>1</v>
      </c>
      <c r="AX323" t="s">
        <v>74</v>
      </c>
      <c r="AY323" t="s">
        <v>74</v>
      </c>
      <c r="AZ323" t="s">
        <v>74</v>
      </c>
      <c r="BA323" t="s">
        <v>74</v>
      </c>
      <c r="BB323">
        <v>46</v>
      </c>
      <c r="BC323">
        <v>47</v>
      </c>
      <c r="BD323" t="s">
        <v>74</v>
      </c>
      <c r="BE323" t="s">
        <v>74</v>
      </c>
      <c r="BF323" t="s">
        <v>74</v>
      </c>
      <c r="BG323" t="s">
        <v>74</v>
      </c>
      <c r="BH323" t="s">
        <v>74</v>
      </c>
      <c r="BI323">
        <v>2</v>
      </c>
      <c r="BJ323" t="s">
        <v>571</v>
      </c>
      <c r="BK323" t="s">
        <v>264</v>
      </c>
      <c r="BL323" t="s">
        <v>572</v>
      </c>
      <c r="BM323" t="s">
        <v>6220</v>
      </c>
      <c r="BN323" t="s">
        <v>74</v>
      </c>
      <c r="BO323" t="s">
        <v>74</v>
      </c>
      <c r="BP323" t="s">
        <v>74</v>
      </c>
      <c r="BQ323" t="s">
        <v>74</v>
      </c>
      <c r="BR323" t="s">
        <v>100</v>
      </c>
      <c r="BS323" t="s">
        <v>6221</v>
      </c>
      <c r="BT323" t="str">
        <f>HYPERLINK("https%3A%2F%2Fwww.webofscience.com%2Fwos%2Fwoscc%2Ffull-record%2FWOS:000370310200021","View Full Record in Web of Science")</f>
        <v>View Full Record in Web of Science</v>
      </c>
    </row>
    <row r="324" spans="1:72" x14ac:dyDescent="0.15">
      <c r="A324" t="s">
        <v>219</v>
      </c>
      <c r="B324" t="s">
        <v>6222</v>
      </c>
      <c r="C324" t="s">
        <v>74</v>
      </c>
      <c r="D324" t="s">
        <v>6223</v>
      </c>
      <c r="E324" t="s">
        <v>74</v>
      </c>
      <c r="F324" t="s">
        <v>6224</v>
      </c>
      <c r="G324" t="s">
        <v>74</v>
      </c>
      <c r="H324" t="s">
        <v>74</v>
      </c>
      <c r="I324" t="s">
        <v>6225</v>
      </c>
      <c r="J324" t="s">
        <v>6226</v>
      </c>
      <c r="K324" t="s">
        <v>74</v>
      </c>
      <c r="L324" t="s">
        <v>74</v>
      </c>
      <c r="M324" t="s">
        <v>200</v>
      </c>
      <c r="N324" t="s">
        <v>201</v>
      </c>
      <c r="O324" t="s">
        <v>74</v>
      </c>
      <c r="P324" t="s">
        <v>74</v>
      </c>
      <c r="Q324" t="s">
        <v>74</v>
      </c>
      <c r="R324" t="s">
        <v>74</v>
      </c>
      <c r="S324" t="s">
        <v>74</v>
      </c>
      <c r="T324" t="s">
        <v>74</v>
      </c>
      <c r="U324" t="s">
        <v>6227</v>
      </c>
      <c r="V324" t="s">
        <v>74</v>
      </c>
      <c r="W324" t="s">
        <v>6228</v>
      </c>
      <c r="X324" t="s">
        <v>6229</v>
      </c>
      <c r="Y324" t="s">
        <v>6230</v>
      </c>
      <c r="Z324" t="s">
        <v>74</v>
      </c>
      <c r="AA324" t="s">
        <v>6231</v>
      </c>
      <c r="AB324" t="s">
        <v>6232</v>
      </c>
      <c r="AC324" t="s">
        <v>74</v>
      </c>
      <c r="AD324" t="s">
        <v>74</v>
      </c>
      <c r="AE324" t="s">
        <v>74</v>
      </c>
      <c r="AF324" t="s">
        <v>74</v>
      </c>
      <c r="AG324">
        <v>100</v>
      </c>
      <c r="AH324">
        <v>7</v>
      </c>
      <c r="AI324">
        <v>7</v>
      </c>
      <c r="AJ324">
        <v>0</v>
      </c>
      <c r="AK324">
        <v>4</v>
      </c>
      <c r="AL324" t="s">
        <v>6233</v>
      </c>
      <c r="AM324" t="s">
        <v>2100</v>
      </c>
      <c r="AN324" t="s">
        <v>6234</v>
      </c>
      <c r="AO324" t="s">
        <v>74</v>
      </c>
      <c r="AP324" t="s">
        <v>74</v>
      </c>
      <c r="AQ324" t="s">
        <v>6235</v>
      </c>
      <c r="AR324" t="s">
        <v>74</v>
      </c>
      <c r="AS324" t="s">
        <v>74</v>
      </c>
      <c r="AT324" t="s">
        <v>74</v>
      </c>
      <c r="AU324">
        <v>2016</v>
      </c>
      <c r="AV324" t="s">
        <v>74</v>
      </c>
      <c r="AW324" t="s">
        <v>74</v>
      </c>
      <c r="AX324" t="s">
        <v>74</v>
      </c>
      <c r="AY324" t="s">
        <v>74</v>
      </c>
      <c r="AZ324" t="s">
        <v>74</v>
      </c>
      <c r="BA324" t="s">
        <v>74</v>
      </c>
      <c r="BB324">
        <v>247</v>
      </c>
      <c r="BC324">
        <v>267</v>
      </c>
      <c r="BD324" t="s">
        <v>74</v>
      </c>
      <c r="BE324" t="s">
        <v>6236</v>
      </c>
      <c r="BF324" t="str">
        <f>HYPERLINK("http://dx.doi.org/10.1016/B978-0-12-802148-4.00013-X","http://dx.doi.org/10.1016/B978-0-12-802148-4.00013-X")</f>
        <v>http://dx.doi.org/10.1016/B978-0-12-802148-4.00013-X</v>
      </c>
      <c r="BG324" t="s">
        <v>74</v>
      </c>
      <c r="BH324" t="s">
        <v>74</v>
      </c>
      <c r="BI324">
        <v>21</v>
      </c>
      <c r="BJ324" t="s">
        <v>6237</v>
      </c>
      <c r="BK324" t="s">
        <v>216</v>
      </c>
      <c r="BL324" t="s">
        <v>6237</v>
      </c>
      <c r="BM324" t="s">
        <v>6238</v>
      </c>
      <c r="BN324" t="s">
        <v>74</v>
      </c>
      <c r="BO324" t="s">
        <v>74</v>
      </c>
      <c r="BP324" t="s">
        <v>74</v>
      </c>
      <c r="BQ324" t="s">
        <v>74</v>
      </c>
      <c r="BR324" t="s">
        <v>100</v>
      </c>
      <c r="BS324" t="s">
        <v>6239</v>
      </c>
      <c r="BT324" t="str">
        <f>HYPERLINK("https%3A%2F%2Fwww.webofscience.com%2Fwos%2Fwoscc%2Ffull-record%2FWOS:000369832800015","View Full Record in Web of Science")</f>
        <v>View Full Record in Web of Science</v>
      </c>
    </row>
    <row r="325" spans="1:72" x14ac:dyDescent="0.15">
      <c r="A325" t="s">
        <v>72</v>
      </c>
      <c r="B325" t="s">
        <v>6240</v>
      </c>
      <c r="C325" t="s">
        <v>74</v>
      </c>
      <c r="D325" t="s">
        <v>74</v>
      </c>
      <c r="E325" t="s">
        <v>74</v>
      </c>
      <c r="F325" t="s">
        <v>6241</v>
      </c>
      <c r="G325" t="s">
        <v>74</v>
      </c>
      <c r="H325" t="s">
        <v>74</v>
      </c>
      <c r="I325" t="s">
        <v>6242</v>
      </c>
      <c r="J325" t="s">
        <v>3725</v>
      </c>
      <c r="K325" t="s">
        <v>74</v>
      </c>
      <c r="L325" t="s">
        <v>74</v>
      </c>
      <c r="M325" t="s">
        <v>200</v>
      </c>
      <c r="N325" t="s">
        <v>79</v>
      </c>
      <c r="O325" t="s">
        <v>74</v>
      </c>
      <c r="P325" t="s">
        <v>74</v>
      </c>
      <c r="Q325" t="s">
        <v>74</v>
      </c>
      <c r="R325" t="s">
        <v>74</v>
      </c>
      <c r="S325" t="s">
        <v>74</v>
      </c>
      <c r="T325" t="s">
        <v>6243</v>
      </c>
      <c r="U325" t="s">
        <v>6244</v>
      </c>
      <c r="V325" t="s">
        <v>6245</v>
      </c>
      <c r="W325" t="s">
        <v>6246</v>
      </c>
      <c r="X325" t="s">
        <v>6247</v>
      </c>
      <c r="Y325" t="s">
        <v>6248</v>
      </c>
      <c r="Z325" t="s">
        <v>6249</v>
      </c>
      <c r="AA325" t="s">
        <v>6250</v>
      </c>
      <c r="AB325" t="s">
        <v>6251</v>
      </c>
      <c r="AC325" t="s">
        <v>6252</v>
      </c>
      <c r="AD325" t="s">
        <v>6252</v>
      </c>
      <c r="AE325" t="s">
        <v>6253</v>
      </c>
      <c r="AF325" t="s">
        <v>74</v>
      </c>
      <c r="AG325">
        <v>62</v>
      </c>
      <c r="AH325">
        <v>18</v>
      </c>
      <c r="AI325">
        <v>20</v>
      </c>
      <c r="AJ325">
        <v>1</v>
      </c>
      <c r="AK325">
        <v>25</v>
      </c>
      <c r="AL325" t="s">
        <v>3735</v>
      </c>
      <c r="AM325" t="s">
        <v>3736</v>
      </c>
      <c r="AN325" t="s">
        <v>3737</v>
      </c>
      <c r="AO325" t="s">
        <v>3738</v>
      </c>
      <c r="AP325" t="s">
        <v>3739</v>
      </c>
      <c r="AQ325" t="s">
        <v>74</v>
      </c>
      <c r="AR325" t="s">
        <v>3740</v>
      </c>
      <c r="AS325" t="s">
        <v>3741</v>
      </c>
      <c r="AT325" t="s">
        <v>74</v>
      </c>
      <c r="AU325">
        <v>2016</v>
      </c>
      <c r="AV325">
        <v>29</v>
      </c>
      <c r="AW325">
        <v>3</v>
      </c>
      <c r="AX325" t="s">
        <v>74</v>
      </c>
      <c r="AY325" t="s">
        <v>74</v>
      </c>
      <c r="AZ325" t="s">
        <v>74</v>
      </c>
      <c r="BA325" t="s">
        <v>74</v>
      </c>
      <c r="BB325">
        <v>201</v>
      </c>
      <c r="BC325">
        <v>209</v>
      </c>
      <c r="BD325" t="s">
        <v>74</v>
      </c>
      <c r="BE325" t="s">
        <v>6254</v>
      </c>
      <c r="BF325" t="str">
        <f>HYPERLINK("http://dx.doi.org/10.3354/esr00712","http://dx.doi.org/10.3354/esr00712")</f>
        <v>http://dx.doi.org/10.3354/esr00712</v>
      </c>
      <c r="BG325" t="s">
        <v>74</v>
      </c>
      <c r="BH325" t="s">
        <v>74</v>
      </c>
      <c r="BI325">
        <v>9</v>
      </c>
      <c r="BJ325" t="s">
        <v>3743</v>
      </c>
      <c r="BK325" t="s">
        <v>264</v>
      </c>
      <c r="BL325" t="s">
        <v>3744</v>
      </c>
      <c r="BM325" t="s">
        <v>6255</v>
      </c>
      <c r="BN325" t="s">
        <v>74</v>
      </c>
      <c r="BO325" t="s">
        <v>2134</v>
      </c>
      <c r="BP325" t="s">
        <v>74</v>
      </c>
      <c r="BQ325" t="s">
        <v>74</v>
      </c>
      <c r="BR325" t="s">
        <v>100</v>
      </c>
      <c r="BS325" t="s">
        <v>6256</v>
      </c>
      <c r="BT325" t="str">
        <f>HYPERLINK("https%3A%2F%2Fwww.webofscience.com%2Fwos%2Fwoscc%2Ffull-record%2FWOS:000370181900002","View Full Record in Web of Science")</f>
        <v>View Full Record in Web of Science</v>
      </c>
    </row>
    <row r="326" spans="1:72" x14ac:dyDescent="0.15">
      <c r="A326" t="s">
        <v>72</v>
      </c>
      <c r="B326" t="s">
        <v>6257</v>
      </c>
      <c r="C326" t="s">
        <v>74</v>
      </c>
      <c r="D326" t="s">
        <v>74</v>
      </c>
      <c r="E326" t="s">
        <v>74</v>
      </c>
      <c r="F326" t="s">
        <v>6258</v>
      </c>
      <c r="G326" t="s">
        <v>74</v>
      </c>
      <c r="H326" t="s">
        <v>74</v>
      </c>
      <c r="I326" t="s">
        <v>6259</v>
      </c>
      <c r="J326" t="s">
        <v>6260</v>
      </c>
      <c r="K326" t="s">
        <v>74</v>
      </c>
      <c r="L326" t="s">
        <v>74</v>
      </c>
      <c r="M326" t="s">
        <v>200</v>
      </c>
      <c r="N326" t="s">
        <v>79</v>
      </c>
      <c r="O326" t="s">
        <v>74</v>
      </c>
      <c r="P326" t="s">
        <v>74</v>
      </c>
      <c r="Q326" t="s">
        <v>74</v>
      </c>
      <c r="R326" t="s">
        <v>74</v>
      </c>
      <c r="S326" t="s">
        <v>74</v>
      </c>
      <c r="T326" t="s">
        <v>6261</v>
      </c>
      <c r="U326" t="s">
        <v>6262</v>
      </c>
      <c r="V326" t="s">
        <v>6263</v>
      </c>
      <c r="W326" t="s">
        <v>6264</v>
      </c>
      <c r="X326" t="s">
        <v>6265</v>
      </c>
      <c r="Y326" t="s">
        <v>6266</v>
      </c>
      <c r="Z326" t="s">
        <v>6267</v>
      </c>
      <c r="AA326" t="s">
        <v>6268</v>
      </c>
      <c r="AB326" t="s">
        <v>6269</v>
      </c>
      <c r="AC326" t="s">
        <v>6270</v>
      </c>
      <c r="AD326" t="s">
        <v>6271</v>
      </c>
      <c r="AE326" t="s">
        <v>6272</v>
      </c>
      <c r="AF326" t="s">
        <v>74</v>
      </c>
      <c r="AG326">
        <v>136</v>
      </c>
      <c r="AH326">
        <v>7</v>
      </c>
      <c r="AI326">
        <v>8</v>
      </c>
      <c r="AJ326">
        <v>0</v>
      </c>
      <c r="AK326">
        <v>6</v>
      </c>
      <c r="AL326" t="s">
        <v>358</v>
      </c>
      <c r="AM326" t="s">
        <v>359</v>
      </c>
      <c r="AN326" t="s">
        <v>3238</v>
      </c>
      <c r="AO326" t="s">
        <v>6273</v>
      </c>
      <c r="AP326" t="s">
        <v>6274</v>
      </c>
      <c r="AQ326" t="s">
        <v>74</v>
      </c>
      <c r="AR326" t="s">
        <v>6275</v>
      </c>
      <c r="AS326" t="s">
        <v>6276</v>
      </c>
      <c r="AT326" t="s">
        <v>315</v>
      </c>
      <c r="AU326">
        <v>2016</v>
      </c>
      <c r="AV326">
        <v>35</v>
      </c>
      <c r="AW326" t="s">
        <v>74</v>
      </c>
      <c r="AX326">
        <v>1</v>
      </c>
      <c r="AY326" t="s">
        <v>74</v>
      </c>
      <c r="AZ326" t="s">
        <v>74</v>
      </c>
      <c r="BA326" t="s">
        <v>74</v>
      </c>
      <c r="BB326">
        <v>26</v>
      </c>
      <c r="BC326">
        <v>53</v>
      </c>
      <c r="BD326" t="s">
        <v>74</v>
      </c>
      <c r="BE326" t="s">
        <v>6277</v>
      </c>
      <c r="BF326" t="str">
        <f>HYPERLINK("http://dx.doi.org/10.1144/jmpaleo2014-026","http://dx.doi.org/10.1144/jmpaleo2014-026")</f>
        <v>http://dx.doi.org/10.1144/jmpaleo2014-026</v>
      </c>
      <c r="BG326" t="s">
        <v>74</v>
      </c>
      <c r="BH326" t="s">
        <v>74</v>
      </c>
      <c r="BI326">
        <v>28</v>
      </c>
      <c r="BJ326" t="s">
        <v>2542</v>
      </c>
      <c r="BK326" t="s">
        <v>264</v>
      </c>
      <c r="BL326" t="s">
        <v>2542</v>
      </c>
      <c r="BM326" t="s">
        <v>6278</v>
      </c>
      <c r="BN326" t="s">
        <v>74</v>
      </c>
      <c r="BO326" t="s">
        <v>5581</v>
      </c>
      <c r="BP326" t="s">
        <v>74</v>
      </c>
      <c r="BQ326" t="s">
        <v>74</v>
      </c>
      <c r="BR326" t="s">
        <v>100</v>
      </c>
      <c r="BS326" t="s">
        <v>6279</v>
      </c>
      <c r="BT326" t="str">
        <f>HYPERLINK("https%3A%2F%2Fwww.webofscience.com%2Fwos%2Fwoscc%2Ffull-record%2FWOS:000369806300004","View Full Record in Web of Science")</f>
        <v>View Full Record in Web of Science</v>
      </c>
    </row>
    <row r="327" spans="1:72" x14ac:dyDescent="0.15">
      <c r="A327" t="s">
        <v>72</v>
      </c>
      <c r="B327" t="s">
        <v>6280</v>
      </c>
      <c r="C327" t="s">
        <v>74</v>
      </c>
      <c r="D327" t="s">
        <v>74</v>
      </c>
      <c r="E327" t="s">
        <v>74</v>
      </c>
      <c r="F327" t="s">
        <v>6281</v>
      </c>
      <c r="G327" t="s">
        <v>74</v>
      </c>
      <c r="H327" t="s">
        <v>74</v>
      </c>
      <c r="I327" t="s">
        <v>6282</v>
      </c>
      <c r="J327" t="s">
        <v>6260</v>
      </c>
      <c r="K327" t="s">
        <v>74</v>
      </c>
      <c r="L327" t="s">
        <v>74</v>
      </c>
      <c r="M327" t="s">
        <v>200</v>
      </c>
      <c r="N327" t="s">
        <v>79</v>
      </c>
      <c r="O327" t="s">
        <v>74</v>
      </c>
      <c r="P327" t="s">
        <v>74</v>
      </c>
      <c r="Q327" t="s">
        <v>74</v>
      </c>
      <c r="R327" t="s">
        <v>74</v>
      </c>
      <c r="S327" t="s">
        <v>74</v>
      </c>
      <c r="T327" t="s">
        <v>6283</v>
      </c>
      <c r="U327" t="s">
        <v>6284</v>
      </c>
      <c r="V327" t="s">
        <v>6285</v>
      </c>
      <c r="W327" t="s">
        <v>6286</v>
      </c>
      <c r="X327" t="s">
        <v>6287</v>
      </c>
      <c r="Y327" t="s">
        <v>6288</v>
      </c>
      <c r="Z327" t="s">
        <v>6289</v>
      </c>
      <c r="AA327" t="s">
        <v>6290</v>
      </c>
      <c r="AB327" t="s">
        <v>6291</v>
      </c>
      <c r="AC327" t="s">
        <v>6292</v>
      </c>
      <c r="AD327" t="s">
        <v>6293</v>
      </c>
      <c r="AE327" t="s">
        <v>6294</v>
      </c>
      <c r="AF327" t="s">
        <v>74</v>
      </c>
      <c r="AG327">
        <v>32</v>
      </c>
      <c r="AH327">
        <v>3</v>
      </c>
      <c r="AI327">
        <v>3</v>
      </c>
      <c r="AJ327">
        <v>0</v>
      </c>
      <c r="AK327">
        <v>2</v>
      </c>
      <c r="AL327" t="s">
        <v>6295</v>
      </c>
      <c r="AM327" t="s">
        <v>4690</v>
      </c>
      <c r="AN327" t="s">
        <v>6296</v>
      </c>
      <c r="AO327" t="s">
        <v>6273</v>
      </c>
      <c r="AP327" t="s">
        <v>74</v>
      </c>
      <c r="AQ327" t="s">
        <v>74</v>
      </c>
      <c r="AR327" t="s">
        <v>6275</v>
      </c>
      <c r="AS327" t="s">
        <v>6276</v>
      </c>
      <c r="AT327" t="s">
        <v>315</v>
      </c>
      <c r="AU327">
        <v>2016</v>
      </c>
      <c r="AV327">
        <v>35</v>
      </c>
      <c r="AW327" t="s">
        <v>74</v>
      </c>
      <c r="AX327">
        <v>1</v>
      </c>
      <c r="AY327" t="s">
        <v>74</v>
      </c>
      <c r="AZ327" t="s">
        <v>74</v>
      </c>
      <c r="BA327" t="s">
        <v>74</v>
      </c>
      <c r="BB327">
        <v>90</v>
      </c>
      <c r="BC327">
        <v>101</v>
      </c>
      <c r="BD327" t="s">
        <v>74</v>
      </c>
      <c r="BE327" t="s">
        <v>6297</v>
      </c>
      <c r="BF327" t="str">
        <f>HYPERLINK("http://dx.doi.org/10.1144/jmpaleo2015-003","http://dx.doi.org/10.1144/jmpaleo2015-003")</f>
        <v>http://dx.doi.org/10.1144/jmpaleo2015-003</v>
      </c>
      <c r="BG327" t="s">
        <v>74</v>
      </c>
      <c r="BH327" t="s">
        <v>74</v>
      </c>
      <c r="BI327">
        <v>12</v>
      </c>
      <c r="BJ327" t="s">
        <v>2542</v>
      </c>
      <c r="BK327" t="s">
        <v>264</v>
      </c>
      <c r="BL327" t="s">
        <v>2542</v>
      </c>
      <c r="BM327" t="s">
        <v>6278</v>
      </c>
      <c r="BN327" t="s">
        <v>74</v>
      </c>
      <c r="BO327" t="s">
        <v>5581</v>
      </c>
      <c r="BP327" t="s">
        <v>74</v>
      </c>
      <c r="BQ327" t="s">
        <v>74</v>
      </c>
      <c r="BR327" t="s">
        <v>100</v>
      </c>
      <c r="BS327" t="s">
        <v>6298</v>
      </c>
      <c r="BT327" t="str">
        <f>HYPERLINK("https%3A%2F%2Fwww.webofscience.com%2Fwos%2Fwoscc%2Ffull-record%2FWOS:000369806300009","View Full Record in Web of Science")</f>
        <v>View Full Record in Web of Science</v>
      </c>
    </row>
    <row r="328" spans="1:72" x14ac:dyDescent="0.15">
      <c r="A328" t="s">
        <v>72</v>
      </c>
      <c r="B328" t="s">
        <v>6299</v>
      </c>
      <c r="C328" t="s">
        <v>74</v>
      </c>
      <c r="D328" t="s">
        <v>74</v>
      </c>
      <c r="E328" t="s">
        <v>74</v>
      </c>
      <c r="F328" t="s">
        <v>6300</v>
      </c>
      <c r="G328" t="s">
        <v>74</v>
      </c>
      <c r="H328" t="s">
        <v>74</v>
      </c>
      <c r="I328" t="s">
        <v>6301</v>
      </c>
      <c r="J328" t="s">
        <v>5451</v>
      </c>
      <c r="K328" t="s">
        <v>74</v>
      </c>
      <c r="L328" t="s">
        <v>74</v>
      </c>
      <c r="M328" t="s">
        <v>200</v>
      </c>
      <c r="N328" t="s">
        <v>79</v>
      </c>
      <c r="O328" t="s">
        <v>74</v>
      </c>
      <c r="P328" t="s">
        <v>74</v>
      </c>
      <c r="Q328" t="s">
        <v>74</v>
      </c>
      <c r="R328" t="s">
        <v>74</v>
      </c>
      <c r="S328" t="s">
        <v>74</v>
      </c>
      <c r="T328" t="s">
        <v>6302</v>
      </c>
      <c r="U328" t="s">
        <v>6303</v>
      </c>
      <c r="V328" t="s">
        <v>6304</v>
      </c>
      <c r="W328" t="s">
        <v>6305</v>
      </c>
      <c r="X328" t="s">
        <v>6306</v>
      </c>
      <c r="Y328" t="s">
        <v>6307</v>
      </c>
      <c r="Z328" t="s">
        <v>6308</v>
      </c>
      <c r="AA328" t="s">
        <v>6309</v>
      </c>
      <c r="AB328" t="s">
        <v>6310</v>
      </c>
      <c r="AC328" t="s">
        <v>6311</v>
      </c>
      <c r="AD328" t="s">
        <v>6312</v>
      </c>
      <c r="AE328" t="s">
        <v>6313</v>
      </c>
      <c r="AF328" t="s">
        <v>74</v>
      </c>
      <c r="AG328">
        <v>61</v>
      </c>
      <c r="AH328">
        <v>11</v>
      </c>
      <c r="AI328">
        <v>11</v>
      </c>
      <c r="AJ328">
        <v>0</v>
      </c>
      <c r="AK328">
        <v>27</v>
      </c>
      <c r="AL328" t="s">
        <v>5464</v>
      </c>
      <c r="AM328" t="s">
        <v>5465</v>
      </c>
      <c r="AN328" t="s">
        <v>5466</v>
      </c>
      <c r="AO328" t="s">
        <v>5467</v>
      </c>
      <c r="AP328" t="s">
        <v>5468</v>
      </c>
      <c r="AQ328" t="s">
        <v>74</v>
      </c>
      <c r="AR328" t="s">
        <v>5469</v>
      </c>
      <c r="AS328" t="s">
        <v>5470</v>
      </c>
      <c r="AT328" t="s">
        <v>315</v>
      </c>
      <c r="AU328">
        <v>2016</v>
      </c>
      <c r="AV328">
        <v>142</v>
      </c>
      <c r="AW328">
        <v>694</v>
      </c>
      <c r="AX328" t="s">
        <v>6314</v>
      </c>
      <c r="AY328" t="s">
        <v>74</v>
      </c>
      <c r="AZ328" t="s">
        <v>74</v>
      </c>
      <c r="BA328" t="s">
        <v>74</v>
      </c>
      <c r="BB328">
        <v>372</v>
      </c>
      <c r="BC328">
        <v>386</v>
      </c>
      <c r="BD328" t="s">
        <v>74</v>
      </c>
      <c r="BE328" t="s">
        <v>6315</v>
      </c>
      <c r="BF328" t="str">
        <f>HYPERLINK("http://dx.doi.org/10.1002/qj.2657","http://dx.doi.org/10.1002/qj.2657")</f>
        <v>http://dx.doi.org/10.1002/qj.2657</v>
      </c>
      <c r="BG328" t="s">
        <v>74</v>
      </c>
      <c r="BH328" t="s">
        <v>74</v>
      </c>
      <c r="BI328">
        <v>15</v>
      </c>
      <c r="BJ328" t="s">
        <v>1721</v>
      </c>
      <c r="BK328" t="s">
        <v>264</v>
      </c>
      <c r="BL328" t="s">
        <v>1721</v>
      </c>
      <c r="BM328" t="s">
        <v>6316</v>
      </c>
      <c r="BN328" t="s">
        <v>74</v>
      </c>
      <c r="BO328" t="s">
        <v>74</v>
      </c>
      <c r="BP328" t="s">
        <v>74</v>
      </c>
      <c r="BQ328" t="s">
        <v>74</v>
      </c>
      <c r="BR328" t="s">
        <v>100</v>
      </c>
      <c r="BS328" t="s">
        <v>6317</v>
      </c>
      <c r="BT328" t="str">
        <f>HYPERLINK("https%3A%2F%2Fwww.webofscience.com%2Fwos%2Fwoscc%2Ffull-record%2FWOS:000369978300030","View Full Record in Web of Science")</f>
        <v>View Full Record in Web of Science</v>
      </c>
    </row>
    <row r="329" spans="1:72" x14ac:dyDescent="0.15">
      <c r="A329" t="s">
        <v>72</v>
      </c>
      <c r="B329" t="s">
        <v>6318</v>
      </c>
      <c r="C329" t="s">
        <v>74</v>
      </c>
      <c r="D329" t="s">
        <v>74</v>
      </c>
      <c r="E329" t="s">
        <v>74</v>
      </c>
      <c r="F329" t="s">
        <v>6319</v>
      </c>
      <c r="G329" t="s">
        <v>74</v>
      </c>
      <c r="H329" t="s">
        <v>74</v>
      </c>
      <c r="I329" t="s">
        <v>6320</v>
      </c>
      <c r="J329" t="s">
        <v>3502</v>
      </c>
      <c r="K329" t="s">
        <v>74</v>
      </c>
      <c r="L329" t="s">
        <v>74</v>
      </c>
      <c r="M329" t="s">
        <v>200</v>
      </c>
      <c r="N329" t="s">
        <v>79</v>
      </c>
      <c r="O329" t="s">
        <v>74</v>
      </c>
      <c r="P329" t="s">
        <v>74</v>
      </c>
      <c r="Q329" t="s">
        <v>74</v>
      </c>
      <c r="R329" t="s">
        <v>74</v>
      </c>
      <c r="S329" t="s">
        <v>74</v>
      </c>
      <c r="T329" t="s">
        <v>74</v>
      </c>
      <c r="U329" t="s">
        <v>6321</v>
      </c>
      <c r="V329" t="s">
        <v>6322</v>
      </c>
      <c r="W329" t="s">
        <v>6323</v>
      </c>
      <c r="X329" t="s">
        <v>6324</v>
      </c>
      <c r="Y329" t="s">
        <v>6325</v>
      </c>
      <c r="Z329" t="s">
        <v>6326</v>
      </c>
      <c r="AA329" t="s">
        <v>6327</v>
      </c>
      <c r="AB329" t="s">
        <v>6328</v>
      </c>
      <c r="AC329" t="s">
        <v>6329</v>
      </c>
      <c r="AD329" t="s">
        <v>6330</v>
      </c>
      <c r="AE329" t="s">
        <v>6331</v>
      </c>
      <c r="AF329" t="s">
        <v>74</v>
      </c>
      <c r="AG329">
        <v>72</v>
      </c>
      <c r="AH329">
        <v>5</v>
      </c>
      <c r="AI329">
        <v>5</v>
      </c>
      <c r="AJ329">
        <v>2</v>
      </c>
      <c r="AK329">
        <v>33</v>
      </c>
      <c r="AL329" t="s">
        <v>358</v>
      </c>
      <c r="AM329" t="s">
        <v>359</v>
      </c>
      <c r="AN329" t="s">
        <v>3238</v>
      </c>
      <c r="AO329" t="s">
        <v>3514</v>
      </c>
      <c r="AP329" t="s">
        <v>3515</v>
      </c>
      <c r="AQ329" t="s">
        <v>74</v>
      </c>
      <c r="AR329" t="s">
        <v>3502</v>
      </c>
      <c r="AS329" t="s">
        <v>3516</v>
      </c>
      <c r="AT329" t="s">
        <v>74</v>
      </c>
      <c r="AU329">
        <v>2016</v>
      </c>
      <c r="AV329">
        <v>13</v>
      </c>
      <c r="AW329">
        <v>2</v>
      </c>
      <c r="AX329" t="s">
        <v>74</v>
      </c>
      <c r="AY329" t="s">
        <v>74</v>
      </c>
      <c r="AZ329" t="s">
        <v>74</v>
      </c>
      <c r="BA329" t="s">
        <v>74</v>
      </c>
      <c r="BB329">
        <v>535</v>
      </c>
      <c r="BC329">
        <v>549</v>
      </c>
      <c r="BD329" t="s">
        <v>74</v>
      </c>
      <c r="BE329" t="s">
        <v>6332</v>
      </c>
      <c r="BF329" t="str">
        <f>HYPERLINK("http://dx.doi.org/10.5194/bg-13-535-2016","http://dx.doi.org/10.5194/bg-13-535-2016")</f>
        <v>http://dx.doi.org/10.5194/bg-13-535-2016</v>
      </c>
      <c r="BG329" t="s">
        <v>74</v>
      </c>
      <c r="BH329" t="s">
        <v>74</v>
      </c>
      <c r="BI329">
        <v>15</v>
      </c>
      <c r="BJ329" t="s">
        <v>2839</v>
      </c>
      <c r="BK329" t="s">
        <v>264</v>
      </c>
      <c r="BL329" t="s">
        <v>2840</v>
      </c>
      <c r="BM329" t="s">
        <v>6333</v>
      </c>
      <c r="BN329" t="s">
        <v>74</v>
      </c>
      <c r="BO329" t="s">
        <v>2134</v>
      </c>
      <c r="BP329" t="s">
        <v>74</v>
      </c>
      <c r="BQ329" t="s">
        <v>74</v>
      </c>
      <c r="BR329" t="s">
        <v>100</v>
      </c>
      <c r="BS329" t="s">
        <v>6334</v>
      </c>
      <c r="BT329" t="str">
        <f>HYPERLINK("https%3A%2F%2Fwww.webofscience.com%2Fwos%2Fwoscc%2Ffull-record%2FWOS:000369524500014","View Full Record in Web of Science")</f>
        <v>View Full Record in Web of Science</v>
      </c>
    </row>
    <row r="330" spans="1:72" x14ac:dyDescent="0.15">
      <c r="A330" t="s">
        <v>72</v>
      </c>
      <c r="B330" t="s">
        <v>6335</v>
      </c>
      <c r="C330" t="s">
        <v>74</v>
      </c>
      <c r="D330" t="s">
        <v>74</v>
      </c>
      <c r="E330" t="s">
        <v>74</v>
      </c>
      <c r="F330" t="s">
        <v>6336</v>
      </c>
      <c r="G330" t="s">
        <v>74</v>
      </c>
      <c r="H330" t="s">
        <v>74</v>
      </c>
      <c r="I330" t="s">
        <v>6337</v>
      </c>
      <c r="J330" t="s">
        <v>6338</v>
      </c>
      <c r="K330" t="s">
        <v>74</v>
      </c>
      <c r="L330" t="s">
        <v>74</v>
      </c>
      <c r="M330" t="s">
        <v>200</v>
      </c>
      <c r="N330" t="s">
        <v>79</v>
      </c>
      <c r="O330" t="s">
        <v>74</v>
      </c>
      <c r="P330" t="s">
        <v>74</v>
      </c>
      <c r="Q330" t="s">
        <v>74</v>
      </c>
      <c r="R330" t="s">
        <v>74</v>
      </c>
      <c r="S330" t="s">
        <v>74</v>
      </c>
      <c r="T330" t="s">
        <v>6339</v>
      </c>
      <c r="U330" t="s">
        <v>6340</v>
      </c>
      <c r="V330" t="s">
        <v>6341</v>
      </c>
      <c r="W330" t="s">
        <v>6342</v>
      </c>
      <c r="X330" t="s">
        <v>6343</v>
      </c>
      <c r="Y330" t="s">
        <v>6344</v>
      </c>
      <c r="Z330" t="s">
        <v>6345</v>
      </c>
      <c r="AA330" t="s">
        <v>74</v>
      </c>
      <c r="AB330" t="s">
        <v>6346</v>
      </c>
      <c r="AC330" t="s">
        <v>6347</v>
      </c>
      <c r="AD330" t="s">
        <v>6348</v>
      </c>
      <c r="AE330" t="s">
        <v>6349</v>
      </c>
      <c r="AF330" t="s">
        <v>74</v>
      </c>
      <c r="AG330">
        <v>70</v>
      </c>
      <c r="AH330">
        <v>9</v>
      </c>
      <c r="AI330">
        <v>10</v>
      </c>
      <c r="AJ330">
        <v>0</v>
      </c>
      <c r="AK330">
        <v>24</v>
      </c>
      <c r="AL330" t="s">
        <v>5464</v>
      </c>
      <c r="AM330" t="s">
        <v>5465</v>
      </c>
      <c r="AN330" t="s">
        <v>5466</v>
      </c>
      <c r="AO330" t="s">
        <v>6350</v>
      </c>
      <c r="AP330" t="s">
        <v>74</v>
      </c>
      <c r="AQ330" t="s">
        <v>74</v>
      </c>
      <c r="AR330" t="s">
        <v>6351</v>
      </c>
      <c r="AS330" t="s">
        <v>6352</v>
      </c>
      <c r="AT330" t="s">
        <v>315</v>
      </c>
      <c r="AU330">
        <v>2016</v>
      </c>
      <c r="AV330">
        <v>6</v>
      </c>
      <c r="AW330">
        <v>1</v>
      </c>
      <c r="AX330" t="s">
        <v>74</v>
      </c>
      <c r="AY330" t="s">
        <v>74</v>
      </c>
      <c r="AZ330" t="s">
        <v>74</v>
      </c>
      <c r="BA330" t="s">
        <v>74</v>
      </c>
      <c r="BB330">
        <v>305</v>
      </c>
      <c r="BC330">
        <v>317</v>
      </c>
      <c r="BD330" t="s">
        <v>74</v>
      </c>
      <c r="BE330" t="s">
        <v>6353</v>
      </c>
      <c r="BF330" t="str">
        <f>HYPERLINK("http://dx.doi.org/10.1002/ece3.1869","http://dx.doi.org/10.1002/ece3.1869")</f>
        <v>http://dx.doi.org/10.1002/ece3.1869</v>
      </c>
      <c r="BG330" t="s">
        <v>74</v>
      </c>
      <c r="BH330" t="s">
        <v>74</v>
      </c>
      <c r="BI330">
        <v>13</v>
      </c>
      <c r="BJ330" t="s">
        <v>6354</v>
      </c>
      <c r="BK330" t="s">
        <v>264</v>
      </c>
      <c r="BL330" t="s">
        <v>6355</v>
      </c>
      <c r="BM330" t="s">
        <v>6356</v>
      </c>
      <c r="BN330">
        <v>26811794</v>
      </c>
      <c r="BO330" t="s">
        <v>523</v>
      </c>
      <c r="BP330" t="s">
        <v>74</v>
      </c>
      <c r="BQ330" t="s">
        <v>74</v>
      </c>
      <c r="BR330" t="s">
        <v>100</v>
      </c>
      <c r="BS330" t="s">
        <v>6357</v>
      </c>
      <c r="BT330" t="str">
        <f>HYPERLINK("https%3A%2F%2Fwww.webofscience.com%2Fwos%2Fwoscc%2Ffull-record%2FWOS:000369164000025","View Full Record in Web of Science")</f>
        <v>View Full Record in Web of Science</v>
      </c>
    </row>
    <row r="331" spans="1:72" x14ac:dyDescent="0.15">
      <c r="A331" t="s">
        <v>72</v>
      </c>
      <c r="B331" t="s">
        <v>6358</v>
      </c>
      <c r="C331" t="s">
        <v>74</v>
      </c>
      <c r="D331" t="s">
        <v>74</v>
      </c>
      <c r="E331" t="s">
        <v>74</v>
      </c>
      <c r="F331" t="s">
        <v>6359</v>
      </c>
      <c r="G331" t="s">
        <v>74</v>
      </c>
      <c r="H331" t="s">
        <v>74</v>
      </c>
      <c r="I331" t="s">
        <v>6360</v>
      </c>
      <c r="J331" t="s">
        <v>6361</v>
      </c>
      <c r="K331" t="s">
        <v>74</v>
      </c>
      <c r="L331" t="s">
        <v>74</v>
      </c>
      <c r="M331" t="s">
        <v>200</v>
      </c>
      <c r="N331" t="s">
        <v>79</v>
      </c>
      <c r="O331" t="s">
        <v>74</v>
      </c>
      <c r="P331" t="s">
        <v>74</v>
      </c>
      <c r="Q331" t="s">
        <v>74</v>
      </c>
      <c r="R331" t="s">
        <v>74</v>
      </c>
      <c r="S331" t="s">
        <v>74</v>
      </c>
      <c r="T331" t="s">
        <v>74</v>
      </c>
      <c r="U331" t="s">
        <v>6362</v>
      </c>
      <c r="V331" t="s">
        <v>6363</v>
      </c>
      <c r="W331" t="s">
        <v>6364</v>
      </c>
      <c r="X331" t="s">
        <v>6365</v>
      </c>
      <c r="Y331" t="s">
        <v>6366</v>
      </c>
      <c r="Z331" t="s">
        <v>6367</v>
      </c>
      <c r="AA331" t="s">
        <v>6368</v>
      </c>
      <c r="AB331" t="s">
        <v>6369</v>
      </c>
      <c r="AC331" t="s">
        <v>6370</v>
      </c>
      <c r="AD331" t="s">
        <v>6371</v>
      </c>
      <c r="AE331" t="s">
        <v>6372</v>
      </c>
      <c r="AF331" t="s">
        <v>74</v>
      </c>
      <c r="AG331">
        <v>65</v>
      </c>
      <c r="AH331">
        <v>13</v>
      </c>
      <c r="AI331">
        <v>15</v>
      </c>
      <c r="AJ331">
        <v>0</v>
      </c>
      <c r="AK331">
        <v>25</v>
      </c>
      <c r="AL331" t="s">
        <v>6373</v>
      </c>
      <c r="AM331" t="s">
        <v>6374</v>
      </c>
      <c r="AN331" t="s">
        <v>6375</v>
      </c>
      <c r="AO331" t="s">
        <v>6376</v>
      </c>
      <c r="AP331" t="s">
        <v>6377</v>
      </c>
      <c r="AQ331" t="s">
        <v>74</v>
      </c>
      <c r="AR331" t="s">
        <v>6378</v>
      </c>
      <c r="AS331" t="s">
        <v>6379</v>
      </c>
      <c r="AT331" t="s">
        <v>315</v>
      </c>
      <c r="AU331">
        <v>2016</v>
      </c>
      <c r="AV331">
        <v>163</v>
      </c>
      <c r="AW331">
        <v>1</v>
      </c>
      <c r="AX331" t="s">
        <v>74</v>
      </c>
      <c r="AY331" t="s">
        <v>74</v>
      </c>
      <c r="AZ331" t="s">
        <v>74</v>
      </c>
      <c r="BA331" t="s">
        <v>74</v>
      </c>
      <c r="BB331" t="s">
        <v>74</v>
      </c>
      <c r="BC331" t="s">
        <v>74</v>
      </c>
      <c r="BD331">
        <v>2</v>
      </c>
      <c r="BE331" t="s">
        <v>6380</v>
      </c>
      <c r="BF331" t="str">
        <f>HYPERLINK("http://dx.doi.org/10.1007/s00227-015-2785-7","http://dx.doi.org/10.1007/s00227-015-2785-7")</f>
        <v>http://dx.doi.org/10.1007/s00227-015-2785-7</v>
      </c>
      <c r="BG331" t="s">
        <v>74</v>
      </c>
      <c r="BH331" t="s">
        <v>74</v>
      </c>
      <c r="BI331">
        <v>11</v>
      </c>
      <c r="BJ331" t="s">
        <v>1479</v>
      </c>
      <c r="BK331" t="s">
        <v>264</v>
      </c>
      <c r="BL331" t="s">
        <v>1479</v>
      </c>
      <c r="BM331" t="s">
        <v>6381</v>
      </c>
      <c r="BN331" t="s">
        <v>74</v>
      </c>
      <c r="BO331" t="s">
        <v>74</v>
      </c>
      <c r="BP331" t="s">
        <v>74</v>
      </c>
      <c r="BQ331" t="s">
        <v>74</v>
      </c>
      <c r="BR331" t="s">
        <v>100</v>
      </c>
      <c r="BS331" t="s">
        <v>6382</v>
      </c>
      <c r="BT331" t="str">
        <f>HYPERLINK("https%3A%2F%2Fwww.webofscience.com%2Fwos%2Fwoscc%2Ffull-record%2FWOS:000369243700004","View Full Record in Web of Science")</f>
        <v>View Full Record in Web of Science</v>
      </c>
    </row>
    <row r="332" spans="1:72" x14ac:dyDescent="0.15">
      <c r="A332" t="s">
        <v>72</v>
      </c>
      <c r="B332" t="s">
        <v>6383</v>
      </c>
      <c r="C332" t="s">
        <v>74</v>
      </c>
      <c r="D332" t="s">
        <v>74</v>
      </c>
      <c r="E332" t="s">
        <v>74</v>
      </c>
      <c r="F332" t="s">
        <v>6384</v>
      </c>
      <c r="G332" t="s">
        <v>74</v>
      </c>
      <c r="H332" t="s">
        <v>74</v>
      </c>
      <c r="I332" t="s">
        <v>6385</v>
      </c>
      <c r="J332" t="s">
        <v>6386</v>
      </c>
      <c r="K332" t="s">
        <v>74</v>
      </c>
      <c r="L332" t="s">
        <v>74</v>
      </c>
      <c r="M332" t="s">
        <v>200</v>
      </c>
      <c r="N332" t="s">
        <v>79</v>
      </c>
      <c r="O332" t="s">
        <v>74</v>
      </c>
      <c r="P332" t="s">
        <v>74</v>
      </c>
      <c r="Q332" t="s">
        <v>74</v>
      </c>
      <c r="R332" t="s">
        <v>74</v>
      </c>
      <c r="S332" t="s">
        <v>74</v>
      </c>
      <c r="T332" t="s">
        <v>6387</v>
      </c>
      <c r="U332" t="s">
        <v>6388</v>
      </c>
      <c r="V332" t="s">
        <v>6389</v>
      </c>
      <c r="W332" t="s">
        <v>6390</v>
      </c>
      <c r="X332" t="s">
        <v>6391</v>
      </c>
      <c r="Y332" t="s">
        <v>6392</v>
      </c>
      <c r="Z332" t="s">
        <v>6393</v>
      </c>
      <c r="AA332" t="s">
        <v>6394</v>
      </c>
      <c r="AB332" t="s">
        <v>6395</v>
      </c>
      <c r="AC332" t="s">
        <v>6396</v>
      </c>
      <c r="AD332" t="s">
        <v>6397</v>
      </c>
      <c r="AE332" t="s">
        <v>6398</v>
      </c>
      <c r="AF332" t="s">
        <v>74</v>
      </c>
      <c r="AG332">
        <v>44</v>
      </c>
      <c r="AH332">
        <v>2</v>
      </c>
      <c r="AI332">
        <v>3</v>
      </c>
      <c r="AJ332">
        <v>1</v>
      </c>
      <c r="AK332">
        <v>16</v>
      </c>
      <c r="AL332" t="s">
        <v>5464</v>
      </c>
      <c r="AM332" t="s">
        <v>5465</v>
      </c>
      <c r="AN332" t="s">
        <v>5466</v>
      </c>
      <c r="AO332" t="s">
        <v>6399</v>
      </c>
      <c r="AP332" t="s">
        <v>6400</v>
      </c>
      <c r="AQ332" t="s">
        <v>74</v>
      </c>
      <c r="AR332" t="s">
        <v>6401</v>
      </c>
      <c r="AS332" t="s">
        <v>6402</v>
      </c>
      <c r="AT332" t="s">
        <v>315</v>
      </c>
      <c r="AU332">
        <v>2016</v>
      </c>
      <c r="AV332">
        <v>64</v>
      </c>
      <c r="AW332">
        <v>1</v>
      </c>
      <c r="AX332" t="s">
        <v>74</v>
      </c>
      <c r="AY332" t="s">
        <v>74</v>
      </c>
      <c r="AZ332" t="s">
        <v>74</v>
      </c>
      <c r="BA332" t="s">
        <v>74</v>
      </c>
      <c r="BB332">
        <v>35</v>
      </c>
      <c r="BC332">
        <v>43</v>
      </c>
      <c r="BD332" t="s">
        <v>74</v>
      </c>
      <c r="BE332" t="s">
        <v>6403</v>
      </c>
      <c r="BF332" t="str">
        <f>HYPERLINK("http://dx.doi.org/10.1111/pre.12117","http://dx.doi.org/10.1111/pre.12117")</f>
        <v>http://dx.doi.org/10.1111/pre.12117</v>
      </c>
      <c r="BG332" t="s">
        <v>74</v>
      </c>
      <c r="BH332" t="s">
        <v>74</v>
      </c>
      <c r="BI332">
        <v>9</v>
      </c>
      <c r="BJ332" t="s">
        <v>1479</v>
      </c>
      <c r="BK332" t="s">
        <v>264</v>
      </c>
      <c r="BL332" t="s">
        <v>1479</v>
      </c>
      <c r="BM332" t="s">
        <v>6404</v>
      </c>
      <c r="BN332" t="s">
        <v>74</v>
      </c>
      <c r="BO332" t="s">
        <v>431</v>
      </c>
      <c r="BP332" t="s">
        <v>74</v>
      </c>
      <c r="BQ332" t="s">
        <v>74</v>
      </c>
      <c r="BR332" t="s">
        <v>100</v>
      </c>
      <c r="BS332" t="s">
        <v>6405</v>
      </c>
      <c r="BT332" t="str">
        <f>HYPERLINK("https%3A%2F%2Fwww.webofscience.com%2Fwos%2Fwoscc%2Ffull-record%2FWOS:000369307900005","View Full Record in Web of Science")</f>
        <v>View Full Record in Web of Science</v>
      </c>
    </row>
    <row r="333" spans="1:72" x14ac:dyDescent="0.15">
      <c r="A333" t="s">
        <v>72</v>
      </c>
      <c r="B333" t="s">
        <v>6406</v>
      </c>
      <c r="C333" t="s">
        <v>74</v>
      </c>
      <c r="D333" t="s">
        <v>74</v>
      </c>
      <c r="E333" t="s">
        <v>74</v>
      </c>
      <c r="F333" t="s">
        <v>6407</v>
      </c>
      <c r="G333" t="s">
        <v>74</v>
      </c>
      <c r="H333" t="s">
        <v>74</v>
      </c>
      <c r="I333" t="s">
        <v>6408</v>
      </c>
      <c r="J333" t="s">
        <v>6409</v>
      </c>
      <c r="K333" t="s">
        <v>74</v>
      </c>
      <c r="L333" t="s">
        <v>74</v>
      </c>
      <c r="M333" t="s">
        <v>200</v>
      </c>
      <c r="N333" t="s">
        <v>79</v>
      </c>
      <c r="O333" t="s">
        <v>74</v>
      </c>
      <c r="P333" t="s">
        <v>74</v>
      </c>
      <c r="Q333" t="s">
        <v>74</v>
      </c>
      <c r="R333" t="s">
        <v>74</v>
      </c>
      <c r="S333" t="s">
        <v>74</v>
      </c>
      <c r="T333" t="s">
        <v>6410</v>
      </c>
      <c r="U333" t="s">
        <v>6411</v>
      </c>
      <c r="V333" t="s">
        <v>6412</v>
      </c>
      <c r="W333" t="s">
        <v>6413</v>
      </c>
      <c r="X333" t="s">
        <v>6414</v>
      </c>
      <c r="Y333" t="s">
        <v>6415</v>
      </c>
      <c r="Z333" t="s">
        <v>6416</v>
      </c>
      <c r="AA333" t="s">
        <v>6417</v>
      </c>
      <c r="AB333" t="s">
        <v>6418</v>
      </c>
      <c r="AC333" t="s">
        <v>6419</v>
      </c>
      <c r="AD333" t="s">
        <v>6420</v>
      </c>
      <c r="AE333" t="s">
        <v>6421</v>
      </c>
      <c r="AF333" t="s">
        <v>74</v>
      </c>
      <c r="AG333">
        <v>58</v>
      </c>
      <c r="AH333">
        <v>31</v>
      </c>
      <c r="AI333">
        <v>36</v>
      </c>
      <c r="AJ333">
        <v>6</v>
      </c>
      <c r="AK333">
        <v>52</v>
      </c>
      <c r="AL333" t="s">
        <v>6422</v>
      </c>
      <c r="AM333" t="s">
        <v>289</v>
      </c>
      <c r="AN333" t="s">
        <v>6423</v>
      </c>
      <c r="AO333" t="s">
        <v>6424</v>
      </c>
      <c r="AP333" t="s">
        <v>6425</v>
      </c>
      <c r="AQ333" t="s">
        <v>74</v>
      </c>
      <c r="AR333" t="s">
        <v>6426</v>
      </c>
      <c r="AS333" t="s">
        <v>6427</v>
      </c>
      <c r="AT333" t="s">
        <v>315</v>
      </c>
      <c r="AU333">
        <v>2016</v>
      </c>
      <c r="AV333">
        <v>48</v>
      </c>
      <c r="AW333">
        <v>1</v>
      </c>
      <c r="AX333" t="s">
        <v>74</v>
      </c>
      <c r="AY333" t="s">
        <v>74</v>
      </c>
      <c r="AZ333" t="s">
        <v>74</v>
      </c>
      <c r="BA333" t="s">
        <v>74</v>
      </c>
      <c r="BB333">
        <v>34</v>
      </c>
      <c r="BC333">
        <v>42</v>
      </c>
      <c r="BD333" t="s">
        <v>74</v>
      </c>
      <c r="BE333" t="s">
        <v>6428</v>
      </c>
      <c r="BF333" t="str">
        <f>HYPERLINK("http://dx.doi.org/10.1016/j.dld.2015.09.012","http://dx.doi.org/10.1016/j.dld.2015.09.012")</f>
        <v>http://dx.doi.org/10.1016/j.dld.2015.09.012</v>
      </c>
      <c r="BG333" t="s">
        <v>74</v>
      </c>
      <c r="BH333" t="s">
        <v>74</v>
      </c>
      <c r="BI333">
        <v>9</v>
      </c>
      <c r="BJ333" t="s">
        <v>6429</v>
      </c>
      <c r="BK333" t="s">
        <v>264</v>
      </c>
      <c r="BL333" t="s">
        <v>6429</v>
      </c>
      <c r="BM333" t="s">
        <v>6430</v>
      </c>
      <c r="BN333">
        <v>26493628</v>
      </c>
      <c r="BO333" t="s">
        <v>74</v>
      </c>
      <c r="BP333" t="s">
        <v>74</v>
      </c>
      <c r="BQ333" t="s">
        <v>74</v>
      </c>
      <c r="BR333" t="s">
        <v>100</v>
      </c>
      <c r="BS333" t="s">
        <v>6431</v>
      </c>
      <c r="BT333" t="str">
        <f>HYPERLINK("https%3A%2F%2Fwww.webofscience.com%2Fwos%2Fwoscc%2Ffull-record%2FWOS:000368761300007","View Full Record in Web of Science")</f>
        <v>View Full Record in Web of Science</v>
      </c>
    </row>
    <row r="334" spans="1:72" x14ac:dyDescent="0.15">
      <c r="A334" t="s">
        <v>72</v>
      </c>
      <c r="B334" t="s">
        <v>6432</v>
      </c>
      <c r="C334" t="s">
        <v>74</v>
      </c>
      <c r="D334" t="s">
        <v>74</v>
      </c>
      <c r="E334" t="s">
        <v>74</v>
      </c>
      <c r="F334" t="s">
        <v>6433</v>
      </c>
      <c r="G334" t="s">
        <v>74</v>
      </c>
      <c r="H334" t="s">
        <v>74</v>
      </c>
      <c r="I334" t="s">
        <v>6434</v>
      </c>
      <c r="J334" t="s">
        <v>6435</v>
      </c>
      <c r="K334" t="s">
        <v>74</v>
      </c>
      <c r="L334" t="s">
        <v>74</v>
      </c>
      <c r="M334" t="s">
        <v>200</v>
      </c>
      <c r="N334" t="s">
        <v>79</v>
      </c>
      <c r="O334" t="s">
        <v>74</v>
      </c>
      <c r="P334" t="s">
        <v>74</v>
      </c>
      <c r="Q334" t="s">
        <v>74</v>
      </c>
      <c r="R334" t="s">
        <v>74</v>
      </c>
      <c r="S334" t="s">
        <v>74</v>
      </c>
      <c r="T334" t="s">
        <v>6436</v>
      </c>
      <c r="U334" t="s">
        <v>6437</v>
      </c>
      <c r="V334" t="s">
        <v>6438</v>
      </c>
      <c r="W334" t="s">
        <v>6439</v>
      </c>
      <c r="X334" t="s">
        <v>74</v>
      </c>
      <c r="Y334" t="s">
        <v>6440</v>
      </c>
      <c r="Z334" t="s">
        <v>6441</v>
      </c>
      <c r="AA334" t="s">
        <v>74</v>
      </c>
      <c r="AB334" t="s">
        <v>74</v>
      </c>
      <c r="AC334" t="s">
        <v>74</v>
      </c>
      <c r="AD334" t="s">
        <v>74</v>
      </c>
      <c r="AE334" t="s">
        <v>74</v>
      </c>
      <c r="AF334" t="s">
        <v>74</v>
      </c>
      <c r="AG334">
        <v>19</v>
      </c>
      <c r="AH334">
        <v>39</v>
      </c>
      <c r="AI334">
        <v>44</v>
      </c>
      <c r="AJ334">
        <v>3</v>
      </c>
      <c r="AK334">
        <v>52</v>
      </c>
      <c r="AL334" t="s">
        <v>6442</v>
      </c>
      <c r="AM334" t="s">
        <v>6443</v>
      </c>
      <c r="AN334" t="s">
        <v>6444</v>
      </c>
      <c r="AO334" t="s">
        <v>6445</v>
      </c>
      <c r="AP334" t="s">
        <v>6446</v>
      </c>
      <c r="AQ334" t="s">
        <v>74</v>
      </c>
      <c r="AR334" t="s">
        <v>6447</v>
      </c>
      <c r="AS334" t="s">
        <v>6448</v>
      </c>
      <c r="AT334" t="s">
        <v>74</v>
      </c>
      <c r="AU334">
        <v>2016</v>
      </c>
      <c r="AV334">
        <v>40</v>
      </c>
      <c r="AW334">
        <v>2</v>
      </c>
      <c r="AX334" t="s">
        <v>74</v>
      </c>
      <c r="AY334" t="s">
        <v>74</v>
      </c>
      <c r="AZ334" t="s">
        <v>2540</v>
      </c>
      <c r="BA334" t="s">
        <v>74</v>
      </c>
      <c r="BB334">
        <v>273</v>
      </c>
      <c r="BC334">
        <v>278</v>
      </c>
      <c r="BD334" t="s">
        <v>74</v>
      </c>
      <c r="BE334" t="s">
        <v>74</v>
      </c>
      <c r="BF334" t="s">
        <v>74</v>
      </c>
      <c r="BG334" t="s">
        <v>74</v>
      </c>
      <c r="BH334" t="s">
        <v>74</v>
      </c>
      <c r="BI334">
        <v>6</v>
      </c>
      <c r="BJ334" t="s">
        <v>5445</v>
      </c>
      <c r="BK334" t="s">
        <v>264</v>
      </c>
      <c r="BL334" t="s">
        <v>2887</v>
      </c>
      <c r="BM334" t="s">
        <v>6449</v>
      </c>
      <c r="BN334" t="s">
        <v>74</v>
      </c>
      <c r="BO334" t="s">
        <v>74</v>
      </c>
      <c r="BP334" t="s">
        <v>74</v>
      </c>
      <c r="BQ334" t="s">
        <v>74</v>
      </c>
      <c r="BR334" t="s">
        <v>100</v>
      </c>
      <c r="BS334" t="s">
        <v>6450</v>
      </c>
      <c r="BT334" t="str">
        <f>HYPERLINK("https%3A%2F%2Fwww.webofscience.com%2Fwos%2Fwoscc%2Ffull-record%2FWOS:000368869600009","View Full Record in Web of Science")</f>
        <v>View Full Record in Web of Science</v>
      </c>
    </row>
    <row r="335" spans="1:72" x14ac:dyDescent="0.15">
      <c r="A335" t="s">
        <v>72</v>
      </c>
      <c r="B335" t="s">
        <v>6451</v>
      </c>
      <c r="C335" t="s">
        <v>74</v>
      </c>
      <c r="D335" t="s">
        <v>74</v>
      </c>
      <c r="E335" t="s">
        <v>74</v>
      </c>
      <c r="F335" t="s">
        <v>6452</v>
      </c>
      <c r="G335" t="s">
        <v>74</v>
      </c>
      <c r="H335" t="s">
        <v>74</v>
      </c>
      <c r="I335" t="s">
        <v>6453</v>
      </c>
      <c r="J335" t="s">
        <v>6454</v>
      </c>
      <c r="K335" t="s">
        <v>74</v>
      </c>
      <c r="L335" t="s">
        <v>74</v>
      </c>
      <c r="M335" t="s">
        <v>200</v>
      </c>
      <c r="N335" t="s">
        <v>1639</v>
      </c>
      <c r="O335" t="s">
        <v>6455</v>
      </c>
      <c r="P335" t="s">
        <v>6456</v>
      </c>
      <c r="Q335" t="s">
        <v>6457</v>
      </c>
      <c r="R335" t="s">
        <v>74</v>
      </c>
      <c r="S335" t="s">
        <v>74</v>
      </c>
      <c r="T335" t="s">
        <v>6458</v>
      </c>
      <c r="U335" t="s">
        <v>6459</v>
      </c>
      <c r="V335" t="s">
        <v>6460</v>
      </c>
      <c r="W335" t="s">
        <v>6461</v>
      </c>
      <c r="X335" t="s">
        <v>6462</v>
      </c>
      <c r="Y335" t="s">
        <v>6463</v>
      </c>
      <c r="Z335" t="s">
        <v>6464</v>
      </c>
      <c r="AA335" t="s">
        <v>6465</v>
      </c>
      <c r="AB335" t="s">
        <v>6466</v>
      </c>
      <c r="AC335" t="s">
        <v>6467</v>
      </c>
      <c r="AD335" t="s">
        <v>6468</v>
      </c>
      <c r="AE335" t="s">
        <v>6469</v>
      </c>
      <c r="AF335" t="s">
        <v>74</v>
      </c>
      <c r="AG335">
        <v>108</v>
      </c>
      <c r="AH335">
        <v>6</v>
      </c>
      <c r="AI335">
        <v>6</v>
      </c>
      <c r="AJ335">
        <v>1</v>
      </c>
      <c r="AK335">
        <v>24</v>
      </c>
      <c r="AL335" t="s">
        <v>3560</v>
      </c>
      <c r="AM335" t="s">
        <v>289</v>
      </c>
      <c r="AN335" t="s">
        <v>5440</v>
      </c>
      <c r="AO335" t="s">
        <v>6470</v>
      </c>
      <c r="AP335" t="s">
        <v>6471</v>
      </c>
      <c r="AQ335" t="s">
        <v>74</v>
      </c>
      <c r="AR335" t="s">
        <v>6472</v>
      </c>
      <c r="AS335" t="s">
        <v>6473</v>
      </c>
      <c r="AT335" t="s">
        <v>315</v>
      </c>
      <c r="AU335">
        <v>2016</v>
      </c>
      <c r="AV335">
        <v>39</v>
      </c>
      <c r="AW335">
        <v>1</v>
      </c>
      <c r="AX335" t="s">
        <v>74</v>
      </c>
      <c r="AY335" t="s">
        <v>74</v>
      </c>
      <c r="AZ335" t="s">
        <v>2540</v>
      </c>
      <c r="BA335" t="s">
        <v>74</v>
      </c>
      <c r="BB335">
        <v>11</v>
      </c>
      <c r="BC335">
        <v>22</v>
      </c>
      <c r="BD335" t="s">
        <v>74</v>
      </c>
      <c r="BE335" t="s">
        <v>6474</v>
      </c>
      <c r="BF335" t="str">
        <f>HYPERLINK("http://dx.doi.org/10.1007/s00300-014-1601-z","http://dx.doi.org/10.1007/s00300-014-1601-z")</f>
        <v>http://dx.doi.org/10.1007/s00300-014-1601-z</v>
      </c>
      <c r="BG335" t="s">
        <v>74</v>
      </c>
      <c r="BH335" t="s">
        <v>74</v>
      </c>
      <c r="BI335">
        <v>12</v>
      </c>
      <c r="BJ335" t="s">
        <v>6475</v>
      </c>
      <c r="BK335" t="s">
        <v>1661</v>
      </c>
      <c r="BL335" t="s">
        <v>6476</v>
      </c>
      <c r="BM335" t="s">
        <v>6477</v>
      </c>
      <c r="BN335" t="s">
        <v>74</v>
      </c>
      <c r="BO335" t="s">
        <v>74</v>
      </c>
      <c r="BP335" t="s">
        <v>74</v>
      </c>
      <c r="BQ335" t="s">
        <v>74</v>
      </c>
      <c r="BR335" t="s">
        <v>100</v>
      </c>
      <c r="BS335" t="s">
        <v>6478</v>
      </c>
      <c r="BT335" t="str">
        <f>HYPERLINK("https%3A%2F%2Fwww.webofscience.com%2Fwos%2Fwoscc%2Ffull-record%2FWOS:000369067100002","View Full Record in Web of Science")</f>
        <v>View Full Record in Web of Science</v>
      </c>
    </row>
    <row r="336" spans="1:72" x14ac:dyDescent="0.15">
      <c r="A336" t="s">
        <v>72</v>
      </c>
      <c r="B336" t="s">
        <v>6479</v>
      </c>
      <c r="C336" t="s">
        <v>74</v>
      </c>
      <c r="D336" t="s">
        <v>74</v>
      </c>
      <c r="E336" t="s">
        <v>74</v>
      </c>
      <c r="F336" t="s">
        <v>6480</v>
      </c>
      <c r="G336" t="s">
        <v>74</v>
      </c>
      <c r="H336" t="s">
        <v>74</v>
      </c>
      <c r="I336" t="s">
        <v>6481</v>
      </c>
      <c r="J336" t="s">
        <v>6454</v>
      </c>
      <c r="K336" t="s">
        <v>74</v>
      </c>
      <c r="L336" t="s">
        <v>74</v>
      </c>
      <c r="M336" t="s">
        <v>200</v>
      </c>
      <c r="N336" t="s">
        <v>1639</v>
      </c>
      <c r="O336" t="s">
        <v>6455</v>
      </c>
      <c r="P336" t="s">
        <v>6456</v>
      </c>
      <c r="Q336" t="s">
        <v>6457</v>
      </c>
      <c r="R336" t="s">
        <v>74</v>
      </c>
      <c r="S336" t="s">
        <v>74</v>
      </c>
      <c r="T336" t="s">
        <v>6482</v>
      </c>
      <c r="U336" t="s">
        <v>6483</v>
      </c>
      <c r="V336" t="s">
        <v>6484</v>
      </c>
      <c r="W336" t="s">
        <v>6485</v>
      </c>
      <c r="X336" t="s">
        <v>6486</v>
      </c>
      <c r="Y336" t="s">
        <v>6487</v>
      </c>
      <c r="Z336" t="s">
        <v>6488</v>
      </c>
      <c r="AA336" t="s">
        <v>6489</v>
      </c>
      <c r="AB336" t="s">
        <v>6490</v>
      </c>
      <c r="AC336" t="s">
        <v>6491</v>
      </c>
      <c r="AD336" t="s">
        <v>6492</v>
      </c>
      <c r="AE336" t="s">
        <v>6493</v>
      </c>
      <c r="AF336" t="s">
        <v>74</v>
      </c>
      <c r="AG336">
        <v>72</v>
      </c>
      <c r="AH336">
        <v>33</v>
      </c>
      <c r="AI336">
        <v>33</v>
      </c>
      <c r="AJ336">
        <v>0</v>
      </c>
      <c r="AK336">
        <v>29</v>
      </c>
      <c r="AL336" t="s">
        <v>3560</v>
      </c>
      <c r="AM336" t="s">
        <v>289</v>
      </c>
      <c r="AN336" t="s">
        <v>5440</v>
      </c>
      <c r="AO336" t="s">
        <v>6470</v>
      </c>
      <c r="AP336" t="s">
        <v>6471</v>
      </c>
      <c r="AQ336" t="s">
        <v>74</v>
      </c>
      <c r="AR336" t="s">
        <v>6472</v>
      </c>
      <c r="AS336" t="s">
        <v>6473</v>
      </c>
      <c r="AT336" t="s">
        <v>315</v>
      </c>
      <c r="AU336">
        <v>2016</v>
      </c>
      <c r="AV336">
        <v>39</v>
      </c>
      <c r="AW336">
        <v>1</v>
      </c>
      <c r="AX336" t="s">
        <v>74</v>
      </c>
      <c r="AY336" t="s">
        <v>74</v>
      </c>
      <c r="AZ336" t="s">
        <v>2540</v>
      </c>
      <c r="BA336" t="s">
        <v>74</v>
      </c>
      <c r="BB336">
        <v>23</v>
      </c>
      <c r="BC336">
        <v>33</v>
      </c>
      <c r="BD336" t="s">
        <v>74</v>
      </c>
      <c r="BE336" t="s">
        <v>6494</v>
      </c>
      <c r="BF336" t="str">
        <f>HYPERLINK("http://dx.doi.org/10.1007/s00300-014-1599-2","http://dx.doi.org/10.1007/s00300-014-1599-2")</f>
        <v>http://dx.doi.org/10.1007/s00300-014-1599-2</v>
      </c>
      <c r="BG336" t="s">
        <v>74</v>
      </c>
      <c r="BH336" t="s">
        <v>74</v>
      </c>
      <c r="BI336">
        <v>11</v>
      </c>
      <c r="BJ336" t="s">
        <v>6475</v>
      </c>
      <c r="BK336" t="s">
        <v>1661</v>
      </c>
      <c r="BL336" t="s">
        <v>6476</v>
      </c>
      <c r="BM336" t="s">
        <v>6477</v>
      </c>
      <c r="BN336" t="s">
        <v>74</v>
      </c>
      <c r="BO336" t="s">
        <v>74</v>
      </c>
      <c r="BP336" t="s">
        <v>74</v>
      </c>
      <c r="BQ336" t="s">
        <v>74</v>
      </c>
      <c r="BR336" t="s">
        <v>100</v>
      </c>
      <c r="BS336" t="s">
        <v>6495</v>
      </c>
      <c r="BT336" t="str">
        <f>HYPERLINK("https%3A%2F%2Fwww.webofscience.com%2Fwos%2Fwoscc%2Ffull-record%2FWOS:000369067100003","View Full Record in Web of Science")</f>
        <v>View Full Record in Web of Science</v>
      </c>
    </row>
    <row r="337" spans="1:72" x14ac:dyDescent="0.15">
      <c r="A337" t="s">
        <v>72</v>
      </c>
      <c r="B337" t="s">
        <v>6496</v>
      </c>
      <c r="C337" t="s">
        <v>74</v>
      </c>
      <c r="D337" t="s">
        <v>74</v>
      </c>
      <c r="E337" t="s">
        <v>74</v>
      </c>
      <c r="F337" t="s">
        <v>6497</v>
      </c>
      <c r="G337" t="s">
        <v>74</v>
      </c>
      <c r="H337" t="s">
        <v>74</v>
      </c>
      <c r="I337" t="s">
        <v>6498</v>
      </c>
      <c r="J337" t="s">
        <v>6454</v>
      </c>
      <c r="K337" t="s">
        <v>74</v>
      </c>
      <c r="L337" t="s">
        <v>74</v>
      </c>
      <c r="M337" t="s">
        <v>200</v>
      </c>
      <c r="N337" t="s">
        <v>1639</v>
      </c>
      <c r="O337" t="s">
        <v>6455</v>
      </c>
      <c r="P337" t="s">
        <v>6456</v>
      </c>
      <c r="Q337" t="s">
        <v>6457</v>
      </c>
      <c r="R337" t="s">
        <v>74</v>
      </c>
      <c r="S337" t="s">
        <v>74</v>
      </c>
      <c r="T337" t="s">
        <v>6499</v>
      </c>
      <c r="U337" t="s">
        <v>6500</v>
      </c>
      <c r="V337" t="s">
        <v>6501</v>
      </c>
      <c r="W337" t="s">
        <v>6502</v>
      </c>
      <c r="X337" t="s">
        <v>6503</v>
      </c>
      <c r="Y337" t="s">
        <v>6504</v>
      </c>
      <c r="Z337" t="s">
        <v>6505</v>
      </c>
      <c r="AA337" t="s">
        <v>74</v>
      </c>
      <c r="AB337" t="s">
        <v>6506</v>
      </c>
      <c r="AC337" t="s">
        <v>6507</v>
      </c>
      <c r="AD337" t="s">
        <v>6508</v>
      </c>
      <c r="AE337" t="s">
        <v>6509</v>
      </c>
      <c r="AF337" t="s">
        <v>74</v>
      </c>
      <c r="AG337">
        <v>57</v>
      </c>
      <c r="AH337">
        <v>12</v>
      </c>
      <c r="AI337">
        <v>12</v>
      </c>
      <c r="AJ337">
        <v>0</v>
      </c>
      <c r="AK337">
        <v>37</v>
      </c>
      <c r="AL337" t="s">
        <v>3560</v>
      </c>
      <c r="AM337" t="s">
        <v>289</v>
      </c>
      <c r="AN337" t="s">
        <v>5440</v>
      </c>
      <c r="AO337" t="s">
        <v>6470</v>
      </c>
      <c r="AP337" t="s">
        <v>6471</v>
      </c>
      <c r="AQ337" t="s">
        <v>74</v>
      </c>
      <c r="AR337" t="s">
        <v>6472</v>
      </c>
      <c r="AS337" t="s">
        <v>6473</v>
      </c>
      <c r="AT337" t="s">
        <v>315</v>
      </c>
      <c r="AU337">
        <v>2016</v>
      </c>
      <c r="AV337">
        <v>39</v>
      </c>
      <c r="AW337">
        <v>1</v>
      </c>
      <c r="AX337" t="s">
        <v>74</v>
      </c>
      <c r="AY337" t="s">
        <v>74</v>
      </c>
      <c r="AZ337" t="s">
        <v>2540</v>
      </c>
      <c r="BA337" t="s">
        <v>74</v>
      </c>
      <c r="BB337">
        <v>35</v>
      </c>
      <c r="BC337">
        <v>45</v>
      </c>
      <c r="BD337" t="s">
        <v>74</v>
      </c>
      <c r="BE337" t="s">
        <v>6510</v>
      </c>
      <c r="BF337" t="str">
        <f>HYPERLINK("http://dx.doi.org/10.1007/s00300-014-1600-0","http://dx.doi.org/10.1007/s00300-014-1600-0")</f>
        <v>http://dx.doi.org/10.1007/s00300-014-1600-0</v>
      </c>
      <c r="BG337" t="s">
        <v>74</v>
      </c>
      <c r="BH337" t="s">
        <v>74</v>
      </c>
      <c r="BI337">
        <v>11</v>
      </c>
      <c r="BJ337" t="s">
        <v>6475</v>
      </c>
      <c r="BK337" t="s">
        <v>1661</v>
      </c>
      <c r="BL337" t="s">
        <v>6476</v>
      </c>
      <c r="BM337" t="s">
        <v>6477</v>
      </c>
      <c r="BN337" t="s">
        <v>74</v>
      </c>
      <c r="BO337" t="s">
        <v>403</v>
      </c>
      <c r="BP337" t="s">
        <v>74</v>
      </c>
      <c r="BQ337" t="s">
        <v>74</v>
      </c>
      <c r="BR337" t="s">
        <v>100</v>
      </c>
      <c r="BS337" t="s">
        <v>6511</v>
      </c>
      <c r="BT337" t="str">
        <f>HYPERLINK("https%3A%2F%2Fwww.webofscience.com%2Fwos%2Fwoscc%2Ffull-record%2FWOS:000369067100004","View Full Record in Web of Science")</f>
        <v>View Full Record in Web of Science</v>
      </c>
    </row>
    <row r="338" spans="1:72" x14ac:dyDescent="0.15">
      <c r="A338" t="s">
        <v>72</v>
      </c>
      <c r="B338" t="s">
        <v>6512</v>
      </c>
      <c r="C338" t="s">
        <v>74</v>
      </c>
      <c r="D338" t="s">
        <v>74</v>
      </c>
      <c r="E338" t="s">
        <v>74</v>
      </c>
      <c r="F338" t="s">
        <v>6513</v>
      </c>
      <c r="G338" t="s">
        <v>74</v>
      </c>
      <c r="H338" t="s">
        <v>74</v>
      </c>
      <c r="I338" t="s">
        <v>6514</v>
      </c>
      <c r="J338" t="s">
        <v>6454</v>
      </c>
      <c r="K338" t="s">
        <v>74</v>
      </c>
      <c r="L338" t="s">
        <v>74</v>
      </c>
      <c r="M338" t="s">
        <v>200</v>
      </c>
      <c r="N338" t="s">
        <v>1639</v>
      </c>
      <c r="O338" t="s">
        <v>6455</v>
      </c>
      <c r="P338" t="s">
        <v>6456</v>
      </c>
      <c r="Q338" t="s">
        <v>6457</v>
      </c>
      <c r="R338" t="s">
        <v>74</v>
      </c>
      <c r="S338" t="s">
        <v>74</v>
      </c>
      <c r="T338" t="s">
        <v>6515</v>
      </c>
      <c r="U338" t="s">
        <v>6516</v>
      </c>
      <c r="V338" t="s">
        <v>6517</v>
      </c>
      <c r="W338" t="s">
        <v>6518</v>
      </c>
      <c r="X338" t="s">
        <v>6519</v>
      </c>
      <c r="Y338" t="s">
        <v>6520</v>
      </c>
      <c r="Z338" t="s">
        <v>6521</v>
      </c>
      <c r="AA338" t="s">
        <v>74</v>
      </c>
      <c r="AB338" t="s">
        <v>6506</v>
      </c>
      <c r="AC338" t="s">
        <v>6522</v>
      </c>
      <c r="AD338" t="s">
        <v>6523</v>
      </c>
      <c r="AE338" t="s">
        <v>6524</v>
      </c>
      <c r="AF338" t="s">
        <v>74</v>
      </c>
      <c r="AG338">
        <v>45</v>
      </c>
      <c r="AH338">
        <v>4</v>
      </c>
      <c r="AI338">
        <v>5</v>
      </c>
      <c r="AJ338">
        <v>0</v>
      </c>
      <c r="AK338">
        <v>11</v>
      </c>
      <c r="AL338" t="s">
        <v>3560</v>
      </c>
      <c r="AM338" t="s">
        <v>289</v>
      </c>
      <c r="AN338" t="s">
        <v>6124</v>
      </c>
      <c r="AO338" t="s">
        <v>6470</v>
      </c>
      <c r="AP338" t="s">
        <v>6471</v>
      </c>
      <c r="AQ338" t="s">
        <v>74</v>
      </c>
      <c r="AR338" t="s">
        <v>6472</v>
      </c>
      <c r="AS338" t="s">
        <v>6473</v>
      </c>
      <c r="AT338" t="s">
        <v>315</v>
      </c>
      <c r="AU338">
        <v>2016</v>
      </c>
      <c r="AV338">
        <v>39</v>
      </c>
      <c r="AW338">
        <v>1</v>
      </c>
      <c r="AX338" t="s">
        <v>74</v>
      </c>
      <c r="AY338" t="s">
        <v>74</v>
      </c>
      <c r="AZ338" t="s">
        <v>2540</v>
      </c>
      <c r="BA338" t="s">
        <v>74</v>
      </c>
      <c r="BB338">
        <v>47</v>
      </c>
      <c r="BC338">
        <v>56</v>
      </c>
      <c r="BD338" t="s">
        <v>74</v>
      </c>
      <c r="BE338" t="s">
        <v>6525</v>
      </c>
      <c r="BF338" t="str">
        <f>HYPERLINK("http://dx.doi.org/10.1007/s00300-014-1605-8","http://dx.doi.org/10.1007/s00300-014-1605-8")</f>
        <v>http://dx.doi.org/10.1007/s00300-014-1605-8</v>
      </c>
      <c r="BG338" t="s">
        <v>74</v>
      </c>
      <c r="BH338" t="s">
        <v>74</v>
      </c>
      <c r="BI338">
        <v>10</v>
      </c>
      <c r="BJ338" t="s">
        <v>6475</v>
      </c>
      <c r="BK338" t="s">
        <v>1661</v>
      </c>
      <c r="BL338" t="s">
        <v>6476</v>
      </c>
      <c r="BM338" t="s">
        <v>6477</v>
      </c>
      <c r="BN338" t="s">
        <v>74</v>
      </c>
      <c r="BO338" t="s">
        <v>74</v>
      </c>
      <c r="BP338" t="s">
        <v>74</v>
      </c>
      <c r="BQ338" t="s">
        <v>74</v>
      </c>
      <c r="BR338" t="s">
        <v>100</v>
      </c>
      <c r="BS338" t="s">
        <v>6526</v>
      </c>
      <c r="BT338" t="str">
        <f>HYPERLINK("https%3A%2F%2Fwww.webofscience.com%2Fwos%2Fwoscc%2Ffull-record%2FWOS:000369067100005","View Full Record in Web of Science")</f>
        <v>View Full Record in Web of Science</v>
      </c>
    </row>
    <row r="339" spans="1:72" x14ac:dyDescent="0.15">
      <c r="A339" t="s">
        <v>72</v>
      </c>
      <c r="B339" t="s">
        <v>6527</v>
      </c>
      <c r="C339" t="s">
        <v>74</v>
      </c>
      <c r="D339" t="s">
        <v>74</v>
      </c>
      <c r="E339" t="s">
        <v>74</v>
      </c>
      <c r="F339" t="s">
        <v>6528</v>
      </c>
      <c r="G339" t="s">
        <v>74</v>
      </c>
      <c r="H339" t="s">
        <v>74</v>
      </c>
      <c r="I339" t="s">
        <v>6529</v>
      </c>
      <c r="J339" t="s">
        <v>6454</v>
      </c>
      <c r="K339" t="s">
        <v>74</v>
      </c>
      <c r="L339" t="s">
        <v>74</v>
      </c>
      <c r="M339" t="s">
        <v>200</v>
      </c>
      <c r="N339" t="s">
        <v>1639</v>
      </c>
      <c r="O339" t="s">
        <v>6455</v>
      </c>
      <c r="P339" t="s">
        <v>6456</v>
      </c>
      <c r="Q339" t="s">
        <v>6457</v>
      </c>
      <c r="R339" t="s">
        <v>74</v>
      </c>
      <c r="S339" t="s">
        <v>74</v>
      </c>
      <c r="T339" t="s">
        <v>6530</v>
      </c>
      <c r="U339" t="s">
        <v>6531</v>
      </c>
      <c r="V339" t="s">
        <v>6532</v>
      </c>
      <c r="W339" t="s">
        <v>6533</v>
      </c>
      <c r="X339" t="s">
        <v>6534</v>
      </c>
      <c r="Y339" t="s">
        <v>6535</v>
      </c>
      <c r="Z339" t="s">
        <v>6536</v>
      </c>
      <c r="AA339" t="s">
        <v>6537</v>
      </c>
      <c r="AB339" t="s">
        <v>6538</v>
      </c>
      <c r="AC339" t="s">
        <v>6539</v>
      </c>
      <c r="AD339" t="s">
        <v>74</v>
      </c>
      <c r="AE339" t="s">
        <v>6540</v>
      </c>
      <c r="AF339" t="s">
        <v>74</v>
      </c>
      <c r="AG339">
        <v>54</v>
      </c>
      <c r="AH339">
        <v>11</v>
      </c>
      <c r="AI339">
        <v>11</v>
      </c>
      <c r="AJ339">
        <v>2</v>
      </c>
      <c r="AK339">
        <v>53</v>
      </c>
      <c r="AL339" t="s">
        <v>3560</v>
      </c>
      <c r="AM339" t="s">
        <v>289</v>
      </c>
      <c r="AN339" t="s">
        <v>5440</v>
      </c>
      <c r="AO339" t="s">
        <v>6470</v>
      </c>
      <c r="AP339" t="s">
        <v>6471</v>
      </c>
      <c r="AQ339" t="s">
        <v>74</v>
      </c>
      <c r="AR339" t="s">
        <v>6472</v>
      </c>
      <c r="AS339" t="s">
        <v>6473</v>
      </c>
      <c r="AT339" t="s">
        <v>315</v>
      </c>
      <c r="AU339">
        <v>2016</v>
      </c>
      <c r="AV339">
        <v>39</v>
      </c>
      <c r="AW339">
        <v>1</v>
      </c>
      <c r="AX339" t="s">
        <v>74</v>
      </c>
      <c r="AY339" t="s">
        <v>74</v>
      </c>
      <c r="AZ339" t="s">
        <v>2540</v>
      </c>
      <c r="BA339" t="s">
        <v>74</v>
      </c>
      <c r="BB339">
        <v>57</v>
      </c>
      <c r="BC339">
        <v>64</v>
      </c>
      <c r="BD339" t="s">
        <v>74</v>
      </c>
      <c r="BE339" t="s">
        <v>6541</v>
      </c>
      <c r="BF339" t="str">
        <f>HYPERLINK("http://dx.doi.org/10.1007/s00300-014-1604-9","http://dx.doi.org/10.1007/s00300-014-1604-9")</f>
        <v>http://dx.doi.org/10.1007/s00300-014-1604-9</v>
      </c>
      <c r="BG339" t="s">
        <v>74</v>
      </c>
      <c r="BH339" t="s">
        <v>74</v>
      </c>
      <c r="BI339">
        <v>8</v>
      </c>
      <c r="BJ339" t="s">
        <v>6475</v>
      </c>
      <c r="BK339" t="s">
        <v>1661</v>
      </c>
      <c r="BL339" t="s">
        <v>6476</v>
      </c>
      <c r="BM339" t="s">
        <v>6477</v>
      </c>
      <c r="BN339" t="s">
        <v>74</v>
      </c>
      <c r="BO339" t="s">
        <v>241</v>
      </c>
      <c r="BP339" t="s">
        <v>74</v>
      </c>
      <c r="BQ339" t="s">
        <v>74</v>
      </c>
      <c r="BR339" t="s">
        <v>100</v>
      </c>
      <c r="BS339" t="s">
        <v>6542</v>
      </c>
      <c r="BT339" t="str">
        <f>HYPERLINK("https%3A%2F%2Fwww.webofscience.com%2Fwos%2Fwoscc%2Ffull-record%2FWOS:000369067100006","View Full Record in Web of Science")</f>
        <v>View Full Record in Web of Science</v>
      </c>
    </row>
    <row r="340" spans="1:72" x14ac:dyDescent="0.15">
      <c r="A340" t="s">
        <v>72</v>
      </c>
      <c r="B340" t="s">
        <v>6543</v>
      </c>
      <c r="C340" t="s">
        <v>74</v>
      </c>
      <c r="D340" t="s">
        <v>74</v>
      </c>
      <c r="E340" t="s">
        <v>74</v>
      </c>
      <c r="F340" t="s">
        <v>6544</v>
      </c>
      <c r="G340" t="s">
        <v>74</v>
      </c>
      <c r="H340" t="s">
        <v>74</v>
      </c>
      <c r="I340" t="s">
        <v>6545</v>
      </c>
      <c r="J340" t="s">
        <v>6454</v>
      </c>
      <c r="K340" t="s">
        <v>74</v>
      </c>
      <c r="L340" t="s">
        <v>74</v>
      </c>
      <c r="M340" t="s">
        <v>200</v>
      </c>
      <c r="N340" t="s">
        <v>1639</v>
      </c>
      <c r="O340" t="s">
        <v>6455</v>
      </c>
      <c r="P340" t="s">
        <v>6456</v>
      </c>
      <c r="Q340" t="s">
        <v>6457</v>
      </c>
      <c r="R340" t="s">
        <v>74</v>
      </c>
      <c r="S340" t="s">
        <v>74</v>
      </c>
      <c r="T340" t="s">
        <v>6546</v>
      </c>
      <c r="U340" t="s">
        <v>6547</v>
      </c>
      <c r="V340" t="s">
        <v>6548</v>
      </c>
      <c r="W340" t="s">
        <v>6549</v>
      </c>
      <c r="X340" t="s">
        <v>6550</v>
      </c>
      <c r="Y340" t="s">
        <v>6551</v>
      </c>
      <c r="Z340" t="s">
        <v>6552</v>
      </c>
      <c r="AA340" t="s">
        <v>6553</v>
      </c>
      <c r="AB340" t="s">
        <v>6554</v>
      </c>
      <c r="AC340" t="s">
        <v>6555</v>
      </c>
      <c r="AD340" t="s">
        <v>6556</v>
      </c>
      <c r="AE340" t="s">
        <v>6557</v>
      </c>
      <c r="AF340" t="s">
        <v>74</v>
      </c>
      <c r="AG340">
        <v>37</v>
      </c>
      <c r="AH340">
        <v>3</v>
      </c>
      <c r="AI340">
        <v>3</v>
      </c>
      <c r="AJ340">
        <v>0</v>
      </c>
      <c r="AK340">
        <v>7</v>
      </c>
      <c r="AL340" t="s">
        <v>3560</v>
      </c>
      <c r="AM340" t="s">
        <v>289</v>
      </c>
      <c r="AN340" t="s">
        <v>5440</v>
      </c>
      <c r="AO340" t="s">
        <v>6470</v>
      </c>
      <c r="AP340" t="s">
        <v>6471</v>
      </c>
      <c r="AQ340" t="s">
        <v>74</v>
      </c>
      <c r="AR340" t="s">
        <v>6472</v>
      </c>
      <c r="AS340" t="s">
        <v>6473</v>
      </c>
      <c r="AT340" t="s">
        <v>315</v>
      </c>
      <c r="AU340">
        <v>2016</v>
      </c>
      <c r="AV340">
        <v>39</v>
      </c>
      <c r="AW340">
        <v>1</v>
      </c>
      <c r="AX340" t="s">
        <v>74</v>
      </c>
      <c r="AY340" t="s">
        <v>74</v>
      </c>
      <c r="AZ340" t="s">
        <v>2540</v>
      </c>
      <c r="BA340" t="s">
        <v>74</v>
      </c>
      <c r="BB340">
        <v>103</v>
      </c>
      <c r="BC340">
        <v>111</v>
      </c>
      <c r="BD340" t="s">
        <v>74</v>
      </c>
      <c r="BE340" t="s">
        <v>6558</v>
      </c>
      <c r="BF340" t="str">
        <f>HYPERLINK("http://dx.doi.org/10.1007/s00300-015-1663-6","http://dx.doi.org/10.1007/s00300-015-1663-6")</f>
        <v>http://dx.doi.org/10.1007/s00300-015-1663-6</v>
      </c>
      <c r="BG340" t="s">
        <v>74</v>
      </c>
      <c r="BH340" t="s">
        <v>74</v>
      </c>
      <c r="BI340">
        <v>9</v>
      </c>
      <c r="BJ340" t="s">
        <v>6475</v>
      </c>
      <c r="BK340" t="s">
        <v>1661</v>
      </c>
      <c r="BL340" t="s">
        <v>6476</v>
      </c>
      <c r="BM340" t="s">
        <v>6477</v>
      </c>
      <c r="BN340" t="s">
        <v>74</v>
      </c>
      <c r="BO340" t="s">
        <v>403</v>
      </c>
      <c r="BP340" t="s">
        <v>74</v>
      </c>
      <c r="BQ340" t="s">
        <v>74</v>
      </c>
      <c r="BR340" t="s">
        <v>100</v>
      </c>
      <c r="BS340" t="s">
        <v>6559</v>
      </c>
      <c r="BT340" t="str">
        <f>HYPERLINK("https%3A%2F%2Fwww.webofscience.com%2Fwos%2Fwoscc%2Ffull-record%2FWOS:000369067100010","View Full Record in Web of Science")</f>
        <v>View Full Record in Web of Science</v>
      </c>
    </row>
    <row r="341" spans="1:72" x14ac:dyDescent="0.15">
      <c r="A341" t="s">
        <v>72</v>
      </c>
      <c r="B341" t="s">
        <v>6560</v>
      </c>
      <c r="C341" t="s">
        <v>74</v>
      </c>
      <c r="D341" t="s">
        <v>74</v>
      </c>
      <c r="E341" t="s">
        <v>74</v>
      </c>
      <c r="F341" t="s">
        <v>6561</v>
      </c>
      <c r="G341" t="s">
        <v>74</v>
      </c>
      <c r="H341" t="s">
        <v>74</v>
      </c>
      <c r="I341" t="s">
        <v>6562</v>
      </c>
      <c r="J341" t="s">
        <v>6454</v>
      </c>
      <c r="K341" t="s">
        <v>74</v>
      </c>
      <c r="L341" t="s">
        <v>74</v>
      </c>
      <c r="M341" t="s">
        <v>200</v>
      </c>
      <c r="N341" t="s">
        <v>1639</v>
      </c>
      <c r="O341" t="s">
        <v>6455</v>
      </c>
      <c r="P341" t="s">
        <v>6456</v>
      </c>
      <c r="Q341" t="s">
        <v>6457</v>
      </c>
      <c r="R341" t="s">
        <v>74</v>
      </c>
      <c r="S341" t="s">
        <v>74</v>
      </c>
      <c r="T341" t="s">
        <v>6563</v>
      </c>
      <c r="U341" t="s">
        <v>6564</v>
      </c>
      <c r="V341" t="s">
        <v>6565</v>
      </c>
      <c r="W341" t="s">
        <v>6566</v>
      </c>
      <c r="X341" t="s">
        <v>6567</v>
      </c>
      <c r="Y341" t="s">
        <v>6568</v>
      </c>
      <c r="Z341" t="s">
        <v>6569</v>
      </c>
      <c r="AA341" t="s">
        <v>6570</v>
      </c>
      <c r="AB341" t="s">
        <v>6571</v>
      </c>
      <c r="AC341" t="s">
        <v>6572</v>
      </c>
      <c r="AD341" t="s">
        <v>6573</v>
      </c>
      <c r="AE341" t="s">
        <v>6574</v>
      </c>
      <c r="AF341" t="s">
        <v>74</v>
      </c>
      <c r="AG341">
        <v>39</v>
      </c>
      <c r="AH341">
        <v>13</v>
      </c>
      <c r="AI341">
        <v>16</v>
      </c>
      <c r="AJ341">
        <v>3</v>
      </c>
      <c r="AK341">
        <v>25</v>
      </c>
      <c r="AL341" t="s">
        <v>3560</v>
      </c>
      <c r="AM341" t="s">
        <v>289</v>
      </c>
      <c r="AN341" t="s">
        <v>5440</v>
      </c>
      <c r="AO341" t="s">
        <v>6470</v>
      </c>
      <c r="AP341" t="s">
        <v>6471</v>
      </c>
      <c r="AQ341" t="s">
        <v>74</v>
      </c>
      <c r="AR341" t="s">
        <v>6472</v>
      </c>
      <c r="AS341" t="s">
        <v>6473</v>
      </c>
      <c r="AT341" t="s">
        <v>315</v>
      </c>
      <c r="AU341">
        <v>2016</v>
      </c>
      <c r="AV341">
        <v>39</v>
      </c>
      <c r="AW341">
        <v>1</v>
      </c>
      <c r="AX341" t="s">
        <v>74</v>
      </c>
      <c r="AY341" t="s">
        <v>74</v>
      </c>
      <c r="AZ341" t="s">
        <v>2540</v>
      </c>
      <c r="BA341" t="s">
        <v>74</v>
      </c>
      <c r="BB341">
        <v>113</v>
      </c>
      <c r="BC341">
        <v>122</v>
      </c>
      <c r="BD341" t="s">
        <v>74</v>
      </c>
      <c r="BE341" t="s">
        <v>6575</v>
      </c>
      <c r="BF341" t="str">
        <f>HYPERLINK("http://dx.doi.org/10.1007/s00300-015-1676-1","http://dx.doi.org/10.1007/s00300-015-1676-1")</f>
        <v>http://dx.doi.org/10.1007/s00300-015-1676-1</v>
      </c>
      <c r="BG341" t="s">
        <v>74</v>
      </c>
      <c r="BH341" t="s">
        <v>74</v>
      </c>
      <c r="BI341">
        <v>10</v>
      </c>
      <c r="BJ341" t="s">
        <v>6475</v>
      </c>
      <c r="BK341" t="s">
        <v>1661</v>
      </c>
      <c r="BL341" t="s">
        <v>6476</v>
      </c>
      <c r="BM341" t="s">
        <v>6477</v>
      </c>
      <c r="BN341" t="s">
        <v>74</v>
      </c>
      <c r="BO341" t="s">
        <v>74</v>
      </c>
      <c r="BP341" t="s">
        <v>74</v>
      </c>
      <c r="BQ341" t="s">
        <v>74</v>
      </c>
      <c r="BR341" t="s">
        <v>100</v>
      </c>
      <c r="BS341" t="s">
        <v>6576</v>
      </c>
      <c r="BT341" t="str">
        <f>HYPERLINK("https%3A%2F%2Fwww.webofscience.com%2Fwos%2Fwoscc%2Ffull-record%2FWOS:000369067100011","View Full Record in Web of Science")</f>
        <v>View Full Record in Web of Science</v>
      </c>
    </row>
    <row r="342" spans="1:72" x14ac:dyDescent="0.15">
      <c r="A342" t="s">
        <v>72</v>
      </c>
      <c r="B342" t="s">
        <v>6577</v>
      </c>
      <c r="C342" t="s">
        <v>74</v>
      </c>
      <c r="D342" t="s">
        <v>74</v>
      </c>
      <c r="E342" t="s">
        <v>74</v>
      </c>
      <c r="F342" t="s">
        <v>6578</v>
      </c>
      <c r="G342" t="s">
        <v>74</v>
      </c>
      <c r="H342" t="s">
        <v>74</v>
      </c>
      <c r="I342" t="s">
        <v>6579</v>
      </c>
      <c r="J342" t="s">
        <v>6454</v>
      </c>
      <c r="K342" t="s">
        <v>74</v>
      </c>
      <c r="L342" t="s">
        <v>74</v>
      </c>
      <c r="M342" t="s">
        <v>200</v>
      </c>
      <c r="N342" t="s">
        <v>1639</v>
      </c>
      <c r="O342" t="s">
        <v>6455</v>
      </c>
      <c r="P342" t="s">
        <v>6456</v>
      </c>
      <c r="Q342" t="s">
        <v>6457</v>
      </c>
      <c r="R342" t="s">
        <v>74</v>
      </c>
      <c r="S342" t="s">
        <v>74</v>
      </c>
      <c r="T342" t="s">
        <v>6580</v>
      </c>
      <c r="U342" t="s">
        <v>6581</v>
      </c>
      <c r="V342" t="s">
        <v>6582</v>
      </c>
      <c r="W342" t="s">
        <v>6583</v>
      </c>
      <c r="X342" t="s">
        <v>6584</v>
      </c>
      <c r="Y342" t="s">
        <v>6585</v>
      </c>
      <c r="Z342" t="s">
        <v>6586</v>
      </c>
      <c r="AA342" t="s">
        <v>74</v>
      </c>
      <c r="AB342" t="s">
        <v>74</v>
      </c>
      <c r="AC342" t="s">
        <v>6587</v>
      </c>
      <c r="AD342" t="s">
        <v>6588</v>
      </c>
      <c r="AE342" t="s">
        <v>6589</v>
      </c>
      <c r="AF342" t="s">
        <v>74</v>
      </c>
      <c r="AG342">
        <v>49</v>
      </c>
      <c r="AH342">
        <v>19</v>
      </c>
      <c r="AI342">
        <v>20</v>
      </c>
      <c r="AJ342">
        <v>0</v>
      </c>
      <c r="AK342">
        <v>41</v>
      </c>
      <c r="AL342" t="s">
        <v>3560</v>
      </c>
      <c r="AM342" t="s">
        <v>289</v>
      </c>
      <c r="AN342" t="s">
        <v>5440</v>
      </c>
      <c r="AO342" t="s">
        <v>6470</v>
      </c>
      <c r="AP342" t="s">
        <v>6471</v>
      </c>
      <c r="AQ342" t="s">
        <v>74</v>
      </c>
      <c r="AR342" t="s">
        <v>6472</v>
      </c>
      <c r="AS342" t="s">
        <v>6473</v>
      </c>
      <c r="AT342" t="s">
        <v>315</v>
      </c>
      <c r="AU342">
        <v>2016</v>
      </c>
      <c r="AV342">
        <v>39</v>
      </c>
      <c r="AW342">
        <v>1</v>
      </c>
      <c r="AX342" t="s">
        <v>74</v>
      </c>
      <c r="AY342" t="s">
        <v>74</v>
      </c>
      <c r="AZ342" t="s">
        <v>2540</v>
      </c>
      <c r="BA342" t="s">
        <v>74</v>
      </c>
      <c r="BB342">
        <v>139</v>
      </c>
      <c r="BC342">
        <v>151</v>
      </c>
      <c r="BD342" t="s">
        <v>74</v>
      </c>
      <c r="BE342" t="s">
        <v>6590</v>
      </c>
      <c r="BF342" t="str">
        <f>HYPERLINK("http://dx.doi.org/10.1007/s00300-015-1677-0","http://dx.doi.org/10.1007/s00300-015-1677-0")</f>
        <v>http://dx.doi.org/10.1007/s00300-015-1677-0</v>
      </c>
      <c r="BG342" t="s">
        <v>74</v>
      </c>
      <c r="BH342" t="s">
        <v>74</v>
      </c>
      <c r="BI342">
        <v>13</v>
      </c>
      <c r="BJ342" t="s">
        <v>6475</v>
      </c>
      <c r="BK342" t="s">
        <v>1661</v>
      </c>
      <c r="BL342" t="s">
        <v>6476</v>
      </c>
      <c r="BM342" t="s">
        <v>6477</v>
      </c>
      <c r="BN342" t="s">
        <v>74</v>
      </c>
      <c r="BO342" t="s">
        <v>74</v>
      </c>
      <c r="BP342" t="s">
        <v>74</v>
      </c>
      <c r="BQ342" t="s">
        <v>74</v>
      </c>
      <c r="BR342" t="s">
        <v>100</v>
      </c>
      <c r="BS342" t="s">
        <v>6591</v>
      </c>
      <c r="BT342" t="str">
        <f>HYPERLINK("https%3A%2F%2Fwww.webofscience.com%2Fwos%2Fwoscc%2Ffull-record%2FWOS:000369067100013","View Full Record in Web of Science")</f>
        <v>View Full Record in Web of Science</v>
      </c>
    </row>
    <row r="343" spans="1:72" x14ac:dyDescent="0.15">
      <c r="A343" t="s">
        <v>72</v>
      </c>
      <c r="B343" t="s">
        <v>6592</v>
      </c>
      <c r="C343" t="s">
        <v>74</v>
      </c>
      <c r="D343" t="s">
        <v>74</v>
      </c>
      <c r="E343" t="s">
        <v>74</v>
      </c>
      <c r="F343" t="s">
        <v>6593</v>
      </c>
      <c r="G343" t="s">
        <v>74</v>
      </c>
      <c r="H343" t="s">
        <v>74</v>
      </c>
      <c r="I343" t="s">
        <v>6594</v>
      </c>
      <c r="J343" t="s">
        <v>6454</v>
      </c>
      <c r="K343" t="s">
        <v>74</v>
      </c>
      <c r="L343" t="s">
        <v>74</v>
      </c>
      <c r="M343" t="s">
        <v>200</v>
      </c>
      <c r="N343" t="s">
        <v>1639</v>
      </c>
      <c r="O343" t="s">
        <v>6455</v>
      </c>
      <c r="P343" t="s">
        <v>6456</v>
      </c>
      <c r="Q343" t="s">
        <v>6457</v>
      </c>
      <c r="R343" t="s">
        <v>74</v>
      </c>
      <c r="S343" t="s">
        <v>74</v>
      </c>
      <c r="T343" t="s">
        <v>6595</v>
      </c>
      <c r="U343" t="s">
        <v>6596</v>
      </c>
      <c r="V343" t="s">
        <v>6597</v>
      </c>
      <c r="W343" t="s">
        <v>6598</v>
      </c>
      <c r="X343" t="s">
        <v>6599</v>
      </c>
      <c r="Y343" t="s">
        <v>6600</v>
      </c>
      <c r="Z343" t="s">
        <v>6601</v>
      </c>
      <c r="AA343" t="s">
        <v>74</v>
      </c>
      <c r="AB343" t="s">
        <v>6602</v>
      </c>
      <c r="AC343" t="s">
        <v>6603</v>
      </c>
      <c r="AD343" t="s">
        <v>6604</v>
      </c>
      <c r="AE343" t="s">
        <v>6605</v>
      </c>
      <c r="AF343" t="s">
        <v>74</v>
      </c>
      <c r="AG343">
        <v>70</v>
      </c>
      <c r="AH343">
        <v>7</v>
      </c>
      <c r="AI343">
        <v>9</v>
      </c>
      <c r="AJ343">
        <v>1</v>
      </c>
      <c r="AK343">
        <v>29</v>
      </c>
      <c r="AL343" t="s">
        <v>3560</v>
      </c>
      <c r="AM343" t="s">
        <v>289</v>
      </c>
      <c r="AN343" t="s">
        <v>6124</v>
      </c>
      <c r="AO343" t="s">
        <v>6470</v>
      </c>
      <c r="AP343" t="s">
        <v>6471</v>
      </c>
      <c r="AQ343" t="s">
        <v>74</v>
      </c>
      <c r="AR343" t="s">
        <v>6472</v>
      </c>
      <c r="AS343" t="s">
        <v>6473</v>
      </c>
      <c r="AT343" t="s">
        <v>315</v>
      </c>
      <c r="AU343">
        <v>2016</v>
      </c>
      <c r="AV343">
        <v>39</v>
      </c>
      <c r="AW343">
        <v>1</v>
      </c>
      <c r="AX343" t="s">
        <v>74</v>
      </c>
      <c r="AY343" t="s">
        <v>74</v>
      </c>
      <c r="AZ343" t="s">
        <v>2540</v>
      </c>
      <c r="BA343" t="s">
        <v>74</v>
      </c>
      <c r="BB343">
        <v>177</v>
      </c>
      <c r="BC343">
        <v>187</v>
      </c>
      <c r="BD343" t="s">
        <v>74</v>
      </c>
      <c r="BE343" t="s">
        <v>6606</v>
      </c>
      <c r="BF343" t="str">
        <f>HYPERLINK("http://dx.doi.org/10.1007/s00300-015-1798-5","http://dx.doi.org/10.1007/s00300-015-1798-5")</f>
        <v>http://dx.doi.org/10.1007/s00300-015-1798-5</v>
      </c>
      <c r="BG343" t="s">
        <v>74</v>
      </c>
      <c r="BH343" t="s">
        <v>74</v>
      </c>
      <c r="BI343">
        <v>11</v>
      </c>
      <c r="BJ343" t="s">
        <v>6475</v>
      </c>
      <c r="BK343" t="s">
        <v>1661</v>
      </c>
      <c r="BL343" t="s">
        <v>6476</v>
      </c>
      <c r="BM343" t="s">
        <v>6477</v>
      </c>
      <c r="BN343" t="s">
        <v>74</v>
      </c>
      <c r="BO343" t="s">
        <v>74</v>
      </c>
      <c r="BP343" t="s">
        <v>74</v>
      </c>
      <c r="BQ343" t="s">
        <v>74</v>
      </c>
      <c r="BR343" t="s">
        <v>100</v>
      </c>
      <c r="BS343" t="s">
        <v>6607</v>
      </c>
      <c r="BT343" t="str">
        <f>HYPERLINK("https%3A%2F%2Fwww.webofscience.com%2Fwos%2Fwoscc%2Ffull-record%2FWOS:000369067100016","View Full Record in Web of Science")</f>
        <v>View Full Record in Web of Science</v>
      </c>
    </row>
    <row r="344" spans="1:72" x14ac:dyDescent="0.15">
      <c r="A344" t="s">
        <v>72</v>
      </c>
      <c r="B344" t="s">
        <v>6608</v>
      </c>
      <c r="C344" t="s">
        <v>74</v>
      </c>
      <c r="D344" t="s">
        <v>74</v>
      </c>
      <c r="E344" t="s">
        <v>74</v>
      </c>
      <c r="F344" t="s">
        <v>6609</v>
      </c>
      <c r="G344" t="s">
        <v>74</v>
      </c>
      <c r="H344" t="s">
        <v>74</v>
      </c>
      <c r="I344" t="s">
        <v>6610</v>
      </c>
      <c r="J344" t="s">
        <v>6454</v>
      </c>
      <c r="K344" t="s">
        <v>74</v>
      </c>
      <c r="L344" t="s">
        <v>74</v>
      </c>
      <c r="M344" t="s">
        <v>200</v>
      </c>
      <c r="N344" t="s">
        <v>1639</v>
      </c>
      <c r="O344" t="s">
        <v>6455</v>
      </c>
      <c r="P344" t="s">
        <v>6456</v>
      </c>
      <c r="Q344" t="s">
        <v>6457</v>
      </c>
      <c r="R344" t="s">
        <v>74</v>
      </c>
      <c r="S344" t="s">
        <v>74</v>
      </c>
      <c r="T344" t="s">
        <v>6611</v>
      </c>
      <c r="U344" t="s">
        <v>6612</v>
      </c>
      <c r="V344" t="s">
        <v>6613</v>
      </c>
      <c r="W344" t="s">
        <v>6614</v>
      </c>
      <c r="X344" t="s">
        <v>6615</v>
      </c>
      <c r="Y344" t="s">
        <v>6616</v>
      </c>
      <c r="Z344" t="s">
        <v>6617</v>
      </c>
      <c r="AA344" t="s">
        <v>6618</v>
      </c>
      <c r="AB344" t="s">
        <v>6619</v>
      </c>
      <c r="AC344" t="s">
        <v>74</v>
      </c>
      <c r="AD344" t="s">
        <v>74</v>
      </c>
      <c r="AE344" t="s">
        <v>74</v>
      </c>
      <c r="AF344" t="s">
        <v>74</v>
      </c>
      <c r="AG344">
        <v>34</v>
      </c>
      <c r="AH344">
        <v>15</v>
      </c>
      <c r="AI344">
        <v>16</v>
      </c>
      <c r="AJ344">
        <v>1</v>
      </c>
      <c r="AK344">
        <v>32</v>
      </c>
      <c r="AL344" t="s">
        <v>3560</v>
      </c>
      <c r="AM344" t="s">
        <v>289</v>
      </c>
      <c r="AN344" t="s">
        <v>5440</v>
      </c>
      <c r="AO344" t="s">
        <v>6470</v>
      </c>
      <c r="AP344" t="s">
        <v>6471</v>
      </c>
      <c r="AQ344" t="s">
        <v>74</v>
      </c>
      <c r="AR344" t="s">
        <v>6472</v>
      </c>
      <c r="AS344" t="s">
        <v>6473</v>
      </c>
      <c r="AT344" t="s">
        <v>315</v>
      </c>
      <c r="AU344">
        <v>2016</v>
      </c>
      <c r="AV344">
        <v>39</v>
      </c>
      <c r="AW344">
        <v>1</v>
      </c>
      <c r="AX344" t="s">
        <v>74</v>
      </c>
      <c r="AY344" t="s">
        <v>74</v>
      </c>
      <c r="AZ344" t="s">
        <v>2540</v>
      </c>
      <c r="BA344" t="s">
        <v>74</v>
      </c>
      <c r="BB344">
        <v>189</v>
      </c>
      <c r="BC344">
        <v>198</v>
      </c>
      <c r="BD344" t="s">
        <v>74</v>
      </c>
      <c r="BE344" t="s">
        <v>6620</v>
      </c>
      <c r="BF344" t="str">
        <f>HYPERLINK("http://dx.doi.org/10.1007/s00300-015-1814-9","http://dx.doi.org/10.1007/s00300-015-1814-9")</f>
        <v>http://dx.doi.org/10.1007/s00300-015-1814-9</v>
      </c>
      <c r="BG344" t="s">
        <v>74</v>
      </c>
      <c r="BH344" t="s">
        <v>74</v>
      </c>
      <c r="BI344">
        <v>10</v>
      </c>
      <c r="BJ344" t="s">
        <v>6475</v>
      </c>
      <c r="BK344" t="s">
        <v>1661</v>
      </c>
      <c r="BL344" t="s">
        <v>6476</v>
      </c>
      <c r="BM344" t="s">
        <v>6477</v>
      </c>
      <c r="BN344" t="s">
        <v>74</v>
      </c>
      <c r="BO344" t="s">
        <v>74</v>
      </c>
      <c r="BP344" t="s">
        <v>74</v>
      </c>
      <c r="BQ344" t="s">
        <v>74</v>
      </c>
      <c r="BR344" t="s">
        <v>100</v>
      </c>
      <c r="BS344" t="s">
        <v>6621</v>
      </c>
      <c r="BT344" t="str">
        <f>HYPERLINK("https%3A%2F%2Fwww.webofscience.com%2Fwos%2Fwoscc%2Ffull-record%2FWOS:000369067100017","View Full Record in Web of Science")</f>
        <v>View Full Record in Web of Science</v>
      </c>
    </row>
    <row r="345" spans="1:72" x14ac:dyDescent="0.15">
      <c r="A345" t="s">
        <v>72</v>
      </c>
      <c r="B345" t="s">
        <v>6622</v>
      </c>
      <c r="C345" t="s">
        <v>74</v>
      </c>
      <c r="D345" t="s">
        <v>74</v>
      </c>
      <c r="E345" t="s">
        <v>74</v>
      </c>
      <c r="F345" t="s">
        <v>6623</v>
      </c>
      <c r="G345" t="s">
        <v>74</v>
      </c>
      <c r="H345" t="s">
        <v>74</v>
      </c>
      <c r="I345" t="s">
        <v>6624</v>
      </c>
      <c r="J345" t="s">
        <v>6625</v>
      </c>
      <c r="K345" t="s">
        <v>74</v>
      </c>
      <c r="L345" t="s">
        <v>74</v>
      </c>
      <c r="M345" t="s">
        <v>200</v>
      </c>
      <c r="N345" t="s">
        <v>79</v>
      </c>
      <c r="O345" t="s">
        <v>74</v>
      </c>
      <c r="P345" t="s">
        <v>74</v>
      </c>
      <c r="Q345" t="s">
        <v>74</v>
      </c>
      <c r="R345" t="s">
        <v>74</v>
      </c>
      <c r="S345" t="s">
        <v>74</v>
      </c>
      <c r="T345" t="s">
        <v>74</v>
      </c>
      <c r="U345" t="s">
        <v>6626</v>
      </c>
      <c r="V345" t="s">
        <v>6627</v>
      </c>
      <c r="W345" t="s">
        <v>6628</v>
      </c>
      <c r="X345" t="s">
        <v>6629</v>
      </c>
      <c r="Y345" t="s">
        <v>6630</v>
      </c>
      <c r="Z345" t="s">
        <v>6631</v>
      </c>
      <c r="AA345" t="s">
        <v>6632</v>
      </c>
      <c r="AB345" t="s">
        <v>6633</v>
      </c>
      <c r="AC345" t="s">
        <v>6634</v>
      </c>
      <c r="AD345" t="s">
        <v>6635</v>
      </c>
      <c r="AE345" t="s">
        <v>6636</v>
      </c>
      <c r="AF345" t="s">
        <v>74</v>
      </c>
      <c r="AG345">
        <v>86</v>
      </c>
      <c r="AH345">
        <v>25</v>
      </c>
      <c r="AI345">
        <v>26</v>
      </c>
      <c r="AJ345">
        <v>1</v>
      </c>
      <c r="AK345">
        <v>27</v>
      </c>
      <c r="AL345" t="s">
        <v>6637</v>
      </c>
      <c r="AM345" t="s">
        <v>6638</v>
      </c>
      <c r="AN345" t="s">
        <v>6639</v>
      </c>
      <c r="AO345" t="s">
        <v>6640</v>
      </c>
      <c r="AP345" t="s">
        <v>6641</v>
      </c>
      <c r="AQ345" t="s">
        <v>74</v>
      </c>
      <c r="AR345" t="s">
        <v>6642</v>
      </c>
      <c r="AS345" t="s">
        <v>6643</v>
      </c>
      <c r="AT345" t="s">
        <v>315</v>
      </c>
      <c r="AU345">
        <v>2016</v>
      </c>
      <c r="AV345">
        <v>123</v>
      </c>
      <c r="AW345" t="s">
        <v>5654</v>
      </c>
      <c r="AX345" t="s">
        <v>74</v>
      </c>
      <c r="AY345" t="s">
        <v>74</v>
      </c>
      <c r="AZ345" t="s">
        <v>74</v>
      </c>
      <c r="BA345" t="s">
        <v>74</v>
      </c>
      <c r="BB345">
        <v>233</v>
      </c>
      <c r="BC345">
        <v>245</v>
      </c>
      <c r="BD345" t="s">
        <v>74</v>
      </c>
      <c r="BE345" t="s">
        <v>6644</v>
      </c>
      <c r="BF345" t="str">
        <f>HYPERLINK("http://dx.doi.org/10.1007/s00704-014-1351-4","http://dx.doi.org/10.1007/s00704-014-1351-4")</f>
        <v>http://dx.doi.org/10.1007/s00704-014-1351-4</v>
      </c>
      <c r="BG345" t="s">
        <v>74</v>
      </c>
      <c r="BH345" t="s">
        <v>74</v>
      </c>
      <c r="BI345">
        <v>13</v>
      </c>
      <c r="BJ345" t="s">
        <v>1721</v>
      </c>
      <c r="BK345" t="s">
        <v>264</v>
      </c>
      <c r="BL345" t="s">
        <v>1721</v>
      </c>
      <c r="BM345" t="s">
        <v>6645</v>
      </c>
      <c r="BN345" t="s">
        <v>74</v>
      </c>
      <c r="BO345" t="s">
        <v>74</v>
      </c>
      <c r="BP345" t="s">
        <v>74</v>
      </c>
      <c r="BQ345" t="s">
        <v>74</v>
      </c>
      <c r="BR345" t="s">
        <v>100</v>
      </c>
      <c r="BS345" t="s">
        <v>6646</v>
      </c>
      <c r="BT345" t="str">
        <f>HYPERLINK("https%3A%2F%2Fwww.webofscience.com%2Fwos%2Fwoscc%2Ffull-record%2FWOS:000368715000018","View Full Record in Web of Science")</f>
        <v>View Full Record in Web of Science</v>
      </c>
    </row>
    <row r="346" spans="1:72" x14ac:dyDescent="0.15">
      <c r="A346" t="s">
        <v>72</v>
      </c>
      <c r="B346" t="s">
        <v>6647</v>
      </c>
      <c r="C346" t="s">
        <v>74</v>
      </c>
      <c r="D346" t="s">
        <v>74</v>
      </c>
      <c r="E346" t="s">
        <v>74</v>
      </c>
      <c r="F346" t="s">
        <v>6648</v>
      </c>
      <c r="G346" t="s">
        <v>74</v>
      </c>
      <c r="H346" t="s">
        <v>74</v>
      </c>
      <c r="I346" t="s">
        <v>6649</v>
      </c>
      <c r="J346" t="s">
        <v>6650</v>
      </c>
      <c r="K346" t="s">
        <v>74</v>
      </c>
      <c r="L346" t="s">
        <v>74</v>
      </c>
      <c r="M346" t="s">
        <v>200</v>
      </c>
      <c r="N346" t="s">
        <v>79</v>
      </c>
      <c r="O346" t="s">
        <v>74</v>
      </c>
      <c r="P346" t="s">
        <v>74</v>
      </c>
      <c r="Q346" t="s">
        <v>74</v>
      </c>
      <c r="R346" t="s">
        <v>74</v>
      </c>
      <c r="S346" t="s">
        <v>74</v>
      </c>
      <c r="T346" t="s">
        <v>6651</v>
      </c>
      <c r="U346" t="s">
        <v>6652</v>
      </c>
      <c r="V346" t="s">
        <v>6653</v>
      </c>
      <c r="W346" t="s">
        <v>6654</v>
      </c>
      <c r="X346" t="s">
        <v>6655</v>
      </c>
      <c r="Y346" t="s">
        <v>6656</v>
      </c>
      <c r="Z346" t="s">
        <v>6657</v>
      </c>
      <c r="AA346" t="s">
        <v>6658</v>
      </c>
      <c r="AB346" t="s">
        <v>74</v>
      </c>
      <c r="AC346" t="s">
        <v>6659</v>
      </c>
      <c r="AD346" t="s">
        <v>6660</v>
      </c>
      <c r="AE346" t="s">
        <v>6661</v>
      </c>
      <c r="AF346" t="s">
        <v>74</v>
      </c>
      <c r="AG346">
        <v>51</v>
      </c>
      <c r="AH346">
        <v>28</v>
      </c>
      <c r="AI346">
        <v>31</v>
      </c>
      <c r="AJ346">
        <v>1</v>
      </c>
      <c r="AK346">
        <v>23</v>
      </c>
      <c r="AL346" t="s">
        <v>6662</v>
      </c>
      <c r="AM346" t="s">
        <v>6663</v>
      </c>
      <c r="AN346" t="s">
        <v>6664</v>
      </c>
      <c r="AO346" t="s">
        <v>6665</v>
      </c>
      <c r="AP346" t="s">
        <v>6666</v>
      </c>
      <c r="AQ346" t="s">
        <v>74</v>
      </c>
      <c r="AR346" t="s">
        <v>6667</v>
      </c>
      <c r="AS346" t="s">
        <v>6668</v>
      </c>
      <c r="AT346" t="s">
        <v>315</v>
      </c>
      <c r="AU346">
        <v>2016</v>
      </c>
      <c r="AV346">
        <v>29</v>
      </c>
      <c r="AW346">
        <v>2</v>
      </c>
      <c r="AX346" t="s">
        <v>74</v>
      </c>
      <c r="AY346" t="s">
        <v>74</v>
      </c>
      <c r="AZ346" t="s">
        <v>74</v>
      </c>
      <c r="BA346" t="s">
        <v>74</v>
      </c>
      <c r="BB346">
        <v>525</v>
      </c>
      <c r="BC346">
        <v>541</v>
      </c>
      <c r="BD346" t="s">
        <v>74</v>
      </c>
      <c r="BE346" t="s">
        <v>6669</v>
      </c>
      <c r="BF346" t="str">
        <f>HYPERLINK("http://dx.doi.org/10.1175/JCLI-D-15-0059.1","http://dx.doi.org/10.1175/JCLI-D-15-0059.1")</f>
        <v>http://dx.doi.org/10.1175/JCLI-D-15-0059.1</v>
      </c>
      <c r="BG346" t="s">
        <v>74</v>
      </c>
      <c r="BH346" t="s">
        <v>74</v>
      </c>
      <c r="BI346">
        <v>17</v>
      </c>
      <c r="BJ346" t="s">
        <v>1721</v>
      </c>
      <c r="BK346" t="s">
        <v>264</v>
      </c>
      <c r="BL346" t="s">
        <v>1721</v>
      </c>
      <c r="BM346" t="s">
        <v>6670</v>
      </c>
      <c r="BN346" t="s">
        <v>74</v>
      </c>
      <c r="BO346" t="s">
        <v>5581</v>
      </c>
      <c r="BP346" t="s">
        <v>74</v>
      </c>
      <c r="BQ346" t="s">
        <v>74</v>
      </c>
      <c r="BR346" t="s">
        <v>100</v>
      </c>
      <c r="BS346" t="s">
        <v>6671</v>
      </c>
      <c r="BT346" t="str">
        <f>HYPERLINK("https%3A%2F%2Fwww.webofscience.com%2Fwos%2Fwoscc%2Ffull-record%2FWOS:000368633800002","View Full Record in Web of Science")</f>
        <v>View Full Record in Web of Science</v>
      </c>
    </row>
    <row r="347" spans="1:72" x14ac:dyDescent="0.15">
      <c r="A347" t="s">
        <v>72</v>
      </c>
      <c r="B347" t="s">
        <v>6672</v>
      </c>
      <c r="C347" t="s">
        <v>74</v>
      </c>
      <c r="D347" t="s">
        <v>74</v>
      </c>
      <c r="E347" t="s">
        <v>74</v>
      </c>
      <c r="F347" t="s">
        <v>6673</v>
      </c>
      <c r="G347" t="s">
        <v>74</v>
      </c>
      <c r="H347" t="s">
        <v>74</v>
      </c>
      <c r="I347" t="s">
        <v>6674</v>
      </c>
      <c r="J347" t="s">
        <v>6650</v>
      </c>
      <c r="K347" t="s">
        <v>74</v>
      </c>
      <c r="L347" t="s">
        <v>74</v>
      </c>
      <c r="M347" t="s">
        <v>200</v>
      </c>
      <c r="N347" t="s">
        <v>79</v>
      </c>
      <c r="O347" t="s">
        <v>74</v>
      </c>
      <c r="P347" t="s">
        <v>74</v>
      </c>
      <c r="Q347" t="s">
        <v>74</v>
      </c>
      <c r="R347" t="s">
        <v>74</v>
      </c>
      <c r="S347" t="s">
        <v>74</v>
      </c>
      <c r="T347" t="s">
        <v>6675</v>
      </c>
      <c r="U347" t="s">
        <v>6676</v>
      </c>
      <c r="V347" t="s">
        <v>6677</v>
      </c>
      <c r="W347" t="s">
        <v>6678</v>
      </c>
      <c r="X347" t="s">
        <v>6679</v>
      </c>
      <c r="Y347" t="s">
        <v>6680</v>
      </c>
      <c r="Z347" t="s">
        <v>6681</v>
      </c>
      <c r="AA347" t="s">
        <v>6682</v>
      </c>
      <c r="AB347" t="s">
        <v>6683</v>
      </c>
      <c r="AC347" t="s">
        <v>6684</v>
      </c>
      <c r="AD347" t="s">
        <v>6685</v>
      </c>
      <c r="AE347" t="s">
        <v>6686</v>
      </c>
      <c r="AF347" t="s">
        <v>74</v>
      </c>
      <c r="AG347">
        <v>38</v>
      </c>
      <c r="AH347">
        <v>51</v>
      </c>
      <c r="AI347">
        <v>55</v>
      </c>
      <c r="AJ347">
        <v>3</v>
      </c>
      <c r="AK347">
        <v>54</v>
      </c>
      <c r="AL347" t="s">
        <v>6662</v>
      </c>
      <c r="AM347" t="s">
        <v>6663</v>
      </c>
      <c r="AN347" t="s">
        <v>6664</v>
      </c>
      <c r="AO347" t="s">
        <v>6665</v>
      </c>
      <c r="AP347" t="s">
        <v>6666</v>
      </c>
      <c r="AQ347" t="s">
        <v>74</v>
      </c>
      <c r="AR347" t="s">
        <v>6667</v>
      </c>
      <c r="AS347" t="s">
        <v>6668</v>
      </c>
      <c r="AT347" t="s">
        <v>315</v>
      </c>
      <c r="AU347">
        <v>2016</v>
      </c>
      <c r="AV347">
        <v>29</v>
      </c>
      <c r="AW347">
        <v>2</v>
      </c>
      <c r="AX347" t="s">
        <v>74</v>
      </c>
      <c r="AY347" t="s">
        <v>74</v>
      </c>
      <c r="AZ347" t="s">
        <v>74</v>
      </c>
      <c r="BA347" t="s">
        <v>74</v>
      </c>
      <c r="BB347">
        <v>721</v>
      </c>
      <c r="BC347">
        <v>741</v>
      </c>
      <c r="BD347" t="s">
        <v>74</v>
      </c>
      <c r="BE347" t="s">
        <v>6687</v>
      </c>
      <c r="BF347" t="str">
        <f>HYPERLINK("http://dx.doi.org/10.1175/JCLI-D-15-0301.1","http://dx.doi.org/10.1175/JCLI-D-15-0301.1")</f>
        <v>http://dx.doi.org/10.1175/JCLI-D-15-0301.1</v>
      </c>
      <c r="BG347" t="s">
        <v>74</v>
      </c>
      <c r="BH347" t="s">
        <v>74</v>
      </c>
      <c r="BI347">
        <v>21</v>
      </c>
      <c r="BJ347" t="s">
        <v>1721</v>
      </c>
      <c r="BK347" t="s">
        <v>264</v>
      </c>
      <c r="BL347" t="s">
        <v>1721</v>
      </c>
      <c r="BM347" t="s">
        <v>6688</v>
      </c>
      <c r="BN347" t="s">
        <v>74</v>
      </c>
      <c r="BO347" t="s">
        <v>486</v>
      </c>
      <c r="BP347" t="s">
        <v>74</v>
      </c>
      <c r="BQ347" t="s">
        <v>74</v>
      </c>
      <c r="BR347" t="s">
        <v>100</v>
      </c>
      <c r="BS347" t="s">
        <v>6689</v>
      </c>
      <c r="BT347" t="str">
        <f>HYPERLINK("https%3A%2F%2Fwww.webofscience.com%2Fwos%2Fwoscc%2Ffull-record%2FWOS:000368638600001","View Full Record in Web of Science")</f>
        <v>View Full Record in Web of Science</v>
      </c>
    </row>
    <row r="348" spans="1:72" x14ac:dyDescent="0.15">
      <c r="A348" t="s">
        <v>72</v>
      </c>
      <c r="B348" t="s">
        <v>6690</v>
      </c>
      <c r="C348" t="s">
        <v>74</v>
      </c>
      <c r="D348" t="s">
        <v>74</v>
      </c>
      <c r="E348" t="s">
        <v>74</v>
      </c>
      <c r="F348" t="s">
        <v>6691</v>
      </c>
      <c r="G348" t="s">
        <v>74</v>
      </c>
      <c r="H348" t="s">
        <v>74</v>
      </c>
      <c r="I348" t="s">
        <v>6692</v>
      </c>
      <c r="J348" t="s">
        <v>6693</v>
      </c>
      <c r="K348" t="s">
        <v>74</v>
      </c>
      <c r="L348" t="s">
        <v>74</v>
      </c>
      <c r="M348" t="s">
        <v>200</v>
      </c>
      <c r="N348" t="s">
        <v>79</v>
      </c>
      <c r="O348" t="s">
        <v>74</v>
      </c>
      <c r="P348" t="s">
        <v>74</v>
      </c>
      <c r="Q348" t="s">
        <v>74</v>
      </c>
      <c r="R348" t="s">
        <v>74</v>
      </c>
      <c r="S348" t="s">
        <v>74</v>
      </c>
      <c r="T348" t="s">
        <v>6694</v>
      </c>
      <c r="U348" t="s">
        <v>6695</v>
      </c>
      <c r="V348" t="s">
        <v>6696</v>
      </c>
      <c r="W348" t="s">
        <v>6697</v>
      </c>
      <c r="X348" t="s">
        <v>6698</v>
      </c>
      <c r="Y348" t="s">
        <v>6699</v>
      </c>
      <c r="Z348" t="s">
        <v>6700</v>
      </c>
      <c r="AA348" t="s">
        <v>6701</v>
      </c>
      <c r="AB348" t="s">
        <v>6702</v>
      </c>
      <c r="AC348" t="s">
        <v>6703</v>
      </c>
      <c r="AD348" t="s">
        <v>6704</v>
      </c>
      <c r="AE348" t="s">
        <v>6705</v>
      </c>
      <c r="AF348" t="s">
        <v>74</v>
      </c>
      <c r="AG348">
        <v>49</v>
      </c>
      <c r="AH348">
        <v>8</v>
      </c>
      <c r="AI348">
        <v>8</v>
      </c>
      <c r="AJ348">
        <v>0</v>
      </c>
      <c r="AK348">
        <v>20</v>
      </c>
      <c r="AL348" t="s">
        <v>3560</v>
      </c>
      <c r="AM348" t="s">
        <v>4093</v>
      </c>
      <c r="AN348" t="s">
        <v>6706</v>
      </c>
      <c r="AO348" t="s">
        <v>6707</v>
      </c>
      <c r="AP348" t="s">
        <v>6708</v>
      </c>
      <c r="AQ348" t="s">
        <v>74</v>
      </c>
      <c r="AR348" t="s">
        <v>6709</v>
      </c>
      <c r="AS348" t="s">
        <v>6710</v>
      </c>
      <c r="AT348" t="s">
        <v>315</v>
      </c>
      <c r="AU348">
        <v>2016</v>
      </c>
      <c r="AV348">
        <v>55</v>
      </c>
      <c r="AW348">
        <v>1</v>
      </c>
      <c r="AX348" t="s">
        <v>74</v>
      </c>
      <c r="AY348" t="s">
        <v>74</v>
      </c>
      <c r="AZ348" t="s">
        <v>74</v>
      </c>
      <c r="BA348" t="s">
        <v>74</v>
      </c>
      <c r="BB348">
        <v>1</v>
      </c>
      <c r="BC348">
        <v>16</v>
      </c>
      <c r="BD348" t="s">
        <v>74</v>
      </c>
      <c r="BE348" t="s">
        <v>6711</v>
      </c>
      <c r="BF348" t="str">
        <f>HYPERLINK("http://dx.doi.org/10.1007/s10933-015-9853-3","http://dx.doi.org/10.1007/s10933-015-9853-3")</f>
        <v>http://dx.doi.org/10.1007/s10933-015-9853-3</v>
      </c>
      <c r="BG348" t="s">
        <v>74</v>
      </c>
      <c r="BH348" t="s">
        <v>74</v>
      </c>
      <c r="BI348">
        <v>16</v>
      </c>
      <c r="BJ348" t="s">
        <v>6712</v>
      </c>
      <c r="BK348" t="s">
        <v>264</v>
      </c>
      <c r="BL348" t="s">
        <v>6713</v>
      </c>
      <c r="BM348" t="s">
        <v>6714</v>
      </c>
      <c r="BN348" t="s">
        <v>74</v>
      </c>
      <c r="BO348" t="s">
        <v>74</v>
      </c>
      <c r="BP348" t="s">
        <v>74</v>
      </c>
      <c r="BQ348" t="s">
        <v>74</v>
      </c>
      <c r="BR348" t="s">
        <v>100</v>
      </c>
      <c r="BS348" t="s">
        <v>6715</v>
      </c>
      <c r="BT348" t="str">
        <f>HYPERLINK("https%3A%2F%2Fwww.webofscience.com%2Fwos%2Fwoscc%2Ffull-record%2FWOS:000368638900001","View Full Record in Web of Science")</f>
        <v>View Full Record in Web of Science</v>
      </c>
    </row>
    <row r="349" spans="1:72" x14ac:dyDescent="0.15">
      <c r="A349" t="s">
        <v>72</v>
      </c>
      <c r="B349" t="s">
        <v>6716</v>
      </c>
      <c r="C349" t="s">
        <v>74</v>
      </c>
      <c r="D349" t="s">
        <v>74</v>
      </c>
      <c r="E349" t="s">
        <v>74</v>
      </c>
      <c r="F349" t="s">
        <v>6717</v>
      </c>
      <c r="G349" t="s">
        <v>74</v>
      </c>
      <c r="H349" t="s">
        <v>74</v>
      </c>
      <c r="I349" t="s">
        <v>6718</v>
      </c>
      <c r="J349" t="s">
        <v>6719</v>
      </c>
      <c r="K349" t="s">
        <v>74</v>
      </c>
      <c r="L349" t="s">
        <v>74</v>
      </c>
      <c r="M349" t="s">
        <v>200</v>
      </c>
      <c r="N349" t="s">
        <v>79</v>
      </c>
      <c r="O349" t="s">
        <v>74</v>
      </c>
      <c r="P349" t="s">
        <v>74</v>
      </c>
      <c r="Q349" t="s">
        <v>74</v>
      </c>
      <c r="R349" t="s">
        <v>74</v>
      </c>
      <c r="S349" t="s">
        <v>74</v>
      </c>
      <c r="T349" t="s">
        <v>74</v>
      </c>
      <c r="U349" t="s">
        <v>6720</v>
      </c>
      <c r="V349" t="s">
        <v>6721</v>
      </c>
      <c r="W349" t="s">
        <v>6722</v>
      </c>
      <c r="X349" t="s">
        <v>6723</v>
      </c>
      <c r="Y349" t="s">
        <v>6724</v>
      </c>
      <c r="Z349" t="s">
        <v>6725</v>
      </c>
      <c r="AA349" t="s">
        <v>6726</v>
      </c>
      <c r="AB349" t="s">
        <v>6727</v>
      </c>
      <c r="AC349" t="s">
        <v>6728</v>
      </c>
      <c r="AD349" t="s">
        <v>6729</v>
      </c>
      <c r="AE349" t="s">
        <v>6730</v>
      </c>
      <c r="AF349" t="s">
        <v>74</v>
      </c>
      <c r="AG349">
        <v>57</v>
      </c>
      <c r="AH349">
        <v>20</v>
      </c>
      <c r="AI349">
        <v>22</v>
      </c>
      <c r="AJ349">
        <v>0</v>
      </c>
      <c r="AK349">
        <v>12</v>
      </c>
      <c r="AL349" t="s">
        <v>6662</v>
      </c>
      <c r="AM349" t="s">
        <v>6663</v>
      </c>
      <c r="AN349" t="s">
        <v>6664</v>
      </c>
      <c r="AO349" t="s">
        <v>6731</v>
      </c>
      <c r="AP349" t="s">
        <v>6732</v>
      </c>
      <c r="AQ349" t="s">
        <v>74</v>
      </c>
      <c r="AR349" t="s">
        <v>6733</v>
      </c>
      <c r="AS349" t="s">
        <v>6734</v>
      </c>
      <c r="AT349" t="s">
        <v>315</v>
      </c>
      <c r="AU349">
        <v>2016</v>
      </c>
      <c r="AV349">
        <v>46</v>
      </c>
      <c r="AW349">
        <v>1</v>
      </c>
      <c r="AX349" t="s">
        <v>74</v>
      </c>
      <c r="AY349" t="s">
        <v>74</v>
      </c>
      <c r="AZ349" t="s">
        <v>74</v>
      </c>
      <c r="BA349" t="s">
        <v>74</v>
      </c>
      <c r="BB349">
        <v>233</v>
      </c>
      <c r="BC349">
        <v>254</v>
      </c>
      <c r="BD349" t="s">
        <v>74</v>
      </c>
      <c r="BE349" t="s">
        <v>6735</v>
      </c>
      <c r="BF349" t="str">
        <f>HYPERLINK("http://dx.doi.org/10.1175/JPO-D-15-0025.1","http://dx.doi.org/10.1175/JPO-D-15-0025.1")</f>
        <v>http://dx.doi.org/10.1175/JPO-D-15-0025.1</v>
      </c>
      <c r="BG349" t="s">
        <v>74</v>
      </c>
      <c r="BH349" t="s">
        <v>74</v>
      </c>
      <c r="BI349">
        <v>22</v>
      </c>
      <c r="BJ349" t="s">
        <v>5339</v>
      </c>
      <c r="BK349" t="s">
        <v>264</v>
      </c>
      <c r="BL349" t="s">
        <v>5339</v>
      </c>
      <c r="BM349" t="s">
        <v>6736</v>
      </c>
      <c r="BN349" t="s">
        <v>74</v>
      </c>
      <c r="BO349" t="s">
        <v>6737</v>
      </c>
      <c r="BP349" t="s">
        <v>74</v>
      </c>
      <c r="BQ349" t="s">
        <v>74</v>
      </c>
      <c r="BR349" t="s">
        <v>100</v>
      </c>
      <c r="BS349" t="s">
        <v>6738</v>
      </c>
      <c r="BT349" t="str">
        <f>HYPERLINK("https%3A%2F%2Fwww.webofscience.com%2Fwos%2Fwoscc%2Ffull-record%2FWOS:000368628100001","View Full Record in Web of Science")</f>
        <v>View Full Record in Web of Science</v>
      </c>
    </row>
    <row r="350" spans="1:72" x14ac:dyDescent="0.15">
      <c r="A350" t="s">
        <v>72</v>
      </c>
      <c r="B350" t="s">
        <v>6739</v>
      </c>
      <c r="C350" t="s">
        <v>74</v>
      </c>
      <c r="D350" t="s">
        <v>74</v>
      </c>
      <c r="E350" t="s">
        <v>74</v>
      </c>
      <c r="F350" t="s">
        <v>6740</v>
      </c>
      <c r="G350" t="s">
        <v>74</v>
      </c>
      <c r="H350" t="s">
        <v>74</v>
      </c>
      <c r="I350" t="s">
        <v>6741</v>
      </c>
      <c r="J350" t="s">
        <v>6719</v>
      </c>
      <c r="K350" t="s">
        <v>74</v>
      </c>
      <c r="L350" t="s">
        <v>74</v>
      </c>
      <c r="M350" t="s">
        <v>200</v>
      </c>
      <c r="N350" t="s">
        <v>717</v>
      </c>
      <c r="O350" t="s">
        <v>74</v>
      </c>
      <c r="P350" t="s">
        <v>74</v>
      </c>
      <c r="Q350" t="s">
        <v>74</v>
      </c>
      <c r="R350" t="s">
        <v>74</v>
      </c>
      <c r="S350" t="s">
        <v>74</v>
      </c>
      <c r="T350" t="s">
        <v>74</v>
      </c>
      <c r="U350" t="s">
        <v>6742</v>
      </c>
      <c r="V350" t="s">
        <v>6743</v>
      </c>
      <c r="W350" t="s">
        <v>6744</v>
      </c>
      <c r="X350" t="s">
        <v>6745</v>
      </c>
      <c r="Y350" t="s">
        <v>6746</v>
      </c>
      <c r="Z350" t="s">
        <v>6747</v>
      </c>
      <c r="AA350" t="s">
        <v>74</v>
      </c>
      <c r="AB350" t="s">
        <v>74</v>
      </c>
      <c r="AC350" t="s">
        <v>74</v>
      </c>
      <c r="AD350" t="s">
        <v>74</v>
      </c>
      <c r="AE350" t="s">
        <v>74</v>
      </c>
      <c r="AF350" t="s">
        <v>74</v>
      </c>
      <c r="AG350">
        <v>110</v>
      </c>
      <c r="AH350">
        <v>40</v>
      </c>
      <c r="AI350">
        <v>41</v>
      </c>
      <c r="AJ350">
        <v>0</v>
      </c>
      <c r="AK350">
        <v>28</v>
      </c>
      <c r="AL350" t="s">
        <v>6662</v>
      </c>
      <c r="AM350" t="s">
        <v>6663</v>
      </c>
      <c r="AN350" t="s">
        <v>6664</v>
      </c>
      <c r="AO350" t="s">
        <v>6731</v>
      </c>
      <c r="AP350" t="s">
        <v>6732</v>
      </c>
      <c r="AQ350" t="s">
        <v>74</v>
      </c>
      <c r="AR350" t="s">
        <v>6733</v>
      </c>
      <c r="AS350" t="s">
        <v>6734</v>
      </c>
      <c r="AT350" t="s">
        <v>315</v>
      </c>
      <c r="AU350">
        <v>2016</v>
      </c>
      <c r="AV350">
        <v>46</v>
      </c>
      <c r="AW350">
        <v>1</v>
      </c>
      <c r="AX350" t="s">
        <v>74</v>
      </c>
      <c r="AY350" t="s">
        <v>74</v>
      </c>
      <c r="AZ350" t="s">
        <v>74</v>
      </c>
      <c r="BA350" t="s">
        <v>74</v>
      </c>
      <c r="BB350">
        <v>255</v>
      </c>
      <c r="BC350">
        <v>273</v>
      </c>
      <c r="BD350" t="s">
        <v>74</v>
      </c>
      <c r="BE350" t="s">
        <v>6748</v>
      </c>
      <c r="BF350" t="str">
        <f>HYPERLINK("http://dx.doi.org/10.1175/JPO-D-15-0046.1","http://dx.doi.org/10.1175/JPO-D-15-0046.1")</f>
        <v>http://dx.doi.org/10.1175/JPO-D-15-0046.1</v>
      </c>
      <c r="BG350" t="s">
        <v>74</v>
      </c>
      <c r="BH350" t="s">
        <v>74</v>
      </c>
      <c r="BI350">
        <v>19</v>
      </c>
      <c r="BJ350" t="s">
        <v>5339</v>
      </c>
      <c r="BK350" t="s">
        <v>264</v>
      </c>
      <c r="BL350" t="s">
        <v>5339</v>
      </c>
      <c r="BM350" t="s">
        <v>6736</v>
      </c>
      <c r="BN350" t="s">
        <v>74</v>
      </c>
      <c r="BO350" t="s">
        <v>2987</v>
      </c>
      <c r="BP350" t="s">
        <v>74</v>
      </c>
      <c r="BQ350" t="s">
        <v>74</v>
      </c>
      <c r="BR350" t="s">
        <v>100</v>
      </c>
      <c r="BS350" t="s">
        <v>6749</v>
      </c>
      <c r="BT350" t="str">
        <f>HYPERLINK("https%3A%2F%2Fwww.webofscience.com%2Fwos%2Fwoscc%2Ffull-record%2FWOS:000368628100002","View Full Record in Web of Science")</f>
        <v>View Full Record in Web of Science</v>
      </c>
    </row>
    <row r="351" spans="1:72" x14ac:dyDescent="0.15">
      <c r="A351" t="s">
        <v>72</v>
      </c>
      <c r="B351" t="s">
        <v>6750</v>
      </c>
      <c r="C351" t="s">
        <v>74</v>
      </c>
      <c r="D351" t="s">
        <v>74</v>
      </c>
      <c r="E351" t="s">
        <v>74</v>
      </c>
      <c r="F351" t="s">
        <v>6751</v>
      </c>
      <c r="G351" t="s">
        <v>74</v>
      </c>
      <c r="H351" t="s">
        <v>74</v>
      </c>
      <c r="I351" t="s">
        <v>6752</v>
      </c>
      <c r="J351" t="s">
        <v>6753</v>
      </c>
      <c r="K351" t="s">
        <v>74</v>
      </c>
      <c r="L351" t="s">
        <v>74</v>
      </c>
      <c r="M351" t="s">
        <v>6046</v>
      </c>
      <c r="N351" t="s">
        <v>79</v>
      </c>
      <c r="O351" t="s">
        <v>74</v>
      </c>
      <c r="P351" t="s">
        <v>74</v>
      </c>
      <c r="Q351" t="s">
        <v>74</v>
      </c>
      <c r="R351" t="s">
        <v>74</v>
      </c>
      <c r="S351" t="s">
        <v>74</v>
      </c>
      <c r="T351" t="s">
        <v>6754</v>
      </c>
      <c r="U351" t="s">
        <v>6755</v>
      </c>
      <c r="V351" t="s">
        <v>6756</v>
      </c>
      <c r="W351" t="s">
        <v>6757</v>
      </c>
      <c r="X351" t="s">
        <v>6758</v>
      </c>
      <c r="Y351" t="s">
        <v>6759</v>
      </c>
      <c r="Z351" t="s">
        <v>6760</v>
      </c>
      <c r="AA351" t="s">
        <v>74</v>
      </c>
      <c r="AB351" t="s">
        <v>6761</v>
      </c>
      <c r="AC351" t="s">
        <v>74</v>
      </c>
      <c r="AD351" t="s">
        <v>74</v>
      </c>
      <c r="AE351" t="s">
        <v>74</v>
      </c>
      <c r="AF351" t="s">
        <v>74</v>
      </c>
      <c r="AG351">
        <v>22</v>
      </c>
      <c r="AH351">
        <v>1</v>
      </c>
      <c r="AI351">
        <v>1</v>
      </c>
      <c r="AJ351">
        <v>6</v>
      </c>
      <c r="AK351">
        <v>19</v>
      </c>
      <c r="AL351" t="s">
        <v>6056</v>
      </c>
      <c r="AM351" t="s">
        <v>6057</v>
      </c>
      <c r="AN351" t="s">
        <v>6058</v>
      </c>
      <c r="AO351" t="s">
        <v>6762</v>
      </c>
      <c r="AP351" t="s">
        <v>74</v>
      </c>
      <c r="AQ351" t="s">
        <v>74</v>
      </c>
      <c r="AR351" t="s">
        <v>6763</v>
      </c>
      <c r="AS351" t="s">
        <v>6764</v>
      </c>
      <c r="AT351" t="s">
        <v>315</v>
      </c>
      <c r="AU351">
        <v>2016</v>
      </c>
      <c r="AV351">
        <v>59</v>
      </c>
      <c r="AW351">
        <v>1</v>
      </c>
      <c r="AX351" t="s">
        <v>74</v>
      </c>
      <c r="AY351" t="s">
        <v>74</v>
      </c>
      <c r="AZ351" t="s">
        <v>74</v>
      </c>
      <c r="BA351" t="s">
        <v>74</v>
      </c>
      <c r="BB351">
        <v>8</v>
      </c>
      <c r="BC351">
        <v>16</v>
      </c>
      <c r="BD351" t="s">
        <v>74</v>
      </c>
      <c r="BE351" t="s">
        <v>6765</v>
      </c>
      <c r="BF351" t="str">
        <f>HYPERLINK("http://dx.doi.org/10.6038/cjg20160102","http://dx.doi.org/10.6038/cjg20160102")</f>
        <v>http://dx.doi.org/10.6038/cjg20160102</v>
      </c>
      <c r="BG351" t="s">
        <v>74</v>
      </c>
      <c r="BH351" t="s">
        <v>74</v>
      </c>
      <c r="BI351">
        <v>9</v>
      </c>
      <c r="BJ351" t="s">
        <v>4474</v>
      </c>
      <c r="BK351" t="s">
        <v>264</v>
      </c>
      <c r="BL351" t="s">
        <v>4474</v>
      </c>
      <c r="BM351" t="s">
        <v>6766</v>
      </c>
      <c r="BN351" t="s">
        <v>74</v>
      </c>
      <c r="BO351" t="s">
        <v>74</v>
      </c>
      <c r="BP351" t="s">
        <v>74</v>
      </c>
      <c r="BQ351" t="s">
        <v>74</v>
      </c>
      <c r="BR351" t="s">
        <v>100</v>
      </c>
      <c r="BS351" t="s">
        <v>6767</v>
      </c>
      <c r="BT351" t="str">
        <f>HYPERLINK("https%3A%2F%2Fwww.webofscience.com%2Fwos%2Fwoscc%2Ffull-record%2FWOS:000368048800002","View Full Record in Web of Science")</f>
        <v>View Full Record in Web of Science</v>
      </c>
    </row>
    <row r="352" spans="1:72" x14ac:dyDescent="0.15">
      <c r="A352" t="s">
        <v>72</v>
      </c>
      <c r="B352" t="s">
        <v>6768</v>
      </c>
      <c r="C352" t="s">
        <v>74</v>
      </c>
      <c r="D352" t="s">
        <v>74</v>
      </c>
      <c r="E352" t="s">
        <v>74</v>
      </c>
      <c r="F352" t="s">
        <v>6769</v>
      </c>
      <c r="G352" t="s">
        <v>74</v>
      </c>
      <c r="H352" t="s">
        <v>74</v>
      </c>
      <c r="I352" t="s">
        <v>6770</v>
      </c>
      <c r="J352" t="s">
        <v>6753</v>
      </c>
      <c r="K352" t="s">
        <v>74</v>
      </c>
      <c r="L352" t="s">
        <v>74</v>
      </c>
      <c r="M352" t="s">
        <v>6046</v>
      </c>
      <c r="N352" t="s">
        <v>79</v>
      </c>
      <c r="O352" t="s">
        <v>74</v>
      </c>
      <c r="P352" t="s">
        <v>74</v>
      </c>
      <c r="Q352" t="s">
        <v>74</v>
      </c>
      <c r="R352" t="s">
        <v>74</v>
      </c>
      <c r="S352" t="s">
        <v>74</v>
      </c>
      <c r="T352" t="s">
        <v>6771</v>
      </c>
      <c r="U352" t="s">
        <v>6772</v>
      </c>
      <c r="V352" t="s">
        <v>6773</v>
      </c>
      <c r="W352" t="s">
        <v>6774</v>
      </c>
      <c r="X352" t="s">
        <v>3556</v>
      </c>
      <c r="Y352" t="s">
        <v>6775</v>
      </c>
      <c r="Z352" t="s">
        <v>6776</v>
      </c>
      <c r="AA352" t="s">
        <v>74</v>
      </c>
      <c r="AB352" t="s">
        <v>74</v>
      </c>
      <c r="AC352" t="s">
        <v>74</v>
      </c>
      <c r="AD352" t="s">
        <v>74</v>
      </c>
      <c r="AE352" t="s">
        <v>74</v>
      </c>
      <c r="AF352" t="s">
        <v>74</v>
      </c>
      <c r="AG352">
        <v>35</v>
      </c>
      <c r="AH352">
        <v>12</v>
      </c>
      <c r="AI352">
        <v>18</v>
      </c>
      <c r="AJ352">
        <v>5</v>
      </c>
      <c r="AK352">
        <v>55</v>
      </c>
      <c r="AL352" t="s">
        <v>6056</v>
      </c>
      <c r="AM352" t="s">
        <v>6057</v>
      </c>
      <c r="AN352" t="s">
        <v>6058</v>
      </c>
      <c r="AO352" t="s">
        <v>6762</v>
      </c>
      <c r="AP352" t="s">
        <v>74</v>
      </c>
      <c r="AQ352" t="s">
        <v>74</v>
      </c>
      <c r="AR352" t="s">
        <v>6763</v>
      </c>
      <c r="AS352" t="s">
        <v>6764</v>
      </c>
      <c r="AT352" t="s">
        <v>315</v>
      </c>
      <c r="AU352">
        <v>2016</v>
      </c>
      <c r="AV352">
        <v>59</v>
      </c>
      <c r="AW352">
        <v>1</v>
      </c>
      <c r="AX352" t="s">
        <v>74</v>
      </c>
      <c r="AY352" t="s">
        <v>74</v>
      </c>
      <c r="AZ352" t="s">
        <v>74</v>
      </c>
      <c r="BA352" t="s">
        <v>74</v>
      </c>
      <c r="BB352">
        <v>93</v>
      </c>
      <c r="BC352">
        <v>100</v>
      </c>
      <c r="BD352" t="s">
        <v>74</v>
      </c>
      <c r="BE352" t="s">
        <v>6777</v>
      </c>
      <c r="BF352" t="str">
        <f>HYPERLINK("http://dx.doi.org/10.6038/cjg20160108","http://dx.doi.org/10.6038/cjg20160108")</f>
        <v>http://dx.doi.org/10.6038/cjg20160108</v>
      </c>
      <c r="BG352" t="s">
        <v>74</v>
      </c>
      <c r="BH352" t="s">
        <v>74</v>
      </c>
      <c r="BI352">
        <v>8</v>
      </c>
      <c r="BJ352" t="s">
        <v>4474</v>
      </c>
      <c r="BK352" t="s">
        <v>264</v>
      </c>
      <c r="BL352" t="s">
        <v>4474</v>
      </c>
      <c r="BM352" t="s">
        <v>6766</v>
      </c>
      <c r="BN352" t="s">
        <v>74</v>
      </c>
      <c r="BO352" t="s">
        <v>74</v>
      </c>
      <c r="BP352" t="s">
        <v>74</v>
      </c>
      <c r="BQ352" t="s">
        <v>74</v>
      </c>
      <c r="BR352" t="s">
        <v>100</v>
      </c>
      <c r="BS352" t="s">
        <v>6778</v>
      </c>
      <c r="BT352" t="str">
        <f>HYPERLINK("https%3A%2F%2Fwww.webofscience.com%2Fwos%2Fwoscc%2Ffull-record%2FWOS:000368048800008","View Full Record in Web of Science")</f>
        <v>View Full Record in Web of Science</v>
      </c>
    </row>
    <row r="353" spans="1:72" x14ac:dyDescent="0.15">
      <c r="A353" t="s">
        <v>72</v>
      </c>
      <c r="B353" t="s">
        <v>6779</v>
      </c>
      <c r="C353" t="s">
        <v>74</v>
      </c>
      <c r="D353" t="s">
        <v>74</v>
      </c>
      <c r="E353" t="s">
        <v>74</v>
      </c>
      <c r="F353" t="s">
        <v>6780</v>
      </c>
      <c r="G353" t="s">
        <v>74</v>
      </c>
      <c r="H353" t="s">
        <v>74</v>
      </c>
      <c r="I353" t="s">
        <v>6781</v>
      </c>
      <c r="J353" t="s">
        <v>6782</v>
      </c>
      <c r="K353" t="s">
        <v>74</v>
      </c>
      <c r="L353" t="s">
        <v>74</v>
      </c>
      <c r="M353" t="s">
        <v>200</v>
      </c>
      <c r="N353" t="s">
        <v>79</v>
      </c>
      <c r="O353" t="s">
        <v>74</v>
      </c>
      <c r="P353" t="s">
        <v>74</v>
      </c>
      <c r="Q353" t="s">
        <v>74</v>
      </c>
      <c r="R353" t="s">
        <v>74</v>
      </c>
      <c r="S353" t="s">
        <v>74</v>
      </c>
      <c r="T353" t="s">
        <v>74</v>
      </c>
      <c r="U353" t="s">
        <v>6783</v>
      </c>
      <c r="V353" t="s">
        <v>6784</v>
      </c>
      <c r="W353" t="s">
        <v>6785</v>
      </c>
      <c r="X353" t="s">
        <v>6786</v>
      </c>
      <c r="Y353" t="s">
        <v>6787</v>
      </c>
      <c r="Z353" t="s">
        <v>6788</v>
      </c>
      <c r="AA353" t="s">
        <v>6789</v>
      </c>
      <c r="AB353" t="s">
        <v>6790</v>
      </c>
      <c r="AC353" t="s">
        <v>74</v>
      </c>
      <c r="AD353" t="s">
        <v>74</v>
      </c>
      <c r="AE353" t="s">
        <v>74</v>
      </c>
      <c r="AF353" t="s">
        <v>74</v>
      </c>
      <c r="AG353">
        <v>28</v>
      </c>
      <c r="AH353">
        <v>16</v>
      </c>
      <c r="AI353">
        <v>16</v>
      </c>
      <c r="AJ353">
        <v>1</v>
      </c>
      <c r="AK353">
        <v>27</v>
      </c>
      <c r="AL353" t="s">
        <v>5464</v>
      </c>
      <c r="AM353" t="s">
        <v>5465</v>
      </c>
      <c r="AN353" t="s">
        <v>5466</v>
      </c>
      <c r="AO353" t="s">
        <v>6791</v>
      </c>
      <c r="AP353" t="s">
        <v>6792</v>
      </c>
      <c r="AQ353" t="s">
        <v>74</v>
      </c>
      <c r="AR353" t="s">
        <v>6793</v>
      </c>
      <c r="AS353" t="s">
        <v>6794</v>
      </c>
      <c r="AT353" t="s">
        <v>315</v>
      </c>
      <c r="AU353">
        <v>2016</v>
      </c>
      <c r="AV353">
        <v>67</v>
      </c>
      <c r="AW353">
        <v>1</v>
      </c>
      <c r="AX353" t="s">
        <v>74</v>
      </c>
      <c r="AY353" t="s">
        <v>74</v>
      </c>
      <c r="AZ353" t="s">
        <v>2540</v>
      </c>
      <c r="BA353" t="s">
        <v>74</v>
      </c>
      <c r="BB353">
        <v>70</v>
      </c>
      <c r="BC353">
        <v>78</v>
      </c>
      <c r="BD353" t="s">
        <v>74</v>
      </c>
      <c r="BE353" t="s">
        <v>6795</v>
      </c>
      <c r="BF353" t="str">
        <f>HYPERLINK("http://dx.doi.org/10.1111/ejss.12307","http://dx.doi.org/10.1111/ejss.12307")</f>
        <v>http://dx.doi.org/10.1111/ejss.12307</v>
      </c>
      <c r="BG353" t="s">
        <v>74</v>
      </c>
      <c r="BH353" t="s">
        <v>74</v>
      </c>
      <c r="BI353">
        <v>9</v>
      </c>
      <c r="BJ353" t="s">
        <v>6796</v>
      </c>
      <c r="BK353" t="s">
        <v>264</v>
      </c>
      <c r="BL353" t="s">
        <v>6797</v>
      </c>
      <c r="BM353" t="s">
        <v>6798</v>
      </c>
      <c r="BN353" t="s">
        <v>74</v>
      </c>
      <c r="BO353" t="s">
        <v>74</v>
      </c>
      <c r="BP353" t="s">
        <v>74</v>
      </c>
      <c r="BQ353" t="s">
        <v>74</v>
      </c>
      <c r="BR353" t="s">
        <v>100</v>
      </c>
      <c r="BS353" t="s">
        <v>6799</v>
      </c>
      <c r="BT353" t="str">
        <f>HYPERLINK("https%3A%2F%2Fwww.webofscience.com%2Fwos%2Fwoscc%2Ffull-record%2FWOS:000368079600010","View Full Record in Web of Science")</f>
        <v>View Full Record in Web of Science</v>
      </c>
    </row>
    <row r="354" spans="1:72" x14ac:dyDescent="0.15">
      <c r="A354" t="s">
        <v>72</v>
      </c>
      <c r="B354" t="s">
        <v>6800</v>
      </c>
      <c r="C354" t="s">
        <v>74</v>
      </c>
      <c r="D354" t="s">
        <v>74</v>
      </c>
      <c r="E354" t="s">
        <v>74</v>
      </c>
      <c r="F354" t="s">
        <v>6801</v>
      </c>
      <c r="G354" t="s">
        <v>74</v>
      </c>
      <c r="H354" t="s">
        <v>74</v>
      </c>
      <c r="I354" t="s">
        <v>6802</v>
      </c>
      <c r="J354" t="s">
        <v>6803</v>
      </c>
      <c r="K354" t="s">
        <v>74</v>
      </c>
      <c r="L354" t="s">
        <v>74</v>
      </c>
      <c r="M354" t="s">
        <v>200</v>
      </c>
      <c r="N354" t="s">
        <v>3434</v>
      </c>
      <c r="O354" t="s">
        <v>74</v>
      </c>
      <c r="P354" t="s">
        <v>74</v>
      </c>
      <c r="Q354" t="s">
        <v>74</v>
      </c>
      <c r="R354" t="s">
        <v>74</v>
      </c>
      <c r="S354" t="s">
        <v>74</v>
      </c>
      <c r="T354" t="s">
        <v>6804</v>
      </c>
      <c r="U354" t="s">
        <v>6805</v>
      </c>
      <c r="V354" t="s">
        <v>74</v>
      </c>
      <c r="W354" t="s">
        <v>6806</v>
      </c>
      <c r="X354" t="s">
        <v>6807</v>
      </c>
      <c r="Y354" t="s">
        <v>6808</v>
      </c>
      <c r="Z354" t="s">
        <v>6809</v>
      </c>
      <c r="AA354" t="s">
        <v>6810</v>
      </c>
      <c r="AB354" t="s">
        <v>6811</v>
      </c>
      <c r="AC354" t="s">
        <v>74</v>
      </c>
      <c r="AD354" t="s">
        <v>74</v>
      </c>
      <c r="AE354" t="s">
        <v>74</v>
      </c>
      <c r="AF354" t="s">
        <v>74</v>
      </c>
      <c r="AG354">
        <v>24</v>
      </c>
      <c r="AH354">
        <v>6</v>
      </c>
      <c r="AI354">
        <v>7</v>
      </c>
      <c r="AJ354">
        <v>0</v>
      </c>
      <c r="AK354">
        <v>13</v>
      </c>
      <c r="AL354" t="s">
        <v>6812</v>
      </c>
      <c r="AM354" t="s">
        <v>2100</v>
      </c>
      <c r="AN354" t="s">
        <v>6813</v>
      </c>
      <c r="AO354" t="s">
        <v>6814</v>
      </c>
      <c r="AP354" t="s">
        <v>6815</v>
      </c>
      <c r="AQ354" t="s">
        <v>74</v>
      </c>
      <c r="AR354" t="s">
        <v>6816</v>
      </c>
      <c r="AS354" t="s">
        <v>6817</v>
      </c>
      <c r="AT354" t="s">
        <v>4470</v>
      </c>
      <c r="AU354">
        <v>2016</v>
      </c>
      <c r="AV354">
        <v>9</v>
      </c>
      <c r="AW354">
        <v>1</v>
      </c>
      <c r="AX354" t="s">
        <v>74</v>
      </c>
      <c r="AY354" t="s">
        <v>74</v>
      </c>
      <c r="AZ354" t="s">
        <v>74</v>
      </c>
      <c r="BA354" t="s">
        <v>74</v>
      </c>
      <c r="BB354">
        <v>110</v>
      </c>
      <c r="BC354">
        <v>112</v>
      </c>
      <c r="BD354" t="s">
        <v>74</v>
      </c>
      <c r="BE354" t="s">
        <v>6818</v>
      </c>
      <c r="BF354" t="str">
        <f>HYPERLINK("http://dx.doi.org/10.1016/j.jiph.2015.06.012","http://dx.doi.org/10.1016/j.jiph.2015.06.012")</f>
        <v>http://dx.doi.org/10.1016/j.jiph.2015.06.012</v>
      </c>
      <c r="BG354" t="s">
        <v>74</v>
      </c>
      <c r="BH354" t="s">
        <v>74</v>
      </c>
      <c r="BI354">
        <v>3</v>
      </c>
      <c r="BJ354" t="s">
        <v>6819</v>
      </c>
      <c r="BK354" t="s">
        <v>264</v>
      </c>
      <c r="BL354" t="s">
        <v>6819</v>
      </c>
      <c r="BM354" t="s">
        <v>6820</v>
      </c>
      <c r="BN354">
        <v>26235961</v>
      </c>
      <c r="BO354" t="s">
        <v>5581</v>
      </c>
      <c r="BP354" t="s">
        <v>74</v>
      </c>
      <c r="BQ354" t="s">
        <v>74</v>
      </c>
      <c r="BR354" t="s">
        <v>100</v>
      </c>
      <c r="BS354" t="s">
        <v>6821</v>
      </c>
      <c r="BT354" t="str">
        <f>HYPERLINK("https%3A%2F%2Fwww.webofscience.com%2Fwos%2Fwoscc%2Ffull-record%2FWOS:000368264800003","View Full Record in Web of Science")</f>
        <v>View Full Record in Web of Science</v>
      </c>
    </row>
    <row r="355" spans="1:72" x14ac:dyDescent="0.15">
      <c r="A355" t="s">
        <v>72</v>
      </c>
      <c r="B355" t="s">
        <v>6822</v>
      </c>
      <c r="C355" t="s">
        <v>74</v>
      </c>
      <c r="D355" t="s">
        <v>74</v>
      </c>
      <c r="E355" t="s">
        <v>74</v>
      </c>
      <c r="F355" t="s">
        <v>6823</v>
      </c>
      <c r="G355" t="s">
        <v>74</v>
      </c>
      <c r="H355" t="s">
        <v>74</v>
      </c>
      <c r="I355" t="s">
        <v>6824</v>
      </c>
      <c r="J355" t="s">
        <v>6825</v>
      </c>
      <c r="K355" t="s">
        <v>74</v>
      </c>
      <c r="L355" t="s">
        <v>74</v>
      </c>
      <c r="M355" t="s">
        <v>200</v>
      </c>
      <c r="N355" t="s">
        <v>79</v>
      </c>
      <c r="O355" t="s">
        <v>74</v>
      </c>
      <c r="P355" t="s">
        <v>74</v>
      </c>
      <c r="Q355" t="s">
        <v>74</v>
      </c>
      <c r="R355" t="s">
        <v>74</v>
      </c>
      <c r="S355" t="s">
        <v>74</v>
      </c>
      <c r="T355" t="s">
        <v>74</v>
      </c>
      <c r="U355" t="s">
        <v>6826</v>
      </c>
      <c r="V355" t="s">
        <v>6827</v>
      </c>
      <c r="W355" t="s">
        <v>6828</v>
      </c>
      <c r="X355" t="s">
        <v>6829</v>
      </c>
      <c r="Y355" t="s">
        <v>6830</v>
      </c>
      <c r="Z355" t="s">
        <v>6831</v>
      </c>
      <c r="AA355" t="s">
        <v>74</v>
      </c>
      <c r="AB355" t="s">
        <v>6832</v>
      </c>
      <c r="AC355" t="s">
        <v>74</v>
      </c>
      <c r="AD355" t="s">
        <v>74</v>
      </c>
      <c r="AE355" t="s">
        <v>74</v>
      </c>
      <c r="AF355" t="s">
        <v>74</v>
      </c>
      <c r="AG355">
        <v>103</v>
      </c>
      <c r="AH355">
        <v>32</v>
      </c>
      <c r="AI355">
        <v>33</v>
      </c>
      <c r="AJ355">
        <v>0</v>
      </c>
      <c r="AK355">
        <v>8</v>
      </c>
      <c r="AL355" t="s">
        <v>6295</v>
      </c>
      <c r="AM355" t="s">
        <v>4690</v>
      </c>
      <c r="AN355" t="s">
        <v>6296</v>
      </c>
      <c r="AO355" t="s">
        <v>6833</v>
      </c>
      <c r="AP355" t="s">
        <v>6834</v>
      </c>
      <c r="AQ355" t="s">
        <v>74</v>
      </c>
      <c r="AR355" t="s">
        <v>6835</v>
      </c>
      <c r="AS355" t="s">
        <v>6836</v>
      </c>
      <c r="AT355" t="s">
        <v>315</v>
      </c>
      <c r="AU355">
        <v>2016</v>
      </c>
      <c r="AV355">
        <v>173</v>
      </c>
      <c r="AW355">
        <v>1</v>
      </c>
      <c r="AX355" t="s">
        <v>74</v>
      </c>
      <c r="AY355" t="s">
        <v>74</v>
      </c>
      <c r="AZ355" t="s">
        <v>74</v>
      </c>
      <c r="BA355" t="s">
        <v>74</v>
      </c>
      <c r="BB355">
        <v>203</v>
      </c>
      <c r="BC355">
        <v>215</v>
      </c>
      <c r="BD355" t="s">
        <v>74</v>
      </c>
      <c r="BE355" t="s">
        <v>6837</v>
      </c>
      <c r="BF355" t="str">
        <f>HYPERLINK("http://dx.doi.org/10.1144/jgs2015-012","http://dx.doi.org/10.1144/jgs2015-012")</f>
        <v>http://dx.doi.org/10.1144/jgs2015-012</v>
      </c>
      <c r="BG355" t="s">
        <v>74</v>
      </c>
      <c r="BH355" t="s">
        <v>74</v>
      </c>
      <c r="BI355">
        <v>13</v>
      </c>
      <c r="BJ355" t="s">
        <v>95</v>
      </c>
      <c r="BK355" t="s">
        <v>264</v>
      </c>
      <c r="BL355" t="s">
        <v>97</v>
      </c>
      <c r="BM355" t="s">
        <v>6838</v>
      </c>
      <c r="BN355" t="s">
        <v>74</v>
      </c>
      <c r="BO355" t="s">
        <v>403</v>
      </c>
      <c r="BP355" t="s">
        <v>74</v>
      </c>
      <c r="BQ355" t="s">
        <v>74</v>
      </c>
      <c r="BR355" t="s">
        <v>100</v>
      </c>
      <c r="BS355" t="s">
        <v>6839</v>
      </c>
      <c r="BT355" t="str">
        <f>HYPERLINK("https%3A%2F%2Fwww.webofscience.com%2Fwos%2Fwoscc%2Ffull-record%2FWOS:000367894800014","View Full Record in Web of Science")</f>
        <v>View Full Record in Web of Science</v>
      </c>
    </row>
    <row r="356" spans="1:72" x14ac:dyDescent="0.15">
      <c r="A356" t="s">
        <v>72</v>
      </c>
      <c r="B356" t="s">
        <v>6840</v>
      </c>
      <c r="C356" t="s">
        <v>74</v>
      </c>
      <c r="D356" t="s">
        <v>74</v>
      </c>
      <c r="E356" t="s">
        <v>74</v>
      </c>
      <c r="F356" t="s">
        <v>6841</v>
      </c>
      <c r="G356" t="s">
        <v>74</v>
      </c>
      <c r="H356" t="s">
        <v>74</v>
      </c>
      <c r="I356" t="s">
        <v>6842</v>
      </c>
      <c r="J356" t="s">
        <v>6843</v>
      </c>
      <c r="K356" t="s">
        <v>74</v>
      </c>
      <c r="L356" t="s">
        <v>74</v>
      </c>
      <c r="M356" t="s">
        <v>200</v>
      </c>
      <c r="N356" t="s">
        <v>79</v>
      </c>
      <c r="O356" t="s">
        <v>74</v>
      </c>
      <c r="P356" t="s">
        <v>74</v>
      </c>
      <c r="Q356" t="s">
        <v>74</v>
      </c>
      <c r="R356" t="s">
        <v>74</v>
      </c>
      <c r="S356" t="s">
        <v>74</v>
      </c>
      <c r="T356" t="s">
        <v>74</v>
      </c>
      <c r="U356" t="s">
        <v>6844</v>
      </c>
      <c r="V356" t="s">
        <v>6845</v>
      </c>
      <c r="W356" t="s">
        <v>6846</v>
      </c>
      <c r="X356" t="s">
        <v>6847</v>
      </c>
      <c r="Y356" t="s">
        <v>6848</v>
      </c>
      <c r="Z356" t="s">
        <v>6849</v>
      </c>
      <c r="AA356" t="s">
        <v>6850</v>
      </c>
      <c r="AB356" t="s">
        <v>6851</v>
      </c>
      <c r="AC356" t="s">
        <v>6852</v>
      </c>
      <c r="AD356" t="s">
        <v>6853</v>
      </c>
      <c r="AE356" t="s">
        <v>6854</v>
      </c>
      <c r="AF356" t="s">
        <v>74</v>
      </c>
      <c r="AG356">
        <v>42</v>
      </c>
      <c r="AH356">
        <v>32</v>
      </c>
      <c r="AI356">
        <v>34</v>
      </c>
      <c r="AJ356">
        <v>2</v>
      </c>
      <c r="AK356">
        <v>63</v>
      </c>
      <c r="AL356" t="s">
        <v>6855</v>
      </c>
      <c r="AM356" t="s">
        <v>5465</v>
      </c>
      <c r="AN356" t="s">
        <v>5466</v>
      </c>
      <c r="AO356" t="s">
        <v>6856</v>
      </c>
      <c r="AP356" t="s">
        <v>6857</v>
      </c>
      <c r="AQ356" t="s">
        <v>74</v>
      </c>
      <c r="AR356" t="s">
        <v>6858</v>
      </c>
      <c r="AS356" t="s">
        <v>6859</v>
      </c>
      <c r="AT356" t="s">
        <v>315</v>
      </c>
      <c r="AU356">
        <v>2016</v>
      </c>
      <c r="AV356">
        <v>61</v>
      </c>
      <c r="AW356">
        <v>1</v>
      </c>
      <c r="AX356" t="s">
        <v>74</v>
      </c>
      <c r="AY356" t="s">
        <v>74</v>
      </c>
      <c r="AZ356" t="s">
        <v>74</v>
      </c>
      <c r="BA356" t="s">
        <v>74</v>
      </c>
      <c r="BB356">
        <v>3</v>
      </c>
      <c r="BC356">
        <v>13</v>
      </c>
      <c r="BD356" t="s">
        <v>74</v>
      </c>
      <c r="BE356" t="s">
        <v>6860</v>
      </c>
      <c r="BF356" t="str">
        <f>HYPERLINK("http://dx.doi.org/10.1002/lno.10107","http://dx.doi.org/10.1002/lno.10107")</f>
        <v>http://dx.doi.org/10.1002/lno.10107</v>
      </c>
      <c r="BG356" t="s">
        <v>74</v>
      </c>
      <c r="BH356" t="s">
        <v>74</v>
      </c>
      <c r="BI356">
        <v>11</v>
      </c>
      <c r="BJ356" t="s">
        <v>6861</v>
      </c>
      <c r="BK356" t="s">
        <v>264</v>
      </c>
      <c r="BL356" t="s">
        <v>6862</v>
      </c>
      <c r="BM356" t="s">
        <v>6863</v>
      </c>
      <c r="BN356" t="s">
        <v>74</v>
      </c>
      <c r="BO356" t="s">
        <v>486</v>
      </c>
      <c r="BP356" t="s">
        <v>74</v>
      </c>
      <c r="BQ356" t="s">
        <v>74</v>
      </c>
      <c r="BR356" t="s">
        <v>100</v>
      </c>
      <c r="BS356" t="s">
        <v>6864</v>
      </c>
      <c r="BT356" t="str">
        <f>HYPERLINK("https%3A%2F%2Fwww.webofscience.com%2Fwos%2Fwoscc%2Ffull-record%2FWOS:000367983800001","View Full Record in Web of Science")</f>
        <v>View Full Record in Web of Science</v>
      </c>
    </row>
    <row r="357" spans="1:72" x14ac:dyDescent="0.15">
      <c r="A357" t="s">
        <v>72</v>
      </c>
      <c r="B357" t="s">
        <v>6865</v>
      </c>
      <c r="C357" t="s">
        <v>74</v>
      </c>
      <c r="D357" t="s">
        <v>74</v>
      </c>
      <c r="E357" t="s">
        <v>74</v>
      </c>
      <c r="F357" t="s">
        <v>6866</v>
      </c>
      <c r="G357" t="s">
        <v>74</v>
      </c>
      <c r="H357" t="s">
        <v>74</v>
      </c>
      <c r="I357" t="s">
        <v>6867</v>
      </c>
      <c r="J357" t="s">
        <v>6868</v>
      </c>
      <c r="K357" t="s">
        <v>74</v>
      </c>
      <c r="L357" t="s">
        <v>74</v>
      </c>
      <c r="M357" t="s">
        <v>200</v>
      </c>
      <c r="N357" t="s">
        <v>79</v>
      </c>
      <c r="O357" t="s">
        <v>74</v>
      </c>
      <c r="P357" t="s">
        <v>74</v>
      </c>
      <c r="Q357" t="s">
        <v>74</v>
      </c>
      <c r="R357" t="s">
        <v>74</v>
      </c>
      <c r="S357" t="s">
        <v>74</v>
      </c>
      <c r="T357" t="s">
        <v>6869</v>
      </c>
      <c r="U357" t="s">
        <v>6870</v>
      </c>
      <c r="V357" t="s">
        <v>6871</v>
      </c>
      <c r="W357" t="s">
        <v>6872</v>
      </c>
      <c r="X357" t="s">
        <v>6873</v>
      </c>
      <c r="Y357" t="s">
        <v>6874</v>
      </c>
      <c r="Z357" t="s">
        <v>6875</v>
      </c>
      <c r="AA357" t="s">
        <v>74</v>
      </c>
      <c r="AB357" t="s">
        <v>6876</v>
      </c>
      <c r="AC357" t="s">
        <v>6877</v>
      </c>
      <c r="AD357" t="s">
        <v>6878</v>
      </c>
      <c r="AE357" t="s">
        <v>6879</v>
      </c>
      <c r="AF357" t="s">
        <v>74</v>
      </c>
      <c r="AG357">
        <v>48</v>
      </c>
      <c r="AH357">
        <v>2</v>
      </c>
      <c r="AI357">
        <v>2</v>
      </c>
      <c r="AJ357">
        <v>0</v>
      </c>
      <c r="AK357">
        <v>12</v>
      </c>
      <c r="AL357" t="s">
        <v>3560</v>
      </c>
      <c r="AM357" t="s">
        <v>289</v>
      </c>
      <c r="AN357" t="s">
        <v>6124</v>
      </c>
      <c r="AO357" t="s">
        <v>6880</v>
      </c>
      <c r="AP357" t="s">
        <v>6881</v>
      </c>
      <c r="AQ357" t="s">
        <v>74</v>
      </c>
      <c r="AR357" t="s">
        <v>6882</v>
      </c>
      <c r="AS357" t="s">
        <v>6883</v>
      </c>
      <c r="AT357" t="s">
        <v>315</v>
      </c>
      <c r="AU357">
        <v>2016</v>
      </c>
      <c r="AV357">
        <v>35</v>
      </c>
      <c r="AW357">
        <v>1</v>
      </c>
      <c r="AX357" t="s">
        <v>74</v>
      </c>
      <c r="AY357" t="s">
        <v>74</v>
      </c>
      <c r="AZ357" t="s">
        <v>74</v>
      </c>
      <c r="BA357" t="s">
        <v>74</v>
      </c>
      <c r="BB357">
        <v>38</v>
      </c>
      <c r="BC357">
        <v>45</v>
      </c>
      <c r="BD357" t="s">
        <v>74</v>
      </c>
      <c r="BE357" t="s">
        <v>6884</v>
      </c>
      <c r="BF357" t="str">
        <f>HYPERLINK("http://dx.doi.org/10.1007/s13131-016-0794-0","http://dx.doi.org/10.1007/s13131-016-0794-0")</f>
        <v>http://dx.doi.org/10.1007/s13131-016-0794-0</v>
      </c>
      <c r="BG357" t="s">
        <v>74</v>
      </c>
      <c r="BH357" t="s">
        <v>74</v>
      </c>
      <c r="BI357">
        <v>8</v>
      </c>
      <c r="BJ357" t="s">
        <v>5339</v>
      </c>
      <c r="BK357" t="s">
        <v>264</v>
      </c>
      <c r="BL357" t="s">
        <v>5339</v>
      </c>
      <c r="BM357" t="s">
        <v>6885</v>
      </c>
      <c r="BN357" t="s">
        <v>74</v>
      </c>
      <c r="BO357" t="s">
        <v>74</v>
      </c>
      <c r="BP357" t="s">
        <v>74</v>
      </c>
      <c r="BQ357" t="s">
        <v>74</v>
      </c>
      <c r="BR357" t="s">
        <v>100</v>
      </c>
      <c r="BS357" t="s">
        <v>6886</v>
      </c>
      <c r="BT357" t="str">
        <f>HYPERLINK("https%3A%2F%2Fwww.webofscience.com%2Fwos%2Fwoscc%2Ffull-record%2FWOS:000367846500005","View Full Record in Web of Science")</f>
        <v>View Full Record in Web of Science</v>
      </c>
    </row>
    <row r="358" spans="1:72" x14ac:dyDescent="0.15">
      <c r="A358" t="s">
        <v>72</v>
      </c>
      <c r="B358" t="s">
        <v>6887</v>
      </c>
      <c r="C358" t="s">
        <v>74</v>
      </c>
      <c r="D358" t="s">
        <v>74</v>
      </c>
      <c r="E358" t="s">
        <v>74</v>
      </c>
      <c r="F358" t="s">
        <v>6888</v>
      </c>
      <c r="G358" t="s">
        <v>74</v>
      </c>
      <c r="H358" t="s">
        <v>74</v>
      </c>
      <c r="I358" t="s">
        <v>6889</v>
      </c>
      <c r="J358" t="s">
        <v>6890</v>
      </c>
      <c r="K358" t="s">
        <v>74</v>
      </c>
      <c r="L358" t="s">
        <v>74</v>
      </c>
      <c r="M358" t="s">
        <v>200</v>
      </c>
      <c r="N358" t="s">
        <v>79</v>
      </c>
      <c r="O358" t="s">
        <v>74</v>
      </c>
      <c r="P358" t="s">
        <v>74</v>
      </c>
      <c r="Q358" t="s">
        <v>74</v>
      </c>
      <c r="R358" t="s">
        <v>74</v>
      </c>
      <c r="S358" t="s">
        <v>74</v>
      </c>
      <c r="T358" t="s">
        <v>6891</v>
      </c>
      <c r="U358" t="s">
        <v>6892</v>
      </c>
      <c r="V358" t="s">
        <v>6893</v>
      </c>
      <c r="W358" t="s">
        <v>6894</v>
      </c>
      <c r="X358" t="s">
        <v>6895</v>
      </c>
      <c r="Y358" t="s">
        <v>6896</v>
      </c>
      <c r="Z358" t="s">
        <v>6897</v>
      </c>
      <c r="AA358" t="s">
        <v>6898</v>
      </c>
      <c r="AB358" t="s">
        <v>6899</v>
      </c>
      <c r="AC358" t="s">
        <v>6900</v>
      </c>
      <c r="AD358" t="s">
        <v>6901</v>
      </c>
      <c r="AE358" t="s">
        <v>6902</v>
      </c>
      <c r="AF358" t="s">
        <v>74</v>
      </c>
      <c r="AG358">
        <v>59</v>
      </c>
      <c r="AH358">
        <v>9</v>
      </c>
      <c r="AI358">
        <v>9</v>
      </c>
      <c r="AJ358">
        <v>1</v>
      </c>
      <c r="AK358">
        <v>26</v>
      </c>
      <c r="AL358" t="s">
        <v>5888</v>
      </c>
      <c r="AM358" t="s">
        <v>1386</v>
      </c>
      <c r="AN358" t="s">
        <v>5889</v>
      </c>
      <c r="AO358" t="s">
        <v>6903</v>
      </c>
      <c r="AP358" t="s">
        <v>6904</v>
      </c>
      <c r="AQ358" t="s">
        <v>74</v>
      </c>
      <c r="AR358" t="s">
        <v>6905</v>
      </c>
      <c r="AS358" t="s">
        <v>6906</v>
      </c>
      <c r="AT358" t="s">
        <v>315</v>
      </c>
      <c r="AU358">
        <v>2016</v>
      </c>
      <c r="AV358">
        <v>125</v>
      </c>
      <c r="AW358" t="s">
        <v>74</v>
      </c>
      <c r="AX358" t="s">
        <v>6314</v>
      </c>
      <c r="AY358" t="s">
        <v>74</v>
      </c>
      <c r="AZ358" t="s">
        <v>74</v>
      </c>
      <c r="BA358" t="s">
        <v>74</v>
      </c>
      <c r="BB358">
        <v>212</v>
      </c>
      <c r="BC358">
        <v>221</v>
      </c>
      <c r="BD358" t="s">
        <v>74</v>
      </c>
      <c r="BE358" t="s">
        <v>6907</v>
      </c>
      <c r="BF358" t="str">
        <f>HYPERLINK("http://dx.doi.org/10.1016/j.atmosenv.2015.11.015","http://dx.doi.org/10.1016/j.atmosenv.2015.11.015")</f>
        <v>http://dx.doi.org/10.1016/j.atmosenv.2015.11.015</v>
      </c>
      <c r="BG358" t="s">
        <v>74</v>
      </c>
      <c r="BH358" t="s">
        <v>74</v>
      </c>
      <c r="BI358">
        <v>10</v>
      </c>
      <c r="BJ358" t="s">
        <v>3244</v>
      </c>
      <c r="BK358" t="s">
        <v>264</v>
      </c>
      <c r="BL358" t="s">
        <v>3245</v>
      </c>
      <c r="BM358" t="s">
        <v>6908</v>
      </c>
      <c r="BN358" t="s">
        <v>74</v>
      </c>
      <c r="BO358" t="s">
        <v>74</v>
      </c>
      <c r="BP358" t="s">
        <v>74</v>
      </c>
      <c r="BQ358" t="s">
        <v>74</v>
      </c>
      <c r="BR358" t="s">
        <v>100</v>
      </c>
      <c r="BS358" t="s">
        <v>6909</v>
      </c>
      <c r="BT358" t="str">
        <f>HYPERLINK("https%3A%2F%2Fwww.webofscience.com%2Fwos%2Fwoscc%2Ffull-record%2FWOS:000367636500021","View Full Record in Web of Science")</f>
        <v>View Full Record in Web of Science</v>
      </c>
    </row>
    <row r="359" spans="1:72" x14ac:dyDescent="0.15">
      <c r="A359" t="s">
        <v>72</v>
      </c>
      <c r="B359" t="s">
        <v>6910</v>
      </c>
      <c r="C359" t="s">
        <v>74</v>
      </c>
      <c r="D359" t="s">
        <v>74</v>
      </c>
      <c r="E359" t="s">
        <v>74</v>
      </c>
      <c r="F359" t="s">
        <v>6911</v>
      </c>
      <c r="G359" t="s">
        <v>74</v>
      </c>
      <c r="H359" t="s">
        <v>74</v>
      </c>
      <c r="I359" t="s">
        <v>6912</v>
      </c>
      <c r="J359" t="s">
        <v>6890</v>
      </c>
      <c r="K359" t="s">
        <v>74</v>
      </c>
      <c r="L359" t="s">
        <v>74</v>
      </c>
      <c r="M359" t="s">
        <v>200</v>
      </c>
      <c r="N359" t="s">
        <v>79</v>
      </c>
      <c r="O359" t="s">
        <v>74</v>
      </c>
      <c r="P359" t="s">
        <v>74</v>
      </c>
      <c r="Q359" t="s">
        <v>74</v>
      </c>
      <c r="R359" t="s">
        <v>74</v>
      </c>
      <c r="S359" t="s">
        <v>74</v>
      </c>
      <c r="T359" t="s">
        <v>6913</v>
      </c>
      <c r="U359" t="s">
        <v>6914</v>
      </c>
      <c r="V359" t="s">
        <v>6915</v>
      </c>
      <c r="W359" t="s">
        <v>6916</v>
      </c>
      <c r="X359" t="s">
        <v>6917</v>
      </c>
      <c r="Y359" t="s">
        <v>6918</v>
      </c>
      <c r="Z359" t="s">
        <v>6919</v>
      </c>
      <c r="AA359" t="s">
        <v>6920</v>
      </c>
      <c r="AB359" t="s">
        <v>6921</v>
      </c>
      <c r="AC359" t="s">
        <v>6922</v>
      </c>
      <c r="AD359" t="s">
        <v>6923</v>
      </c>
      <c r="AE359" t="s">
        <v>6924</v>
      </c>
      <c r="AF359" t="s">
        <v>74</v>
      </c>
      <c r="AG359">
        <v>42</v>
      </c>
      <c r="AH359">
        <v>29</v>
      </c>
      <c r="AI359">
        <v>31</v>
      </c>
      <c r="AJ359">
        <v>0</v>
      </c>
      <c r="AK359">
        <v>54</v>
      </c>
      <c r="AL359" t="s">
        <v>5888</v>
      </c>
      <c r="AM359" t="s">
        <v>1386</v>
      </c>
      <c r="AN359" t="s">
        <v>5889</v>
      </c>
      <c r="AO359" t="s">
        <v>6903</v>
      </c>
      <c r="AP359" t="s">
        <v>6904</v>
      </c>
      <c r="AQ359" t="s">
        <v>74</v>
      </c>
      <c r="AR359" t="s">
        <v>6905</v>
      </c>
      <c r="AS359" t="s">
        <v>6906</v>
      </c>
      <c r="AT359" t="s">
        <v>315</v>
      </c>
      <c r="AU359">
        <v>2016</v>
      </c>
      <c r="AV359">
        <v>125</v>
      </c>
      <c r="AW359" t="s">
        <v>74</v>
      </c>
      <c r="AX359" t="s">
        <v>6314</v>
      </c>
      <c r="AY359" t="s">
        <v>74</v>
      </c>
      <c r="AZ359" t="s">
        <v>74</v>
      </c>
      <c r="BA359" t="s">
        <v>74</v>
      </c>
      <c r="BB359">
        <v>257</v>
      </c>
      <c r="BC359">
        <v>264</v>
      </c>
      <c r="BD359" t="s">
        <v>74</v>
      </c>
      <c r="BE359" t="s">
        <v>6925</v>
      </c>
      <c r="BF359" t="str">
        <f>HYPERLINK("http://dx.doi.org/10.1016/j.atmosenv.2015.11.027","http://dx.doi.org/10.1016/j.atmosenv.2015.11.027")</f>
        <v>http://dx.doi.org/10.1016/j.atmosenv.2015.11.027</v>
      </c>
      <c r="BG359" t="s">
        <v>74</v>
      </c>
      <c r="BH359" t="s">
        <v>74</v>
      </c>
      <c r="BI359">
        <v>8</v>
      </c>
      <c r="BJ359" t="s">
        <v>3244</v>
      </c>
      <c r="BK359" t="s">
        <v>264</v>
      </c>
      <c r="BL359" t="s">
        <v>3245</v>
      </c>
      <c r="BM359" t="s">
        <v>6908</v>
      </c>
      <c r="BN359" t="s">
        <v>74</v>
      </c>
      <c r="BO359" t="s">
        <v>74</v>
      </c>
      <c r="BP359" t="s">
        <v>74</v>
      </c>
      <c r="BQ359" t="s">
        <v>74</v>
      </c>
      <c r="BR359" t="s">
        <v>100</v>
      </c>
      <c r="BS359" t="s">
        <v>6926</v>
      </c>
      <c r="BT359" t="str">
        <f>HYPERLINK("https%3A%2F%2Fwww.webofscience.com%2Fwos%2Fwoscc%2Ffull-record%2FWOS:000367636500026","View Full Record in Web of Science")</f>
        <v>View Full Record in Web of Science</v>
      </c>
    </row>
    <row r="360" spans="1:72" x14ac:dyDescent="0.15">
      <c r="A360" t="s">
        <v>72</v>
      </c>
      <c r="B360" t="s">
        <v>6927</v>
      </c>
      <c r="C360" t="s">
        <v>74</v>
      </c>
      <c r="D360" t="s">
        <v>74</v>
      </c>
      <c r="E360" t="s">
        <v>74</v>
      </c>
      <c r="F360" t="s">
        <v>6928</v>
      </c>
      <c r="G360" t="s">
        <v>74</v>
      </c>
      <c r="H360" t="s">
        <v>74</v>
      </c>
      <c r="I360" t="s">
        <v>6929</v>
      </c>
      <c r="J360" t="s">
        <v>6930</v>
      </c>
      <c r="K360" t="s">
        <v>74</v>
      </c>
      <c r="L360" t="s">
        <v>74</v>
      </c>
      <c r="M360" t="s">
        <v>200</v>
      </c>
      <c r="N360" t="s">
        <v>79</v>
      </c>
      <c r="O360" t="s">
        <v>74</v>
      </c>
      <c r="P360" t="s">
        <v>74</v>
      </c>
      <c r="Q360" t="s">
        <v>74</v>
      </c>
      <c r="R360" t="s">
        <v>74</v>
      </c>
      <c r="S360" t="s">
        <v>74</v>
      </c>
      <c r="T360" t="s">
        <v>6931</v>
      </c>
      <c r="U360" t="s">
        <v>6932</v>
      </c>
      <c r="V360" t="s">
        <v>6933</v>
      </c>
      <c r="W360" t="s">
        <v>6934</v>
      </c>
      <c r="X360" t="s">
        <v>6935</v>
      </c>
      <c r="Y360" t="s">
        <v>6936</v>
      </c>
      <c r="Z360" t="s">
        <v>6937</v>
      </c>
      <c r="AA360" t="s">
        <v>6938</v>
      </c>
      <c r="AB360" t="s">
        <v>74</v>
      </c>
      <c r="AC360" t="s">
        <v>6939</v>
      </c>
      <c r="AD360" t="s">
        <v>6940</v>
      </c>
      <c r="AE360" t="s">
        <v>6941</v>
      </c>
      <c r="AF360" t="s">
        <v>74</v>
      </c>
      <c r="AG360">
        <v>66</v>
      </c>
      <c r="AH360">
        <v>3</v>
      </c>
      <c r="AI360">
        <v>4</v>
      </c>
      <c r="AJ360">
        <v>0</v>
      </c>
      <c r="AK360">
        <v>13</v>
      </c>
      <c r="AL360" t="s">
        <v>6422</v>
      </c>
      <c r="AM360" t="s">
        <v>289</v>
      </c>
      <c r="AN360" t="s">
        <v>6942</v>
      </c>
      <c r="AO360" t="s">
        <v>6943</v>
      </c>
      <c r="AP360" t="s">
        <v>6944</v>
      </c>
      <c r="AQ360" t="s">
        <v>74</v>
      </c>
      <c r="AR360" t="s">
        <v>6945</v>
      </c>
      <c r="AS360" t="s">
        <v>6946</v>
      </c>
      <c r="AT360" t="s">
        <v>315</v>
      </c>
      <c r="AU360">
        <v>2016</v>
      </c>
      <c r="AV360">
        <v>191</v>
      </c>
      <c r="AW360" t="s">
        <v>74</v>
      </c>
      <c r="AX360" t="s">
        <v>74</v>
      </c>
      <c r="AY360" t="s">
        <v>74</v>
      </c>
      <c r="AZ360" t="s">
        <v>74</v>
      </c>
      <c r="BA360" t="s">
        <v>74</v>
      </c>
      <c r="BB360">
        <v>166</v>
      </c>
      <c r="BC360">
        <v>173</v>
      </c>
      <c r="BD360" t="s">
        <v>74</v>
      </c>
      <c r="BE360" t="s">
        <v>6947</v>
      </c>
      <c r="BF360" t="str">
        <f>HYPERLINK("http://dx.doi.org/10.1016/j.cbpa.2015.10.019","http://dx.doi.org/10.1016/j.cbpa.2015.10.019")</f>
        <v>http://dx.doi.org/10.1016/j.cbpa.2015.10.019</v>
      </c>
      <c r="BG360" t="s">
        <v>74</v>
      </c>
      <c r="BH360" t="s">
        <v>74</v>
      </c>
      <c r="BI360">
        <v>8</v>
      </c>
      <c r="BJ360" t="s">
        <v>6948</v>
      </c>
      <c r="BK360" t="s">
        <v>264</v>
      </c>
      <c r="BL360" t="s">
        <v>6948</v>
      </c>
      <c r="BM360" t="s">
        <v>6949</v>
      </c>
      <c r="BN360">
        <v>26497279</v>
      </c>
      <c r="BO360" t="s">
        <v>403</v>
      </c>
      <c r="BP360" t="s">
        <v>74</v>
      </c>
      <c r="BQ360" t="s">
        <v>74</v>
      </c>
      <c r="BR360" t="s">
        <v>100</v>
      </c>
      <c r="BS360" t="s">
        <v>6950</v>
      </c>
      <c r="BT360" t="str">
        <f>HYPERLINK("https%3A%2F%2Fwww.webofscience.com%2Fwos%2Fwoscc%2Ffull-record%2FWOS:000367633100021","View Full Record in Web of Science")</f>
        <v>View Full Record in Web of Science</v>
      </c>
    </row>
    <row r="361" spans="1:72" x14ac:dyDescent="0.15">
      <c r="A361" t="s">
        <v>72</v>
      </c>
      <c r="B361" t="s">
        <v>6951</v>
      </c>
      <c r="C361" t="s">
        <v>74</v>
      </c>
      <c r="D361" t="s">
        <v>74</v>
      </c>
      <c r="E361" t="s">
        <v>74</v>
      </c>
      <c r="F361" t="s">
        <v>6952</v>
      </c>
      <c r="G361" t="s">
        <v>74</v>
      </c>
      <c r="H361" t="s">
        <v>74</v>
      </c>
      <c r="I361" t="s">
        <v>6953</v>
      </c>
      <c r="J361" t="s">
        <v>6954</v>
      </c>
      <c r="K361" t="s">
        <v>74</v>
      </c>
      <c r="L361" t="s">
        <v>74</v>
      </c>
      <c r="M361" t="s">
        <v>200</v>
      </c>
      <c r="N361" t="s">
        <v>79</v>
      </c>
      <c r="O361" t="s">
        <v>74</v>
      </c>
      <c r="P361" t="s">
        <v>74</v>
      </c>
      <c r="Q361" t="s">
        <v>74</v>
      </c>
      <c r="R361" t="s">
        <v>74</v>
      </c>
      <c r="S361" t="s">
        <v>74</v>
      </c>
      <c r="T361" t="s">
        <v>74</v>
      </c>
      <c r="U361" t="s">
        <v>6955</v>
      </c>
      <c r="V361" t="s">
        <v>6956</v>
      </c>
      <c r="W361" t="s">
        <v>6957</v>
      </c>
      <c r="X361" t="s">
        <v>6958</v>
      </c>
      <c r="Y361" t="s">
        <v>6959</v>
      </c>
      <c r="Z361" t="s">
        <v>6960</v>
      </c>
      <c r="AA361" t="s">
        <v>6961</v>
      </c>
      <c r="AB361" t="s">
        <v>6962</v>
      </c>
      <c r="AC361" t="s">
        <v>6963</v>
      </c>
      <c r="AD361" t="s">
        <v>6964</v>
      </c>
      <c r="AE361" t="s">
        <v>6965</v>
      </c>
      <c r="AF361" t="s">
        <v>74</v>
      </c>
      <c r="AG361">
        <v>39</v>
      </c>
      <c r="AH361">
        <v>21</v>
      </c>
      <c r="AI361">
        <v>32</v>
      </c>
      <c r="AJ361">
        <v>1</v>
      </c>
      <c r="AK361">
        <v>32</v>
      </c>
      <c r="AL361" t="s">
        <v>3560</v>
      </c>
      <c r="AM361" t="s">
        <v>289</v>
      </c>
      <c r="AN361" t="s">
        <v>6124</v>
      </c>
      <c r="AO361" t="s">
        <v>6966</v>
      </c>
      <c r="AP361" t="s">
        <v>6967</v>
      </c>
      <c r="AQ361" t="s">
        <v>74</v>
      </c>
      <c r="AR361" t="s">
        <v>6968</v>
      </c>
      <c r="AS361" t="s">
        <v>6969</v>
      </c>
      <c r="AT361" t="s">
        <v>315</v>
      </c>
      <c r="AU361">
        <v>2016</v>
      </c>
      <c r="AV361">
        <v>72</v>
      </c>
      <c r="AW361">
        <v>1</v>
      </c>
      <c r="AX361" t="s">
        <v>74</v>
      </c>
      <c r="AY361" t="s">
        <v>74</v>
      </c>
      <c r="AZ361" t="s">
        <v>74</v>
      </c>
      <c r="BA361" t="s">
        <v>74</v>
      </c>
      <c r="BB361">
        <v>94</v>
      </c>
      <c r="BC361">
        <v>101</v>
      </c>
      <c r="BD361" t="s">
        <v>74</v>
      </c>
      <c r="BE361" t="s">
        <v>6970</v>
      </c>
      <c r="BF361" t="str">
        <f>HYPERLINK("http://dx.doi.org/10.1007/s00284-015-0928-1","http://dx.doi.org/10.1007/s00284-015-0928-1")</f>
        <v>http://dx.doi.org/10.1007/s00284-015-0928-1</v>
      </c>
      <c r="BG361" t="s">
        <v>74</v>
      </c>
      <c r="BH361" t="s">
        <v>74</v>
      </c>
      <c r="BI361">
        <v>8</v>
      </c>
      <c r="BJ361" t="s">
        <v>5726</v>
      </c>
      <c r="BK361" t="s">
        <v>264</v>
      </c>
      <c r="BL361" t="s">
        <v>5726</v>
      </c>
      <c r="BM361" t="s">
        <v>6971</v>
      </c>
      <c r="BN361">
        <v>26483082</v>
      </c>
      <c r="BO361" t="s">
        <v>74</v>
      </c>
      <c r="BP361" t="s">
        <v>74</v>
      </c>
      <c r="BQ361" t="s">
        <v>74</v>
      </c>
      <c r="BR361" t="s">
        <v>100</v>
      </c>
      <c r="BS361" t="s">
        <v>6972</v>
      </c>
      <c r="BT361" t="str">
        <f>HYPERLINK("https%3A%2F%2Fwww.webofscience.com%2Fwos%2Fwoscc%2Ffull-record%2FWOS:000367689700014","View Full Record in Web of Science")</f>
        <v>View Full Record in Web of Science</v>
      </c>
    </row>
    <row r="362" spans="1:72" x14ac:dyDescent="0.15">
      <c r="A362" t="s">
        <v>72</v>
      </c>
      <c r="B362" t="s">
        <v>6973</v>
      </c>
      <c r="C362" t="s">
        <v>74</v>
      </c>
      <c r="D362" t="s">
        <v>74</v>
      </c>
      <c r="E362" t="s">
        <v>74</v>
      </c>
      <c r="F362" t="s">
        <v>6974</v>
      </c>
      <c r="G362" t="s">
        <v>74</v>
      </c>
      <c r="H362" t="s">
        <v>74</v>
      </c>
      <c r="I362" t="s">
        <v>6975</v>
      </c>
      <c r="J362" t="s">
        <v>6976</v>
      </c>
      <c r="K362" t="s">
        <v>74</v>
      </c>
      <c r="L362" t="s">
        <v>74</v>
      </c>
      <c r="M362" t="s">
        <v>200</v>
      </c>
      <c r="N362" t="s">
        <v>79</v>
      </c>
      <c r="O362" t="s">
        <v>74</v>
      </c>
      <c r="P362" t="s">
        <v>74</v>
      </c>
      <c r="Q362" t="s">
        <v>74</v>
      </c>
      <c r="R362" t="s">
        <v>74</v>
      </c>
      <c r="S362" t="s">
        <v>74</v>
      </c>
      <c r="T362" t="s">
        <v>74</v>
      </c>
      <c r="U362" t="s">
        <v>6977</v>
      </c>
      <c r="V362" t="s">
        <v>6978</v>
      </c>
      <c r="W362" t="s">
        <v>6979</v>
      </c>
      <c r="X362" t="s">
        <v>6980</v>
      </c>
      <c r="Y362" t="s">
        <v>6981</v>
      </c>
      <c r="Z362" t="s">
        <v>6982</v>
      </c>
      <c r="AA362" t="s">
        <v>6983</v>
      </c>
      <c r="AB362" t="s">
        <v>6984</v>
      </c>
      <c r="AC362" t="s">
        <v>6985</v>
      </c>
      <c r="AD362" t="s">
        <v>6986</v>
      </c>
      <c r="AE362" t="s">
        <v>6987</v>
      </c>
      <c r="AF362" t="s">
        <v>74</v>
      </c>
      <c r="AG362">
        <v>107</v>
      </c>
      <c r="AH362">
        <v>27</v>
      </c>
      <c r="AI362">
        <v>30</v>
      </c>
      <c r="AJ362">
        <v>1</v>
      </c>
      <c r="AK362">
        <v>29</v>
      </c>
      <c r="AL362" t="s">
        <v>5888</v>
      </c>
      <c r="AM362" t="s">
        <v>1386</v>
      </c>
      <c r="AN362" t="s">
        <v>5889</v>
      </c>
      <c r="AO362" t="s">
        <v>6988</v>
      </c>
      <c r="AP362" t="s">
        <v>6989</v>
      </c>
      <c r="AQ362" t="s">
        <v>74</v>
      </c>
      <c r="AR362" t="s">
        <v>6990</v>
      </c>
      <c r="AS362" t="s">
        <v>6991</v>
      </c>
      <c r="AT362" t="s">
        <v>6992</v>
      </c>
      <c r="AU362">
        <v>2016</v>
      </c>
      <c r="AV362">
        <v>172</v>
      </c>
      <c r="AW362" t="s">
        <v>74</v>
      </c>
      <c r="AX362" t="s">
        <v>74</v>
      </c>
      <c r="AY362" t="s">
        <v>74</v>
      </c>
      <c r="AZ362" t="s">
        <v>74</v>
      </c>
      <c r="BA362" t="s">
        <v>74</v>
      </c>
      <c r="BB362">
        <v>393</v>
      </c>
      <c r="BC362">
        <v>409</v>
      </c>
      <c r="BD362" t="s">
        <v>74</v>
      </c>
      <c r="BE362" t="s">
        <v>6993</v>
      </c>
      <c r="BF362" t="str">
        <f>HYPERLINK("http://dx.doi.org/10.1016/j.gca.2015.10.009","http://dx.doi.org/10.1016/j.gca.2015.10.009")</f>
        <v>http://dx.doi.org/10.1016/j.gca.2015.10.009</v>
      </c>
      <c r="BG362" t="s">
        <v>74</v>
      </c>
      <c r="BH362" t="s">
        <v>74</v>
      </c>
      <c r="BI362">
        <v>17</v>
      </c>
      <c r="BJ362" t="s">
        <v>4474</v>
      </c>
      <c r="BK362" t="s">
        <v>264</v>
      </c>
      <c r="BL362" t="s">
        <v>4474</v>
      </c>
      <c r="BM362" t="s">
        <v>6994</v>
      </c>
      <c r="BN362" t="s">
        <v>74</v>
      </c>
      <c r="BO362" t="s">
        <v>5473</v>
      </c>
      <c r="BP362" t="s">
        <v>74</v>
      </c>
      <c r="BQ362" t="s">
        <v>74</v>
      </c>
      <c r="BR362" t="s">
        <v>100</v>
      </c>
      <c r="BS362" t="s">
        <v>6995</v>
      </c>
      <c r="BT362" t="str">
        <f>HYPERLINK("https%3A%2F%2Fwww.webofscience.com%2Fwos%2Fwoscc%2Ffull-record%2FWOS:000367529000023","View Full Record in Web of Science")</f>
        <v>View Full Record in Web of Science</v>
      </c>
    </row>
    <row r="363" spans="1:72" x14ac:dyDescent="0.15">
      <c r="A363" t="s">
        <v>72</v>
      </c>
      <c r="B363" t="s">
        <v>6996</v>
      </c>
      <c r="C363" t="s">
        <v>74</v>
      </c>
      <c r="D363" t="s">
        <v>74</v>
      </c>
      <c r="E363" t="s">
        <v>74</v>
      </c>
      <c r="F363" t="s">
        <v>6997</v>
      </c>
      <c r="G363" t="s">
        <v>74</v>
      </c>
      <c r="H363" t="s">
        <v>74</v>
      </c>
      <c r="I363" t="s">
        <v>6998</v>
      </c>
      <c r="J363" t="s">
        <v>6999</v>
      </c>
      <c r="K363" t="s">
        <v>74</v>
      </c>
      <c r="L363" t="s">
        <v>74</v>
      </c>
      <c r="M363" t="s">
        <v>200</v>
      </c>
      <c r="N363" t="s">
        <v>79</v>
      </c>
      <c r="O363" t="s">
        <v>74</v>
      </c>
      <c r="P363" t="s">
        <v>74</v>
      </c>
      <c r="Q363" t="s">
        <v>74</v>
      </c>
      <c r="R363" t="s">
        <v>74</v>
      </c>
      <c r="S363" t="s">
        <v>74</v>
      </c>
      <c r="T363" t="s">
        <v>7000</v>
      </c>
      <c r="U363" t="s">
        <v>7001</v>
      </c>
      <c r="V363" t="s">
        <v>7002</v>
      </c>
      <c r="W363" t="s">
        <v>7003</v>
      </c>
      <c r="X363" t="s">
        <v>7004</v>
      </c>
      <c r="Y363" t="s">
        <v>7005</v>
      </c>
      <c r="Z363" t="s">
        <v>7006</v>
      </c>
      <c r="AA363" t="s">
        <v>7007</v>
      </c>
      <c r="AB363" t="s">
        <v>7008</v>
      </c>
      <c r="AC363" t="s">
        <v>7009</v>
      </c>
      <c r="AD363" t="s">
        <v>7010</v>
      </c>
      <c r="AE363" t="s">
        <v>7011</v>
      </c>
      <c r="AF363" t="s">
        <v>74</v>
      </c>
      <c r="AG363">
        <v>28</v>
      </c>
      <c r="AH363">
        <v>33</v>
      </c>
      <c r="AI363">
        <v>34</v>
      </c>
      <c r="AJ363">
        <v>0</v>
      </c>
      <c r="AK363">
        <v>10</v>
      </c>
      <c r="AL363" t="s">
        <v>6855</v>
      </c>
      <c r="AM363" t="s">
        <v>5465</v>
      </c>
      <c r="AN363" t="s">
        <v>5466</v>
      </c>
      <c r="AO363" t="s">
        <v>7012</v>
      </c>
      <c r="AP363" t="s">
        <v>7013</v>
      </c>
      <c r="AQ363" t="s">
        <v>74</v>
      </c>
      <c r="AR363" t="s">
        <v>7014</v>
      </c>
      <c r="AS363" t="s">
        <v>7015</v>
      </c>
      <c r="AT363" t="s">
        <v>315</v>
      </c>
      <c r="AU363">
        <v>2016</v>
      </c>
      <c r="AV363">
        <v>36</v>
      </c>
      <c r="AW363">
        <v>1</v>
      </c>
      <c r="AX363" t="s">
        <v>74</v>
      </c>
      <c r="AY363" t="s">
        <v>74</v>
      </c>
      <c r="AZ363" t="s">
        <v>74</v>
      </c>
      <c r="BA363" t="s">
        <v>74</v>
      </c>
      <c r="BB363">
        <v>455</v>
      </c>
      <c r="BC363">
        <v>466</v>
      </c>
      <c r="BD363" t="s">
        <v>74</v>
      </c>
      <c r="BE363" t="s">
        <v>7016</v>
      </c>
      <c r="BF363" t="str">
        <f>HYPERLINK("http://dx.doi.org/10.1002/joc.4362","http://dx.doi.org/10.1002/joc.4362")</f>
        <v>http://dx.doi.org/10.1002/joc.4362</v>
      </c>
      <c r="BG363" t="s">
        <v>74</v>
      </c>
      <c r="BH363" t="s">
        <v>74</v>
      </c>
      <c r="BI363">
        <v>12</v>
      </c>
      <c r="BJ363" t="s">
        <v>1721</v>
      </c>
      <c r="BK363" t="s">
        <v>264</v>
      </c>
      <c r="BL363" t="s">
        <v>1721</v>
      </c>
      <c r="BM363" t="s">
        <v>7017</v>
      </c>
      <c r="BN363" t="s">
        <v>74</v>
      </c>
      <c r="BO363" t="s">
        <v>486</v>
      </c>
      <c r="BP363" t="s">
        <v>74</v>
      </c>
      <c r="BQ363" t="s">
        <v>74</v>
      </c>
      <c r="BR363" t="s">
        <v>100</v>
      </c>
      <c r="BS363" t="s">
        <v>7018</v>
      </c>
      <c r="BT363" t="str">
        <f>HYPERLINK("https%3A%2F%2Fwww.webofscience.com%2Fwos%2Fwoscc%2Ffull-record%2FWOS:000367734800032","View Full Record in Web of Science")</f>
        <v>View Full Record in Web of Science</v>
      </c>
    </row>
    <row r="364" spans="1:72" x14ac:dyDescent="0.15">
      <c r="A364" t="s">
        <v>72</v>
      </c>
      <c r="B364" t="s">
        <v>7019</v>
      </c>
      <c r="C364" t="s">
        <v>74</v>
      </c>
      <c r="D364" t="s">
        <v>74</v>
      </c>
      <c r="E364" t="s">
        <v>74</v>
      </c>
      <c r="F364" t="s">
        <v>7020</v>
      </c>
      <c r="G364" t="s">
        <v>74</v>
      </c>
      <c r="H364" t="s">
        <v>74</v>
      </c>
      <c r="I364" t="s">
        <v>7021</v>
      </c>
      <c r="J364" t="s">
        <v>7022</v>
      </c>
      <c r="K364" t="s">
        <v>74</v>
      </c>
      <c r="L364" t="s">
        <v>74</v>
      </c>
      <c r="M364" t="s">
        <v>200</v>
      </c>
      <c r="N364" t="s">
        <v>79</v>
      </c>
      <c r="O364" t="s">
        <v>74</v>
      </c>
      <c r="P364" t="s">
        <v>74</v>
      </c>
      <c r="Q364" t="s">
        <v>74</v>
      </c>
      <c r="R364" t="s">
        <v>74</v>
      </c>
      <c r="S364" t="s">
        <v>74</v>
      </c>
      <c r="T364" t="s">
        <v>7023</v>
      </c>
      <c r="U364" t="s">
        <v>7024</v>
      </c>
      <c r="V364" t="s">
        <v>7025</v>
      </c>
      <c r="W364" t="s">
        <v>7026</v>
      </c>
      <c r="X364" t="s">
        <v>7027</v>
      </c>
      <c r="Y364" t="s">
        <v>7028</v>
      </c>
      <c r="Z364" t="s">
        <v>7029</v>
      </c>
      <c r="AA364" t="s">
        <v>7030</v>
      </c>
      <c r="AB364" t="s">
        <v>7031</v>
      </c>
      <c r="AC364" t="s">
        <v>7032</v>
      </c>
      <c r="AD364" t="s">
        <v>7033</v>
      </c>
      <c r="AE364" t="s">
        <v>7034</v>
      </c>
      <c r="AF364" t="s">
        <v>74</v>
      </c>
      <c r="AG364">
        <v>109</v>
      </c>
      <c r="AH364">
        <v>35</v>
      </c>
      <c r="AI364">
        <v>35</v>
      </c>
      <c r="AJ364">
        <v>2</v>
      </c>
      <c r="AK364">
        <v>52</v>
      </c>
      <c r="AL364" t="s">
        <v>5888</v>
      </c>
      <c r="AM364" t="s">
        <v>1386</v>
      </c>
      <c r="AN364" t="s">
        <v>5889</v>
      </c>
      <c r="AO364" t="s">
        <v>7035</v>
      </c>
      <c r="AP364" t="s">
        <v>74</v>
      </c>
      <c r="AQ364" t="s">
        <v>74</v>
      </c>
      <c r="AR364" t="s">
        <v>7036</v>
      </c>
      <c r="AS364" t="s">
        <v>7037</v>
      </c>
      <c r="AT364" t="s">
        <v>6992</v>
      </c>
      <c r="AU364">
        <v>2016</v>
      </c>
      <c r="AV364">
        <v>131</v>
      </c>
      <c r="AW364" t="s">
        <v>74</v>
      </c>
      <c r="AX364" t="s">
        <v>6314</v>
      </c>
      <c r="AY364" t="s">
        <v>74</v>
      </c>
      <c r="AZ364" t="s">
        <v>74</v>
      </c>
      <c r="BA364" t="s">
        <v>74</v>
      </c>
      <c r="BB364">
        <v>102</v>
      </c>
      <c r="BC364">
        <v>117</v>
      </c>
      <c r="BD364" t="s">
        <v>74</v>
      </c>
      <c r="BE364" t="s">
        <v>7038</v>
      </c>
      <c r="BF364" t="str">
        <f>HYPERLINK("http://dx.doi.org/10.1016/j.quascirev.2015.10.044","http://dx.doi.org/10.1016/j.quascirev.2015.10.044")</f>
        <v>http://dx.doi.org/10.1016/j.quascirev.2015.10.044</v>
      </c>
      <c r="BG364" t="s">
        <v>74</v>
      </c>
      <c r="BH364" t="s">
        <v>74</v>
      </c>
      <c r="BI364">
        <v>16</v>
      </c>
      <c r="BJ364" t="s">
        <v>2247</v>
      </c>
      <c r="BK364" t="s">
        <v>264</v>
      </c>
      <c r="BL364" t="s">
        <v>2248</v>
      </c>
      <c r="BM364" t="s">
        <v>7039</v>
      </c>
      <c r="BN364" t="s">
        <v>74</v>
      </c>
      <c r="BO364" t="s">
        <v>403</v>
      </c>
      <c r="BP364" t="s">
        <v>74</v>
      </c>
      <c r="BQ364" t="s">
        <v>74</v>
      </c>
      <c r="BR364" t="s">
        <v>100</v>
      </c>
      <c r="BS364" t="s">
        <v>7040</v>
      </c>
      <c r="BT364" t="str">
        <f>HYPERLINK("https%3A%2F%2Fwww.webofscience.com%2Fwos%2Fwoscc%2Ffull-record%2FWOS:000367490200006","View Full Record in Web of Science")</f>
        <v>View Full Record in Web of Science</v>
      </c>
    </row>
    <row r="365" spans="1:72" x14ac:dyDescent="0.15">
      <c r="A365" t="s">
        <v>72</v>
      </c>
      <c r="B365" t="s">
        <v>7041</v>
      </c>
      <c r="C365" t="s">
        <v>74</v>
      </c>
      <c r="D365" t="s">
        <v>74</v>
      </c>
      <c r="E365" t="s">
        <v>74</v>
      </c>
      <c r="F365" t="s">
        <v>7042</v>
      </c>
      <c r="G365" t="s">
        <v>74</v>
      </c>
      <c r="H365" t="s">
        <v>74</v>
      </c>
      <c r="I365" t="s">
        <v>7043</v>
      </c>
      <c r="J365" t="s">
        <v>3043</v>
      </c>
      <c r="K365" t="s">
        <v>74</v>
      </c>
      <c r="L365" t="s">
        <v>74</v>
      </c>
      <c r="M365" t="s">
        <v>200</v>
      </c>
      <c r="N365" t="s">
        <v>79</v>
      </c>
      <c r="O365" t="s">
        <v>74</v>
      </c>
      <c r="P365" t="s">
        <v>74</v>
      </c>
      <c r="Q365" t="s">
        <v>74</v>
      </c>
      <c r="R365" t="s">
        <v>74</v>
      </c>
      <c r="S365" t="s">
        <v>74</v>
      </c>
      <c r="T365" t="s">
        <v>7044</v>
      </c>
      <c r="U365" t="s">
        <v>7045</v>
      </c>
      <c r="V365" t="s">
        <v>7046</v>
      </c>
      <c r="W365" t="s">
        <v>7047</v>
      </c>
      <c r="X365" t="s">
        <v>3480</v>
      </c>
      <c r="Y365" t="s">
        <v>7048</v>
      </c>
      <c r="Z365" t="s">
        <v>7049</v>
      </c>
      <c r="AA365" t="s">
        <v>7050</v>
      </c>
      <c r="AB365" t="s">
        <v>7051</v>
      </c>
      <c r="AC365" t="s">
        <v>7052</v>
      </c>
      <c r="AD365" t="s">
        <v>7053</v>
      </c>
      <c r="AE365" t="s">
        <v>7054</v>
      </c>
      <c r="AF365" t="s">
        <v>74</v>
      </c>
      <c r="AG365">
        <v>40</v>
      </c>
      <c r="AH365">
        <v>29</v>
      </c>
      <c r="AI365">
        <v>30</v>
      </c>
      <c r="AJ365">
        <v>0</v>
      </c>
      <c r="AK365">
        <v>40</v>
      </c>
      <c r="AL365" t="s">
        <v>380</v>
      </c>
      <c r="AM365" t="s">
        <v>381</v>
      </c>
      <c r="AN365" t="s">
        <v>382</v>
      </c>
      <c r="AO365" t="s">
        <v>3055</v>
      </c>
      <c r="AP365" t="s">
        <v>3056</v>
      </c>
      <c r="AQ365" t="s">
        <v>74</v>
      </c>
      <c r="AR365" t="s">
        <v>3057</v>
      </c>
      <c r="AS365" t="s">
        <v>3058</v>
      </c>
      <c r="AT365" t="s">
        <v>74</v>
      </c>
      <c r="AU365">
        <v>2016</v>
      </c>
      <c r="AV365">
        <v>67</v>
      </c>
      <c r="AW365">
        <v>1</v>
      </c>
      <c r="AX365" t="s">
        <v>74</v>
      </c>
      <c r="AY365" t="s">
        <v>74</v>
      </c>
      <c r="AZ365" t="s">
        <v>2540</v>
      </c>
      <c r="BA365" t="s">
        <v>74</v>
      </c>
      <c r="BB365">
        <v>84</v>
      </c>
      <c r="BC365">
        <v>95</v>
      </c>
      <c r="BD365" t="s">
        <v>74</v>
      </c>
      <c r="BE365" t="s">
        <v>7055</v>
      </c>
      <c r="BF365" t="str">
        <f>HYPERLINK("http://dx.doi.org/10.1071/MF14255","http://dx.doi.org/10.1071/MF14255")</f>
        <v>http://dx.doi.org/10.1071/MF14255</v>
      </c>
      <c r="BG365" t="s">
        <v>74</v>
      </c>
      <c r="BH365" t="s">
        <v>74</v>
      </c>
      <c r="BI365">
        <v>12</v>
      </c>
      <c r="BJ365" t="s">
        <v>3060</v>
      </c>
      <c r="BK365" t="s">
        <v>264</v>
      </c>
      <c r="BL365" t="s">
        <v>3061</v>
      </c>
      <c r="BM365" t="s">
        <v>7056</v>
      </c>
      <c r="BN365" t="s">
        <v>74</v>
      </c>
      <c r="BO365" t="s">
        <v>74</v>
      </c>
      <c r="BP365" t="s">
        <v>74</v>
      </c>
      <c r="BQ365" t="s">
        <v>74</v>
      </c>
      <c r="BR365" t="s">
        <v>100</v>
      </c>
      <c r="BS365" t="s">
        <v>7057</v>
      </c>
      <c r="BT365" t="str">
        <f>HYPERLINK("https%3A%2F%2Fwww.webofscience.com%2Fwos%2Fwoscc%2Ffull-record%2FWOS:000367259300010","View Full Record in Web of Science")</f>
        <v>View Full Record in Web of Science</v>
      </c>
    </row>
    <row r="366" spans="1:72" x14ac:dyDescent="0.15">
      <c r="A366" t="s">
        <v>72</v>
      </c>
      <c r="B366" t="s">
        <v>7058</v>
      </c>
      <c r="C366" t="s">
        <v>74</v>
      </c>
      <c r="D366" t="s">
        <v>74</v>
      </c>
      <c r="E366" t="s">
        <v>74</v>
      </c>
      <c r="F366" t="s">
        <v>7059</v>
      </c>
      <c r="G366" t="s">
        <v>74</v>
      </c>
      <c r="H366" t="s">
        <v>74</v>
      </c>
      <c r="I366" t="s">
        <v>7060</v>
      </c>
      <c r="J366" t="s">
        <v>7061</v>
      </c>
      <c r="K366" t="s">
        <v>74</v>
      </c>
      <c r="L366" t="s">
        <v>74</v>
      </c>
      <c r="M366" t="s">
        <v>200</v>
      </c>
      <c r="N366" t="s">
        <v>717</v>
      </c>
      <c r="O366" t="s">
        <v>74</v>
      </c>
      <c r="P366" t="s">
        <v>74</v>
      </c>
      <c r="Q366" t="s">
        <v>74</v>
      </c>
      <c r="R366" t="s">
        <v>74</v>
      </c>
      <c r="S366" t="s">
        <v>74</v>
      </c>
      <c r="T366" t="s">
        <v>74</v>
      </c>
      <c r="U366" t="s">
        <v>7062</v>
      </c>
      <c r="V366" t="s">
        <v>7063</v>
      </c>
      <c r="W366" t="s">
        <v>7064</v>
      </c>
      <c r="X366" t="s">
        <v>7065</v>
      </c>
      <c r="Y366" t="s">
        <v>7066</v>
      </c>
      <c r="Z366" t="s">
        <v>7067</v>
      </c>
      <c r="AA366" t="s">
        <v>7068</v>
      </c>
      <c r="AB366" t="s">
        <v>7069</v>
      </c>
      <c r="AC366" t="s">
        <v>74</v>
      </c>
      <c r="AD366" t="s">
        <v>74</v>
      </c>
      <c r="AE366" t="s">
        <v>74</v>
      </c>
      <c r="AF366" t="s">
        <v>74</v>
      </c>
      <c r="AG366">
        <v>56</v>
      </c>
      <c r="AH366">
        <v>18</v>
      </c>
      <c r="AI366">
        <v>20</v>
      </c>
      <c r="AJ366">
        <v>1</v>
      </c>
      <c r="AK366">
        <v>57</v>
      </c>
      <c r="AL366" t="s">
        <v>7070</v>
      </c>
      <c r="AM366" t="s">
        <v>7071</v>
      </c>
      <c r="AN366" t="s">
        <v>7072</v>
      </c>
      <c r="AO366" t="s">
        <v>7073</v>
      </c>
      <c r="AP366" t="s">
        <v>7074</v>
      </c>
      <c r="AQ366" t="s">
        <v>74</v>
      </c>
      <c r="AR366" t="s">
        <v>7075</v>
      </c>
      <c r="AS366" t="s">
        <v>7076</v>
      </c>
      <c r="AT366" t="s">
        <v>315</v>
      </c>
      <c r="AU366">
        <v>2016</v>
      </c>
      <c r="AV366">
        <v>70</v>
      </c>
      <c r="AW366">
        <v>1</v>
      </c>
      <c r="AX366" t="s">
        <v>74</v>
      </c>
      <c r="AY366" t="s">
        <v>74</v>
      </c>
      <c r="AZ366" t="s">
        <v>74</v>
      </c>
      <c r="BA366" t="s">
        <v>74</v>
      </c>
      <c r="BB366">
        <v>55</v>
      </c>
      <c r="BC366">
        <v>71</v>
      </c>
      <c r="BD366" t="s">
        <v>74</v>
      </c>
      <c r="BE366" t="s">
        <v>7077</v>
      </c>
      <c r="BF366" t="str">
        <f>HYPERLINK("http://dx.doi.org/10.2984/70.1.5","http://dx.doi.org/10.2984/70.1.5")</f>
        <v>http://dx.doi.org/10.2984/70.1.5</v>
      </c>
      <c r="BG366" t="s">
        <v>74</v>
      </c>
      <c r="BH366" t="s">
        <v>74</v>
      </c>
      <c r="BI366">
        <v>17</v>
      </c>
      <c r="BJ366" t="s">
        <v>1660</v>
      </c>
      <c r="BK366" t="s">
        <v>264</v>
      </c>
      <c r="BL366" t="s">
        <v>1660</v>
      </c>
      <c r="BM366" t="s">
        <v>7078</v>
      </c>
      <c r="BN366" t="s">
        <v>74</v>
      </c>
      <c r="BO366" t="s">
        <v>74</v>
      </c>
      <c r="BP366" t="s">
        <v>74</v>
      </c>
      <c r="BQ366" t="s">
        <v>74</v>
      </c>
      <c r="BR366" t="s">
        <v>100</v>
      </c>
      <c r="BS366" t="s">
        <v>7079</v>
      </c>
      <c r="BT366" t="str">
        <f>HYPERLINK("https%3A%2F%2Fwww.webofscience.com%2Fwos%2Fwoscc%2Ffull-record%2FWOS:000367363800005","View Full Record in Web of Science")</f>
        <v>View Full Record in Web of Science</v>
      </c>
    </row>
    <row r="367" spans="1:72" x14ac:dyDescent="0.15">
      <c r="A367" t="s">
        <v>72</v>
      </c>
      <c r="B367" t="s">
        <v>7080</v>
      </c>
      <c r="C367" t="s">
        <v>74</v>
      </c>
      <c r="D367" t="s">
        <v>74</v>
      </c>
      <c r="E367" t="s">
        <v>74</v>
      </c>
      <c r="F367" t="s">
        <v>7081</v>
      </c>
      <c r="G367" t="s">
        <v>74</v>
      </c>
      <c r="H367" t="s">
        <v>74</v>
      </c>
      <c r="I367" t="s">
        <v>7082</v>
      </c>
      <c r="J367" t="s">
        <v>7083</v>
      </c>
      <c r="K367" t="s">
        <v>74</v>
      </c>
      <c r="L367" t="s">
        <v>74</v>
      </c>
      <c r="M367" t="s">
        <v>200</v>
      </c>
      <c r="N367" t="s">
        <v>79</v>
      </c>
      <c r="O367" t="s">
        <v>74</v>
      </c>
      <c r="P367" t="s">
        <v>74</v>
      </c>
      <c r="Q367" t="s">
        <v>74</v>
      </c>
      <c r="R367" t="s">
        <v>74</v>
      </c>
      <c r="S367" t="s">
        <v>74</v>
      </c>
      <c r="T367" t="s">
        <v>74</v>
      </c>
      <c r="U367" t="s">
        <v>7084</v>
      </c>
      <c r="V367" t="s">
        <v>7085</v>
      </c>
      <c r="W367" t="s">
        <v>7086</v>
      </c>
      <c r="X367" t="s">
        <v>74</v>
      </c>
      <c r="Y367" t="s">
        <v>7087</v>
      </c>
      <c r="Z367" t="s">
        <v>7088</v>
      </c>
      <c r="AA367" t="s">
        <v>74</v>
      </c>
      <c r="AB367" t="s">
        <v>74</v>
      </c>
      <c r="AC367" t="s">
        <v>74</v>
      </c>
      <c r="AD367" t="s">
        <v>74</v>
      </c>
      <c r="AE367" t="s">
        <v>74</v>
      </c>
      <c r="AF367" t="s">
        <v>74</v>
      </c>
      <c r="AG367">
        <v>58</v>
      </c>
      <c r="AH367">
        <v>12</v>
      </c>
      <c r="AI367">
        <v>14</v>
      </c>
      <c r="AJ367">
        <v>1</v>
      </c>
      <c r="AK367">
        <v>6</v>
      </c>
      <c r="AL367" t="s">
        <v>2239</v>
      </c>
      <c r="AM367" t="s">
        <v>289</v>
      </c>
      <c r="AN367" t="s">
        <v>7089</v>
      </c>
      <c r="AO367" t="s">
        <v>7090</v>
      </c>
      <c r="AP367" t="s">
        <v>7091</v>
      </c>
      <c r="AQ367" t="s">
        <v>74</v>
      </c>
      <c r="AR367" t="s">
        <v>7092</v>
      </c>
      <c r="AS367" t="s">
        <v>7093</v>
      </c>
      <c r="AT367" t="s">
        <v>315</v>
      </c>
      <c r="AU367">
        <v>2016</v>
      </c>
      <c r="AV367">
        <v>52</v>
      </c>
      <c r="AW367">
        <v>1</v>
      </c>
      <c r="AX367" t="s">
        <v>74</v>
      </c>
      <c r="AY367" t="s">
        <v>74</v>
      </c>
      <c r="AZ367" t="s">
        <v>74</v>
      </c>
      <c r="BA367" t="s">
        <v>74</v>
      </c>
      <c r="BB367">
        <v>16</v>
      </c>
      <c r="BC367">
        <v>65</v>
      </c>
      <c r="BD367" t="s">
        <v>74</v>
      </c>
      <c r="BE367" t="s">
        <v>7094</v>
      </c>
      <c r="BF367" t="str">
        <f>HYPERLINK("http://dx.doi.org/10.1017/S0032247415000212","http://dx.doi.org/10.1017/S0032247415000212")</f>
        <v>http://dx.doi.org/10.1017/S0032247415000212</v>
      </c>
      <c r="BG367" t="s">
        <v>74</v>
      </c>
      <c r="BH367" t="s">
        <v>74</v>
      </c>
      <c r="BI367">
        <v>50</v>
      </c>
      <c r="BJ367" t="s">
        <v>7095</v>
      </c>
      <c r="BK367" t="s">
        <v>264</v>
      </c>
      <c r="BL367" t="s">
        <v>2887</v>
      </c>
      <c r="BM367" t="s">
        <v>7096</v>
      </c>
      <c r="BN367" t="s">
        <v>74</v>
      </c>
      <c r="BO367" t="s">
        <v>74</v>
      </c>
      <c r="BP367" t="s">
        <v>74</v>
      </c>
      <c r="BQ367" t="s">
        <v>74</v>
      </c>
      <c r="BR367" t="s">
        <v>100</v>
      </c>
      <c r="BS367" t="s">
        <v>7097</v>
      </c>
      <c r="BT367" t="str">
        <f>HYPERLINK("https%3A%2F%2Fwww.webofscience.com%2Fwos%2Fwoscc%2Ffull-record%2FWOS:000367197200003","View Full Record in Web of Science")</f>
        <v>View Full Record in Web of Science</v>
      </c>
    </row>
    <row r="368" spans="1:72" x14ac:dyDescent="0.15">
      <c r="A368" t="s">
        <v>72</v>
      </c>
      <c r="B368" t="s">
        <v>7098</v>
      </c>
      <c r="C368" t="s">
        <v>74</v>
      </c>
      <c r="D368" t="s">
        <v>74</v>
      </c>
      <c r="E368" t="s">
        <v>74</v>
      </c>
      <c r="F368" t="s">
        <v>7099</v>
      </c>
      <c r="G368" t="s">
        <v>74</v>
      </c>
      <c r="H368" t="s">
        <v>74</v>
      </c>
      <c r="I368" t="s">
        <v>7100</v>
      </c>
      <c r="J368" t="s">
        <v>7101</v>
      </c>
      <c r="K368" t="s">
        <v>74</v>
      </c>
      <c r="L368" t="s">
        <v>74</v>
      </c>
      <c r="M368" t="s">
        <v>200</v>
      </c>
      <c r="N368" t="s">
        <v>79</v>
      </c>
      <c r="O368" t="s">
        <v>74</v>
      </c>
      <c r="P368" t="s">
        <v>74</v>
      </c>
      <c r="Q368" t="s">
        <v>74</v>
      </c>
      <c r="R368" t="s">
        <v>74</v>
      </c>
      <c r="S368" t="s">
        <v>74</v>
      </c>
      <c r="T368" t="s">
        <v>7102</v>
      </c>
      <c r="U368" t="s">
        <v>7103</v>
      </c>
      <c r="V368" t="s">
        <v>7104</v>
      </c>
      <c r="W368" t="s">
        <v>7105</v>
      </c>
      <c r="X368" t="s">
        <v>7106</v>
      </c>
      <c r="Y368" t="s">
        <v>7107</v>
      </c>
      <c r="Z368" t="s">
        <v>7108</v>
      </c>
      <c r="AA368" t="s">
        <v>7109</v>
      </c>
      <c r="AB368" t="s">
        <v>7110</v>
      </c>
      <c r="AC368" t="s">
        <v>7111</v>
      </c>
      <c r="AD368" t="s">
        <v>7112</v>
      </c>
      <c r="AE368" t="s">
        <v>7113</v>
      </c>
      <c r="AF368" t="s">
        <v>74</v>
      </c>
      <c r="AG368">
        <v>67</v>
      </c>
      <c r="AH368">
        <v>29</v>
      </c>
      <c r="AI368">
        <v>36</v>
      </c>
      <c r="AJ368">
        <v>0</v>
      </c>
      <c r="AK368">
        <v>36</v>
      </c>
      <c r="AL368" t="s">
        <v>208</v>
      </c>
      <c r="AM368" t="s">
        <v>209</v>
      </c>
      <c r="AN368" t="s">
        <v>7114</v>
      </c>
      <c r="AO368" t="s">
        <v>7115</v>
      </c>
      <c r="AP368" t="s">
        <v>7116</v>
      </c>
      <c r="AQ368" t="s">
        <v>74</v>
      </c>
      <c r="AR368" t="s">
        <v>7117</v>
      </c>
      <c r="AS368" t="s">
        <v>7118</v>
      </c>
      <c r="AT368" t="s">
        <v>6992</v>
      </c>
      <c r="AU368">
        <v>2016</v>
      </c>
      <c r="AV368">
        <v>433</v>
      </c>
      <c r="AW368" t="s">
        <v>74</v>
      </c>
      <c r="AX368" t="s">
        <v>74</v>
      </c>
      <c r="AY368" t="s">
        <v>74</v>
      </c>
      <c r="AZ368" t="s">
        <v>74</v>
      </c>
      <c r="BA368" t="s">
        <v>74</v>
      </c>
      <c r="BB368">
        <v>63</v>
      </c>
      <c r="BC368">
        <v>75</v>
      </c>
      <c r="BD368" t="s">
        <v>74</v>
      </c>
      <c r="BE368" t="s">
        <v>7119</v>
      </c>
      <c r="BF368" t="str">
        <f>HYPERLINK("http://dx.doi.org/10.1016/j.epsl.2015.10.037","http://dx.doi.org/10.1016/j.epsl.2015.10.037")</f>
        <v>http://dx.doi.org/10.1016/j.epsl.2015.10.037</v>
      </c>
      <c r="BG368" t="s">
        <v>74</v>
      </c>
      <c r="BH368" t="s">
        <v>74</v>
      </c>
      <c r="BI368">
        <v>13</v>
      </c>
      <c r="BJ368" t="s">
        <v>4474</v>
      </c>
      <c r="BK368" t="s">
        <v>264</v>
      </c>
      <c r="BL368" t="s">
        <v>4474</v>
      </c>
      <c r="BM368" t="s">
        <v>7120</v>
      </c>
      <c r="BN368" t="s">
        <v>74</v>
      </c>
      <c r="BO368" t="s">
        <v>5581</v>
      </c>
      <c r="BP368" t="s">
        <v>74</v>
      </c>
      <c r="BQ368" t="s">
        <v>74</v>
      </c>
      <c r="BR368" t="s">
        <v>100</v>
      </c>
      <c r="BS368" t="s">
        <v>7121</v>
      </c>
      <c r="BT368" t="str">
        <f>HYPERLINK("https%3A%2F%2Fwww.webofscience.com%2Fwos%2Fwoscc%2Ffull-record%2FWOS:000367120300007","View Full Record in Web of Science")</f>
        <v>View Full Record in Web of Science</v>
      </c>
    </row>
    <row r="369" spans="1:72" x14ac:dyDescent="0.15">
      <c r="A369" t="s">
        <v>72</v>
      </c>
      <c r="B369" t="s">
        <v>7122</v>
      </c>
      <c r="C369" t="s">
        <v>74</v>
      </c>
      <c r="D369" t="s">
        <v>74</v>
      </c>
      <c r="E369" t="s">
        <v>74</v>
      </c>
      <c r="F369" t="s">
        <v>7123</v>
      </c>
      <c r="G369" t="s">
        <v>74</v>
      </c>
      <c r="H369" t="s">
        <v>74</v>
      </c>
      <c r="I369" t="s">
        <v>7124</v>
      </c>
      <c r="J369" t="s">
        <v>7101</v>
      </c>
      <c r="K369" t="s">
        <v>74</v>
      </c>
      <c r="L369" t="s">
        <v>74</v>
      </c>
      <c r="M369" t="s">
        <v>200</v>
      </c>
      <c r="N369" t="s">
        <v>79</v>
      </c>
      <c r="O369" t="s">
        <v>74</v>
      </c>
      <c r="P369" t="s">
        <v>74</v>
      </c>
      <c r="Q369" t="s">
        <v>74</v>
      </c>
      <c r="R369" t="s">
        <v>74</v>
      </c>
      <c r="S369" t="s">
        <v>74</v>
      </c>
      <c r="T369" t="s">
        <v>7125</v>
      </c>
      <c r="U369" t="s">
        <v>7126</v>
      </c>
      <c r="V369" t="s">
        <v>7127</v>
      </c>
      <c r="W369" t="s">
        <v>7128</v>
      </c>
      <c r="X369" t="s">
        <v>7129</v>
      </c>
      <c r="Y369" t="s">
        <v>7130</v>
      </c>
      <c r="Z369" t="s">
        <v>7131</v>
      </c>
      <c r="AA369" t="s">
        <v>7132</v>
      </c>
      <c r="AB369" t="s">
        <v>7133</v>
      </c>
      <c r="AC369" t="s">
        <v>7134</v>
      </c>
      <c r="AD369" t="s">
        <v>7135</v>
      </c>
      <c r="AE369" t="s">
        <v>7136</v>
      </c>
      <c r="AF369" t="s">
        <v>74</v>
      </c>
      <c r="AG369">
        <v>63</v>
      </c>
      <c r="AH369">
        <v>27</v>
      </c>
      <c r="AI369">
        <v>38</v>
      </c>
      <c r="AJ369">
        <v>1</v>
      </c>
      <c r="AK369">
        <v>30</v>
      </c>
      <c r="AL369" t="s">
        <v>7137</v>
      </c>
      <c r="AM369" t="s">
        <v>209</v>
      </c>
      <c r="AN369" t="s">
        <v>7138</v>
      </c>
      <c r="AO369" t="s">
        <v>7115</v>
      </c>
      <c r="AP369" t="s">
        <v>7116</v>
      </c>
      <c r="AQ369" t="s">
        <v>74</v>
      </c>
      <c r="AR369" t="s">
        <v>7117</v>
      </c>
      <c r="AS369" t="s">
        <v>7118</v>
      </c>
      <c r="AT369" t="s">
        <v>6992</v>
      </c>
      <c r="AU369">
        <v>2016</v>
      </c>
      <c r="AV369">
        <v>433</v>
      </c>
      <c r="AW369" t="s">
        <v>74</v>
      </c>
      <c r="AX369" t="s">
        <v>74</v>
      </c>
      <c r="AY369" t="s">
        <v>74</v>
      </c>
      <c r="AZ369" t="s">
        <v>74</v>
      </c>
      <c r="BA369" t="s">
        <v>74</v>
      </c>
      <c r="BB369">
        <v>204</v>
      </c>
      <c r="BC369">
        <v>214</v>
      </c>
      <c r="BD369" t="s">
        <v>74</v>
      </c>
      <c r="BE369" t="s">
        <v>7139</v>
      </c>
      <c r="BF369" t="str">
        <f>HYPERLINK("http://dx.doi.org/10.1016/j.epsl.2015.10.040","http://dx.doi.org/10.1016/j.epsl.2015.10.040")</f>
        <v>http://dx.doi.org/10.1016/j.epsl.2015.10.040</v>
      </c>
      <c r="BG369" t="s">
        <v>74</v>
      </c>
      <c r="BH369" t="s">
        <v>74</v>
      </c>
      <c r="BI369">
        <v>11</v>
      </c>
      <c r="BJ369" t="s">
        <v>4474</v>
      </c>
      <c r="BK369" t="s">
        <v>264</v>
      </c>
      <c r="BL369" t="s">
        <v>4474</v>
      </c>
      <c r="BM369" t="s">
        <v>7120</v>
      </c>
      <c r="BN369" t="s">
        <v>74</v>
      </c>
      <c r="BO369" t="s">
        <v>5581</v>
      </c>
      <c r="BP369" t="s">
        <v>74</v>
      </c>
      <c r="BQ369" t="s">
        <v>74</v>
      </c>
      <c r="BR369" t="s">
        <v>100</v>
      </c>
      <c r="BS369" t="s">
        <v>7140</v>
      </c>
      <c r="BT369" t="str">
        <f>HYPERLINK("https%3A%2F%2Fwww.webofscience.com%2Fwos%2Fwoscc%2Ffull-record%2FWOS:000367120300021","View Full Record in Web of Science")</f>
        <v>View Full Record in Web of Science</v>
      </c>
    </row>
    <row r="370" spans="1:72" x14ac:dyDescent="0.15">
      <c r="A370" t="s">
        <v>72</v>
      </c>
      <c r="B370" t="s">
        <v>7141</v>
      </c>
      <c r="C370" t="s">
        <v>74</v>
      </c>
      <c r="D370" t="s">
        <v>74</v>
      </c>
      <c r="E370" t="s">
        <v>74</v>
      </c>
      <c r="F370" t="s">
        <v>7142</v>
      </c>
      <c r="G370" t="s">
        <v>74</v>
      </c>
      <c r="H370" t="s">
        <v>74</v>
      </c>
      <c r="I370" t="s">
        <v>7143</v>
      </c>
      <c r="J370" t="s">
        <v>7144</v>
      </c>
      <c r="K370" t="s">
        <v>74</v>
      </c>
      <c r="L370" t="s">
        <v>74</v>
      </c>
      <c r="M370" t="s">
        <v>200</v>
      </c>
      <c r="N370" t="s">
        <v>79</v>
      </c>
      <c r="O370" t="s">
        <v>74</v>
      </c>
      <c r="P370" t="s">
        <v>74</v>
      </c>
      <c r="Q370" t="s">
        <v>74</v>
      </c>
      <c r="R370" t="s">
        <v>74</v>
      </c>
      <c r="S370" t="s">
        <v>74</v>
      </c>
      <c r="T370" t="s">
        <v>74</v>
      </c>
      <c r="U370" t="s">
        <v>7145</v>
      </c>
      <c r="V370" t="s">
        <v>7146</v>
      </c>
      <c r="W370" t="s">
        <v>7147</v>
      </c>
      <c r="X370" t="s">
        <v>7148</v>
      </c>
      <c r="Y370" t="s">
        <v>7149</v>
      </c>
      <c r="Z370" t="s">
        <v>7150</v>
      </c>
      <c r="AA370" t="s">
        <v>7151</v>
      </c>
      <c r="AB370" t="s">
        <v>74</v>
      </c>
      <c r="AC370" t="s">
        <v>7152</v>
      </c>
      <c r="AD370" t="s">
        <v>7153</v>
      </c>
      <c r="AE370" t="s">
        <v>7154</v>
      </c>
      <c r="AF370" t="s">
        <v>74</v>
      </c>
      <c r="AG370">
        <v>25</v>
      </c>
      <c r="AH370">
        <v>4</v>
      </c>
      <c r="AI370">
        <v>4</v>
      </c>
      <c r="AJ370">
        <v>2</v>
      </c>
      <c r="AK370">
        <v>15</v>
      </c>
      <c r="AL370" t="s">
        <v>6662</v>
      </c>
      <c r="AM370" t="s">
        <v>6663</v>
      </c>
      <c r="AN370" t="s">
        <v>6664</v>
      </c>
      <c r="AO370" t="s">
        <v>7155</v>
      </c>
      <c r="AP370" t="s">
        <v>7156</v>
      </c>
      <c r="AQ370" t="s">
        <v>74</v>
      </c>
      <c r="AR370" t="s">
        <v>7157</v>
      </c>
      <c r="AS370" t="s">
        <v>7158</v>
      </c>
      <c r="AT370" t="s">
        <v>315</v>
      </c>
      <c r="AU370">
        <v>2016</v>
      </c>
      <c r="AV370">
        <v>73</v>
      </c>
      <c r="AW370">
        <v>1</v>
      </c>
      <c r="AX370" t="s">
        <v>74</v>
      </c>
      <c r="AY370" t="s">
        <v>74</v>
      </c>
      <c r="AZ370" t="s">
        <v>74</v>
      </c>
      <c r="BA370" t="s">
        <v>74</v>
      </c>
      <c r="BB370">
        <v>251</v>
      </c>
      <c r="BC370">
        <v>262</v>
      </c>
      <c r="BD370" t="s">
        <v>74</v>
      </c>
      <c r="BE370" t="s">
        <v>7159</v>
      </c>
      <c r="BF370" t="str">
        <f>HYPERLINK("http://dx.doi.org/10.1175/JAS-D-15-0009.1","http://dx.doi.org/10.1175/JAS-D-15-0009.1")</f>
        <v>http://dx.doi.org/10.1175/JAS-D-15-0009.1</v>
      </c>
      <c r="BG370" t="s">
        <v>74</v>
      </c>
      <c r="BH370" t="s">
        <v>74</v>
      </c>
      <c r="BI370">
        <v>12</v>
      </c>
      <c r="BJ370" t="s">
        <v>1721</v>
      </c>
      <c r="BK370" t="s">
        <v>264</v>
      </c>
      <c r="BL370" t="s">
        <v>1721</v>
      </c>
      <c r="BM370" t="s">
        <v>7160</v>
      </c>
      <c r="BN370" t="s">
        <v>74</v>
      </c>
      <c r="BO370" t="s">
        <v>5581</v>
      </c>
      <c r="BP370" t="s">
        <v>74</v>
      </c>
      <c r="BQ370" t="s">
        <v>74</v>
      </c>
      <c r="BR370" t="s">
        <v>100</v>
      </c>
      <c r="BS370" t="s">
        <v>7161</v>
      </c>
      <c r="BT370" t="str">
        <f>HYPERLINK("https%3A%2F%2Fwww.webofscience.com%2Fwos%2Fwoscc%2Ffull-record%2FWOS:000367398200001","View Full Record in Web of Science")</f>
        <v>View Full Record in Web of Science</v>
      </c>
    </row>
    <row r="371" spans="1:72" x14ac:dyDescent="0.15">
      <c r="A371" t="s">
        <v>72</v>
      </c>
      <c r="B371" t="s">
        <v>7162</v>
      </c>
      <c r="C371" t="s">
        <v>74</v>
      </c>
      <c r="D371" t="s">
        <v>74</v>
      </c>
      <c r="E371" t="s">
        <v>74</v>
      </c>
      <c r="F371" t="s">
        <v>7163</v>
      </c>
      <c r="G371" t="s">
        <v>74</v>
      </c>
      <c r="H371" t="s">
        <v>74</v>
      </c>
      <c r="I371" t="s">
        <v>7164</v>
      </c>
      <c r="J371" t="s">
        <v>7144</v>
      </c>
      <c r="K371" t="s">
        <v>74</v>
      </c>
      <c r="L371" t="s">
        <v>74</v>
      </c>
      <c r="M371" t="s">
        <v>200</v>
      </c>
      <c r="N371" t="s">
        <v>79</v>
      </c>
      <c r="O371" t="s">
        <v>74</v>
      </c>
      <c r="P371" t="s">
        <v>74</v>
      </c>
      <c r="Q371" t="s">
        <v>74</v>
      </c>
      <c r="R371" t="s">
        <v>74</v>
      </c>
      <c r="S371" t="s">
        <v>74</v>
      </c>
      <c r="T371" t="s">
        <v>7165</v>
      </c>
      <c r="U371" t="s">
        <v>7166</v>
      </c>
      <c r="V371" t="s">
        <v>7167</v>
      </c>
      <c r="W371" t="s">
        <v>7168</v>
      </c>
      <c r="X371" t="s">
        <v>7169</v>
      </c>
      <c r="Y371" t="s">
        <v>7170</v>
      </c>
      <c r="Z371" t="s">
        <v>7171</v>
      </c>
      <c r="AA371" t="s">
        <v>7172</v>
      </c>
      <c r="AB371" t="s">
        <v>7173</v>
      </c>
      <c r="AC371" t="s">
        <v>7174</v>
      </c>
      <c r="AD371" t="s">
        <v>7175</v>
      </c>
      <c r="AE371" t="s">
        <v>7176</v>
      </c>
      <c r="AF371" t="s">
        <v>74</v>
      </c>
      <c r="AG371">
        <v>46</v>
      </c>
      <c r="AH371">
        <v>11</v>
      </c>
      <c r="AI371">
        <v>11</v>
      </c>
      <c r="AJ371">
        <v>0</v>
      </c>
      <c r="AK371">
        <v>5</v>
      </c>
      <c r="AL371" t="s">
        <v>6662</v>
      </c>
      <c r="AM371" t="s">
        <v>6663</v>
      </c>
      <c r="AN371" t="s">
        <v>6664</v>
      </c>
      <c r="AO371" t="s">
        <v>7155</v>
      </c>
      <c r="AP371" t="s">
        <v>7156</v>
      </c>
      <c r="AQ371" t="s">
        <v>74</v>
      </c>
      <c r="AR371" t="s">
        <v>7157</v>
      </c>
      <c r="AS371" t="s">
        <v>7158</v>
      </c>
      <c r="AT371" t="s">
        <v>315</v>
      </c>
      <c r="AU371">
        <v>2016</v>
      </c>
      <c r="AV371">
        <v>73</v>
      </c>
      <c r="AW371">
        <v>1</v>
      </c>
      <c r="AX371" t="s">
        <v>74</v>
      </c>
      <c r="AY371" t="s">
        <v>74</v>
      </c>
      <c r="AZ371" t="s">
        <v>74</v>
      </c>
      <c r="BA371" t="s">
        <v>74</v>
      </c>
      <c r="BB371">
        <v>393</v>
      </c>
      <c r="BC371">
        <v>406</v>
      </c>
      <c r="BD371" t="s">
        <v>74</v>
      </c>
      <c r="BE371" t="s">
        <v>7177</v>
      </c>
      <c r="BF371" t="str">
        <f>HYPERLINK("http://dx.doi.org/10.1175/JAS-D-15-0088.1","http://dx.doi.org/10.1175/JAS-D-15-0088.1")</f>
        <v>http://dx.doi.org/10.1175/JAS-D-15-0088.1</v>
      </c>
      <c r="BG371" t="s">
        <v>74</v>
      </c>
      <c r="BH371" t="s">
        <v>74</v>
      </c>
      <c r="BI371">
        <v>14</v>
      </c>
      <c r="BJ371" t="s">
        <v>1721</v>
      </c>
      <c r="BK371" t="s">
        <v>264</v>
      </c>
      <c r="BL371" t="s">
        <v>1721</v>
      </c>
      <c r="BM371" t="s">
        <v>7178</v>
      </c>
      <c r="BN371" t="s">
        <v>74</v>
      </c>
      <c r="BO371" t="s">
        <v>5581</v>
      </c>
      <c r="BP371" t="s">
        <v>74</v>
      </c>
      <c r="BQ371" t="s">
        <v>74</v>
      </c>
      <c r="BR371" t="s">
        <v>100</v>
      </c>
      <c r="BS371" t="s">
        <v>7179</v>
      </c>
      <c r="BT371" t="str">
        <f>HYPERLINK("https%3A%2F%2Fwww.webofscience.com%2Fwos%2Fwoscc%2Ffull-record%2FWOS:000367398700003","View Full Record in Web of Science")</f>
        <v>View Full Record in Web of Science</v>
      </c>
    </row>
    <row r="372" spans="1:72" x14ac:dyDescent="0.15">
      <c r="A372" t="s">
        <v>72</v>
      </c>
      <c r="B372" t="s">
        <v>7180</v>
      </c>
      <c r="C372" t="s">
        <v>74</v>
      </c>
      <c r="D372" t="s">
        <v>74</v>
      </c>
      <c r="E372" t="s">
        <v>74</v>
      </c>
      <c r="F372" t="s">
        <v>7181</v>
      </c>
      <c r="G372" t="s">
        <v>74</v>
      </c>
      <c r="H372" t="s">
        <v>74</v>
      </c>
      <c r="I372" t="s">
        <v>7182</v>
      </c>
      <c r="J372" t="s">
        <v>7183</v>
      </c>
      <c r="K372" t="s">
        <v>74</v>
      </c>
      <c r="L372" t="s">
        <v>74</v>
      </c>
      <c r="M372" t="s">
        <v>200</v>
      </c>
      <c r="N372" t="s">
        <v>79</v>
      </c>
      <c r="O372" t="s">
        <v>74</v>
      </c>
      <c r="P372" t="s">
        <v>74</v>
      </c>
      <c r="Q372" t="s">
        <v>74</v>
      </c>
      <c r="R372" t="s">
        <v>74</v>
      </c>
      <c r="S372" t="s">
        <v>74</v>
      </c>
      <c r="T372" t="s">
        <v>7184</v>
      </c>
      <c r="U372" t="s">
        <v>74</v>
      </c>
      <c r="V372" t="s">
        <v>7185</v>
      </c>
      <c r="W372" t="s">
        <v>7186</v>
      </c>
      <c r="X372" t="s">
        <v>7187</v>
      </c>
      <c r="Y372" t="s">
        <v>7188</v>
      </c>
      <c r="Z372" t="s">
        <v>7189</v>
      </c>
      <c r="AA372" t="s">
        <v>74</v>
      </c>
      <c r="AB372" t="s">
        <v>74</v>
      </c>
      <c r="AC372" t="s">
        <v>7187</v>
      </c>
      <c r="AD372" t="s">
        <v>7187</v>
      </c>
      <c r="AE372" t="s">
        <v>7190</v>
      </c>
      <c r="AF372" t="s">
        <v>74</v>
      </c>
      <c r="AG372">
        <v>14</v>
      </c>
      <c r="AH372">
        <v>13</v>
      </c>
      <c r="AI372">
        <v>15</v>
      </c>
      <c r="AJ372">
        <v>3</v>
      </c>
      <c r="AK372">
        <v>35</v>
      </c>
      <c r="AL372" t="s">
        <v>7191</v>
      </c>
      <c r="AM372" t="s">
        <v>7192</v>
      </c>
      <c r="AN372" t="s">
        <v>7193</v>
      </c>
      <c r="AO372" t="s">
        <v>7194</v>
      </c>
      <c r="AP372" t="s">
        <v>7195</v>
      </c>
      <c r="AQ372" t="s">
        <v>74</v>
      </c>
      <c r="AR372" t="s">
        <v>7196</v>
      </c>
      <c r="AS372" t="s">
        <v>7197</v>
      </c>
      <c r="AT372" t="s">
        <v>315</v>
      </c>
      <c r="AU372">
        <v>2016</v>
      </c>
      <c r="AV372">
        <v>20</v>
      </c>
      <c r="AW372">
        <v>1</v>
      </c>
      <c r="AX372" t="s">
        <v>74</v>
      </c>
      <c r="AY372" t="s">
        <v>74</v>
      </c>
      <c r="AZ372" t="s">
        <v>74</v>
      </c>
      <c r="BA372" t="s">
        <v>74</v>
      </c>
      <c r="BB372">
        <v>208</v>
      </c>
      <c r="BC372">
        <v>215</v>
      </c>
      <c r="BD372" t="s">
        <v>74</v>
      </c>
      <c r="BE372" t="s">
        <v>7198</v>
      </c>
      <c r="BF372" t="str">
        <f>HYPERLINK("http://dx.doi.org/10.1007/s12205-015-1417-6","http://dx.doi.org/10.1007/s12205-015-1417-6")</f>
        <v>http://dx.doi.org/10.1007/s12205-015-1417-6</v>
      </c>
      <c r="BG372" t="s">
        <v>74</v>
      </c>
      <c r="BH372" t="s">
        <v>74</v>
      </c>
      <c r="BI372">
        <v>8</v>
      </c>
      <c r="BJ372" t="s">
        <v>7199</v>
      </c>
      <c r="BK372" t="s">
        <v>264</v>
      </c>
      <c r="BL372" t="s">
        <v>572</v>
      </c>
      <c r="BM372" t="s">
        <v>7200</v>
      </c>
      <c r="BN372" t="s">
        <v>74</v>
      </c>
      <c r="BO372" t="s">
        <v>74</v>
      </c>
      <c r="BP372" t="s">
        <v>74</v>
      </c>
      <c r="BQ372" t="s">
        <v>74</v>
      </c>
      <c r="BR372" t="s">
        <v>100</v>
      </c>
      <c r="BS372" t="s">
        <v>7201</v>
      </c>
      <c r="BT372" t="str">
        <f>HYPERLINK("https%3A%2F%2Fwww.webofscience.com%2Fwos%2Fwoscc%2Ffull-record%2FWOS:000367198800021","View Full Record in Web of Science")</f>
        <v>View Full Record in Web of Science</v>
      </c>
    </row>
    <row r="373" spans="1:72" x14ac:dyDescent="0.15">
      <c r="A373" t="s">
        <v>72</v>
      </c>
      <c r="B373" t="s">
        <v>7202</v>
      </c>
      <c r="C373" t="s">
        <v>74</v>
      </c>
      <c r="D373" t="s">
        <v>74</v>
      </c>
      <c r="E373" t="s">
        <v>74</v>
      </c>
      <c r="F373" t="s">
        <v>7203</v>
      </c>
      <c r="G373" t="s">
        <v>74</v>
      </c>
      <c r="H373" t="s">
        <v>74</v>
      </c>
      <c r="I373" t="s">
        <v>7204</v>
      </c>
      <c r="J373" t="s">
        <v>7205</v>
      </c>
      <c r="K373" t="s">
        <v>74</v>
      </c>
      <c r="L373" t="s">
        <v>74</v>
      </c>
      <c r="M373" t="s">
        <v>200</v>
      </c>
      <c r="N373" t="s">
        <v>79</v>
      </c>
      <c r="O373" t="s">
        <v>74</v>
      </c>
      <c r="P373" t="s">
        <v>74</v>
      </c>
      <c r="Q373" t="s">
        <v>74</v>
      </c>
      <c r="R373" t="s">
        <v>74</v>
      </c>
      <c r="S373" t="s">
        <v>74</v>
      </c>
      <c r="T373" t="s">
        <v>7206</v>
      </c>
      <c r="U373" t="s">
        <v>7207</v>
      </c>
      <c r="V373" t="s">
        <v>7208</v>
      </c>
      <c r="W373" t="s">
        <v>7209</v>
      </c>
      <c r="X373" t="s">
        <v>7210</v>
      </c>
      <c r="Y373" t="s">
        <v>7211</v>
      </c>
      <c r="Z373" t="s">
        <v>7212</v>
      </c>
      <c r="AA373" t="s">
        <v>7213</v>
      </c>
      <c r="AB373" t="s">
        <v>7214</v>
      </c>
      <c r="AC373" t="s">
        <v>7215</v>
      </c>
      <c r="AD373" t="s">
        <v>7216</v>
      </c>
      <c r="AE373" t="s">
        <v>7217</v>
      </c>
      <c r="AF373" t="s">
        <v>74</v>
      </c>
      <c r="AG373">
        <v>30</v>
      </c>
      <c r="AH373">
        <v>31</v>
      </c>
      <c r="AI373">
        <v>37</v>
      </c>
      <c r="AJ373">
        <v>3</v>
      </c>
      <c r="AK373">
        <v>77</v>
      </c>
      <c r="AL373" t="s">
        <v>7218</v>
      </c>
      <c r="AM373" t="s">
        <v>1386</v>
      </c>
      <c r="AN373" t="s">
        <v>7219</v>
      </c>
      <c r="AO373" t="s">
        <v>7220</v>
      </c>
      <c r="AP373" t="s">
        <v>7221</v>
      </c>
      <c r="AQ373" t="s">
        <v>74</v>
      </c>
      <c r="AR373" t="s">
        <v>7222</v>
      </c>
      <c r="AS373" t="s">
        <v>7223</v>
      </c>
      <c r="AT373" t="s">
        <v>315</v>
      </c>
      <c r="AU373">
        <v>2016</v>
      </c>
      <c r="AV373">
        <v>63</v>
      </c>
      <c r="AW373" t="s">
        <v>74</v>
      </c>
      <c r="AX373" t="s">
        <v>74</v>
      </c>
      <c r="AY373" t="s">
        <v>74</v>
      </c>
      <c r="AZ373" t="s">
        <v>74</v>
      </c>
      <c r="BA373" t="s">
        <v>74</v>
      </c>
      <c r="BB373">
        <v>153</v>
      </c>
      <c r="BC373">
        <v>157</v>
      </c>
      <c r="BD373" t="s">
        <v>74</v>
      </c>
      <c r="BE373" t="s">
        <v>7224</v>
      </c>
      <c r="BF373" t="str">
        <f>HYPERLINK("http://dx.doi.org/10.1016/j.marpol.2015.10.015","http://dx.doi.org/10.1016/j.marpol.2015.10.015")</f>
        <v>http://dx.doi.org/10.1016/j.marpol.2015.10.015</v>
      </c>
      <c r="BG373" t="s">
        <v>74</v>
      </c>
      <c r="BH373" t="s">
        <v>74</v>
      </c>
      <c r="BI373">
        <v>5</v>
      </c>
      <c r="BJ373" t="s">
        <v>7225</v>
      </c>
      <c r="BK373" t="s">
        <v>1208</v>
      </c>
      <c r="BL373" t="s">
        <v>7226</v>
      </c>
      <c r="BM373" t="s">
        <v>7227</v>
      </c>
      <c r="BN373" t="s">
        <v>74</v>
      </c>
      <c r="BO373" t="s">
        <v>5581</v>
      </c>
      <c r="BP373" t="s">
        <v>74</v>
      </c>
      <c r="BQ373" t="s">
        <v>74</v>
      </c>
      <c r="BR373" t="s">
        <v>100</v>
      </c>
      <c r="BS373" t="s">
        <v>7228</v>
      </c>
      <c r="BT373" t="str">
        <f>HYPERLINK("https%3A%2F%2Fwww.webofscience.com%2Fwos%2Fwoscc%2Ffull-record%2FWOS:000367021000017","View Full Record in Web of Science")</f>
        <v>View Full Record in Web of Science</v>
      </c>
    </row>
    <row r="374" spans="1:72" x14ac:dyDescent="0.15">
      <c r="A374" t="s">
        <v>72</v>
      </c>
      <c r="B374" t="s">
        <v>7229</v>
      </c>
      <c r="C374" t="s">
        <v>74</v>
      </c>
      <c r="D374" t="s">
        <v>74</v>
      </c>
      <c r="E374" t="s">
        <v>74</v>
      </c>
      <c r="F374" t="s">
        <v>7230</v>
      </c>
      <c r="G374" t="s">
        <v>74</v>
      </c>
      <c r="H374" t="s">
        <v>74</v>
      </c>
      <c r="I374" t="s">
        <v>7231</v>
      </c>
      <c r="J374" t="s">
        <v>7205</v>
      </c>
      <c r="K374" t="s">
        <v>74</v>
      </c>
      <c r="L374" t="s">
        <v>74</v>
      </c>
      <c r="M374" t="s">
        <v>200</v>
      </c>
      <c r="N374" t="s">
        <v>79</v>
      </c>
      <c r="O374" t="s">
        <v>74</v>
      </c>
      <c r="P374" t="s">
        <v>74</v>
      </c>
      <c r="Q374" t="s">
        <v>74</v>
      </c>
      <c r="R374" t="s">
        <v>74</v>
      </c>
      <c r="S374" t="s">
        <v>74</v>
      </c>
      <c r="T374" t="s">
        <v>7232</v>
      </c>
      <c r="U374" t="s">
        <v>7233</v>
      </c>
      <c r="V374" t="s">
        <v>7234</v>
      </c>
      <c r="W374" t="s">
        <v>7235</v>
      </c>
      <c r="X374" t="s">
        <v>7236</v>
      </c>
      <c r="Y374" t="s">
        <v>7237</v>
      </c>
      <c r="Z374" t="s">
        <v>7238</v>
      </c>
      <c r="AA374" t="s">
        <v>7239</v>
      </c>
      <c r="AB374" t="s">
        <v>7240</v>
      </c>
      <c r="AC374" t="s">
        <v>74</v>
      </c>
      <c r="AD374" t="s">
        <v>74</v>
      </c>
      <c r="AE374" t="s">
        <v>74</v>
      </c>
      <c r="AF374" t="s">
        <v>74</v>
      </c>
      <c r="AG374">
        <v>67</v>
      </c>
      <c r="AH374">
        <v>1</v>
      </c>
      <c r="AI374">
        <v>1</v>
      </c>
      <c r="AJ374">
        <v>0</v>
      </c>
      <c r="AK374">
        <v>20</v>
      </c>
      <c r="AL374" t="s">
        <v>7218</v>
      </c>
      <c r="AM374" t="s">
        <v>1386</v>
      </c>
      <c r="AN374" t="s">
        <v>7219</v>
      </c>
      <c r="AO374" t="s">
        <v>7220</v>
      </c>
      <c r="AP374" t="s">
        <v>7221</v>
      </c>
      <c r="AQ374" t="s">
        <v>74</v>
      </c>
      <c r="AR374" t="s">
        <v>7222</v>
      </c>
      <c r="AS374" t="s">
        <v>7223</v>
      </c>
      <c r="AT374" t="s">
        <v>315</v>
      </c>
      <c r="AU374">
        <v>2016</v>
      </c>
      <c r="AV374">
        <v>63</v>
      </c>
      <c r="AW374" t="s">
        <v>74</v>
      </c>
      <c r="AX374" t="s">
        <v>74</v>
      </c>
      <c r="AY374" t="s">
        <v>74</v>
      </c>
      <c r="AZ374" t="s">
        <v>74</v>
      </c>
      <c r="BA374" t="s">
        <v>74</v>
      </c>
      <c r="BB374">
        <v>206</v>
      </c>
      <c r="BC374">
        <v>212</v>
      </c>
      <c r="BD374" t="s">
        <v>74</v>
      </c>
      <c r="BE374" t="s">
        <v>7241</v>
      </c>
      <c r="BF374" t="str">
        <f>HYPERLINK("http://dx.doi.org/10.1016/j.marpol.2015.03.019","http://dx.doi.org/10.1016/j.marpol.2015.03.019")</f>
        <v>http://dx.doi.org/10.1016/j.marpol.2015.03.019</v>
      </c>
      <c r="BG374" t="s">
        <v>74</v>
      </c>
      <c r="BH374" t="s">
        <v>74</v>
      </c>
      <c r="BI374">
        <v>7</v>
      </c>
      <c r="BJ374" t="s">
        <v>7225</v>
      </c>
      <c r="BK374" t="s">
        <v>1208</v>
      </c>
      <c r="BL374" t="s">
        <v>7226</v>
      </c>
      <c r="BM374" t="s">
        <v>7227</v>
      </c>
      <c r="BN374" t="s">
        <v>74</v>
      </c>
      <c r="BO374" t="s">
        <v>74</v>
      </c>
      <c r="BP374" t="s">
        <v>74</v>
      </c>
      <c r="BQ374" t="s">
        <v>74</v>
      </c>
      <c r="BR374" t="s">
        <v>100</v>
      </c>
      <c r="BS374" t="s">
        <v>7242</v>
      </c>
      <c r="BT374" t="str">
        <f>HYPERLINK("https%3A%2F%2Fwww.webofscience.com%2Fwos%2Fwoscc%2Ffull-record%2FWOS:000367021000025","View Full Record in Web of Science")</f>
        <v>View Full Record in Web of Science</v>
      </c>
    </row>
    <row r="375" spans="1:72" x14ac:dyDescent="0.15">
      <c r="A375" t="s">
        <v>72</v>
      </c>
      <c r="B375" t="s">
        <v>7243</v>
      </c>
      <c r="C375" t="s">
        <v>74</v>
      </c>
      <c r="D375" t="s">
        <v>74</v>
      </c>
      <c r="E375" t="s">
        <v>74</v>
      </c>
      <c r="F375" t="s">
        <v>7244</v>
      </c>
      <c r="G375" t="s">
        <v>74</v>
      </c>
      <c r="H375" t="s">
        <v>74</v>
      </c>
      <c r="I375" t="s">
        <v>7245</v>
      </c>
      <c r="J375" t="s">
        <v>7246</v>
      </c>
      <c r="K375" t="s">
        <v>74</v>
      </c>
      <c r="L375" t="s">
        <v>74</v>
      </c>
      <c r="M375" t="s">
        <v>200</v>
      </c>
      <c r="N375" t="s">
        <v>79</v>
      </c>
      <c r="O375" t="s">
        <v>74</v>
      </c>
      <c r="P375" t="s">
        <v>74</v>
      </c>
      <c r="Q375" t="s">
        <v>74</v>
      </c>
      <c r="R375" t="s">
        <v>74</v>
      </c>
      <c r="S375" t="s">
        <v>74</v>
      </c>
      <c r="T375" t="s">
        <v>74</v>
      </c>
      <c r="U375" t="s">
        <v>7247</v>
      </c>
      <c r="V375" t="s">
        <v>7248</v>
      </c>
      <c r="W375" t="s">
        <v>7249</v>
      </c>
      <c r="X375" t="s">
        <v>7250</v>
      </c>
      <c r="Y375" t="s">
        <v>7251</v>
      </c>
      <c r="Z375" t="s">
        <v>4790</v>
      </c>
      <c r="AA375" t="s">
        <v>4791</v>
      </c>
      <c r="AB375" t="s">
        <v>7252</v>
      </c>
      <c r="AC375" t="s">
        <v>7253</v>
      </c>
      <c r="AD375" t="s">
        <v>7254</v>
      </c>
      <c r="AE375" t="s">
        <v>7255</v>
      </c>
      <c r="AF375" t="s">
        <v>74</v>
      </c>
      <c r="AG375">
        <v>32</v>
      </c>
      <c r="AH375">
        <v>20</v>
      </c>
      <c r="AI375">
        <v>20</v>
      </c>
      <c r="AJ375">
        <v>0</v>
      </c>
      <c r="AK375">
        <v>50</v>
      </c>
      <c r="AL375" t="s">
        <v>7256</v>
      </c>
      <c r="AM375" t="s">
        <v>2100</v>
      </c>
      <c r="AN375" t="s">
        <v>7257</v>
      </c>
      <c r="AO375" t="s">
        <v>7258</v>
      </c>
      <c r="AP375" t="s">
        <v>7259</v>
      </c>
      <c r="AQ375" t="s">
        <v>74</v>
      </c>
      <c r="AR375" t="s">
        <v>7260</v>
      </c>
      <c r="AS375" t="s">
        <v>7261</v>
      </c>
      <c r="AT375" t="s">
        <v>315</v>
      </c>
      <c r="AU375">
        <v>2016</v>
      </c>
      <c r="AV375">
        <v>6</v>
      </c>
      <c r="AW375">
        <v>1</v>
      </c>
      <c r="AX375" t="s">
        <v>74</v>
      </c>
      <c r="AY375" t="s">
        <v>74</v>
      </c>
      <c r="AZ375" t="s">
        <v>74</v>
      </c>
      <c r="BA375" t="s">
        <v>74</v>
      </c>
      <c r="BB375">
        <v>71</v>
      </c>
      <c r="BC375" t="s">
        <v>7262</v>
      </c>
      <c r="BD375" t="s">
        <v>74</v>
      </c>
      <c r="BE375" t="s">
        <v>7263</v>
      </c>
      <c r="BF375" t="str">
        <f>HYPERLINK("http://dx.doi.org/10.1038/NCLIMATE2808","http://dx.doi.org/10.1038/NCLIMATE2808")</f>
        <v>http://dx.doi.org/10.1038/NCLIMATE2808</v>
      </c>
      <c r="BG375" t="s">
        <v>74</v>
      </c>
      <c r="BH375" t="s">
        <v>74</v>
      </c>
      <c r="BI375">
        <v>5</v>
      </c>
      <c r="BJ375" t="s">
        <v>7264</v>
      </c>
      <c r="BK375" t="s">
        <v>710</v>
      </c>
      <c r="BL375" t="s">
        <v>3245</v>
      </c>
      <c r="BM375" t="s">
        <v>7265</v>
      </c>
      <c r="BN375" t="s">
        <v>74</v>
      </c>
      <c r="BO375" t="s">
        <v>74</v>
      </c>
      <c r="BP375" t="s">
        <v>74</v>
      </c>
      <c r="BQ375" t="s">
        <v>74</v>
      </c>
      <c r="BR375" t="s">
        <v>100</v>
      </c>
      <c r="BS375" t="s">
        <v>7266</v>
      </c>
      <c r="BT375" t="str">
        <f>HYPERLINK("https%3A%2F%2Fwww.webofscience.com%2Fwos%2Fwoscc%2Ffull-record%2FWOS:000367030800025","View Full Record in Web of Science")</f>
        <v>View Full Record in Web of Science</v>
      </c>
    </row>
    <row r="376" spans="1:72" x14ac:dyDescent="0.15">
      <c r="A376" t="s">
        <v>72</v>
      </c>
      <c r="B376" t="s">
        <v>7267</v>
      </c>
      <c r="C376" t="s">
        <v>74</v>
      </c>
      <c r="D376" t="s">
        <v>74</v>
      </c>
      <c r="E376" t="s">
        <v>74</v>
      </c>
      <c r="F376" t="s">
        <v>7268</v>
      </c>
      <c r="G376" t="s">
        <v>74</v>
      </c>
      <c r="H376" t="s">
        <v>74</v>
      </c>
      <c r="I376" t="s">
        <v>7269</v>
      </c>
      <c r="J376" t="s">
        <v>7270</v>
      </c>
      <c r="K376" t="s">
        <v>74</v>
      </c>
      <c r="L376" t="s">
        <v>74</v>
      </c>
      <c r="M376" t="s">
        <v>200</v>
      </c>
      <c r="N376" t="s">
        <v>79</v>
      </c>
      <c r="O376" t="s">
        <v>74</v>
      </c>
      <c r="P376" t="s">
        <v>74</v>
      </c>
      <c r="Q376" t="s">
        <v>74</v>
      </c>
      <c r="R376" t="s">
        <v>74</v>
      </c>
      <c r="S376" t="s">
        <v>74</v>
      </c>
      <c r="T376" t="s">
        <v>7271</v>
      </c>
      <c r="U376" t="s">
        <v>7272</v>
      </c>
      <c r="V376" t="s">
        <v>7273</v>
      </c>
      <c r="W376" t="s">
        <v>7274</v>
      </c>
      <c r="X376" t="s">
        <v>7275</v>
      </c>
      <c r="Y376" t="s">
        <v>7276</v>
      </c>
      <c r="Z376" t="s">
        <v>7277</v>
      </c>
      <c r="AA376" t="s">
        <v>7278</v>
      </c>
      <c r="AB376" t="s">
        <v>7279</v>
      </c>
      <c r="AC376" t="s">
        <v>7280</v>
      </c>
      <c r="AD376" t="s">
        <v>7281</v>
      </c>
      <c r="AE376" t="s">
        <v>7282</v>
      </c>
      <c r="AF376" t="s">
        <v>74</v>
      </c>
      <c r="AG376">
        <v>60</v>
      </c>
      <c r="AH376">
        <v>27</v>
      </c>
      <c r="AI376">
        <v>31</v>
      </c>
      <c r="AJ376">
        <v>0</v>
      </c>
      <c r="AK376">
        <v>24</v>
      </c>
      <c r="AL376" t="s">
        <v>7137</v>
      </c>
      <c r="AM376" t="s">
        <v>209</v>
      </c>
      <c r="AN376" t="s">
        <v>7138</v>
      </c>
      <c r="AO376" t="s">
        <v>7283</v>
      </c>
      <c r="AP376" t="s">
        <v>7284</v>
      </c>
      <c r="AQ376" t="s">
        <v>74</v>
      </c>
      <c r="AR376" t="s">
        <v>7285</v>
      </c>
      <c r="AS376" t="s">
        <v>7286</v>
      </c>
      <c r="AT376" t="s">
        <v>6992</v>
      </c>
      <c r="AU376">
        <v>2016</v>
      </c>
      <c r="AV376">
        <v>441</v>
      </c>
      <c r="AW376" t="s">
        <v>74</v>
      </c>
      <c r="AX376">
        <v>4</v>
      </c>
      <c r="AY376" t="s">
        <v>74</v>
      </c>
      <c r="AZ376" t="s">
        <v>74</v>
      </c>
      <c r="BA376" t="s">
        <v>74</v>
      </c>
      <c r="BB376">
        <v>823</v>
      </c>
      <c r="BC376">
        <v>833</v>
      </c>
      <c r="BD376" t="s">
        <v>74</v>
      </c>
      <c r="BE376" t="s">
        <v>7287</v>
      </c>
      <c r="BF376" t="str">
        <f>HYPERLINK("http://dx.doi.org/10.1016/j.palaeo.2015.10.030","http://dx.doi.org/10.1016/j.palaeo.2015.10.030")</f>
        <v>http://dx.doi.org/10.1016/j.palaeo.2015.10.030</v>
      </c>
      <c r="BG376" t="s">
        <v>74</v>
      </c>
      <c r="BH376" t="s">
        <v>74</v>
      </c>
      <c r="BI376">
        <v>11</v>
      </c>
      <c r="BJ376" t="s">
        <v>7288</v>
      </c>
      <c r="BK376" t="s">
        <v>264</v>
      </c>
      <c r="BL376" t="s">
        <v>7289</v>
      </c>
      <c r="BM376" t="s">
        <v>7290</v>
      </c>
      <c r="BN376" t="s">
        <v>74</v>
      </c>
      <c r="BO376" t="s">
        <v>74</v>
      </c>
      <c r="BP376" t="s">
        <v>74</v>
      </c>
      <c r="BQ376" t="s">
        <v>74</v>
      </c>
      <c r="BR376" t="s">
        <v>100</v>
      </c>
      <c r="BS376" t="s">
        <v>7291</v>
      </c>
      <c r="BT376" t="str">
        <f>HYPERLINK("https%3A%2F%2Fwww.webofscience.com%2Fwos%2Fwoscc%2Ffull-record%2FWOS:000367113900016","View Full Record in Web of Science")</f>
        <v>View Full Record in Web of Science</v>
      </c>
    </row>
    <row r="377" spans="1:72" x14ac:dyDescent="0.15">
      <c r="A377" t="s">
        <v>72</v>
      </c>
      <c r="B377" t="s">
        <v>7292</v>
      </c>
      <c r="C377" t="s">
        <v>74</v>
      </c>
      <c r="D377" t="s">
        <v>74</v>
      </c>
      <c r="E377" t="s">
        <v>74</v>
      </c>
      <c r="F377" t="s">
        <v>7293</v>
      </c>
      <c r="G377" t="s">
        <v>74</v>
      </c>
      <c r="H377" t="s">
        <v>74</v>
      </c>
      <c r="I377" t="s">
        <v>7294</v>
      </c>
      <c r="J377" t="s">
        <v>7295</v>
      </c>
      <c r="K377" t="s">
        <v>74</v>
      </c>
      <c r="L377" t="s">
        <v>74</v>
      </c>
      <c r="M377" t="s">
        <v>200</v>
      </c>
      <c r="N377" t="s">
        <v>79</v>
      </c>
      <c r="O377" t="s">
        <v>74</v>
      </c>
      <c r="P377" t="s">
        <v>74</v>
      </c>
      <c r="Q377" t="s">
        <v>74</v>
      </c>
      <c r="R377" t="s">
        <v>74</v>
      </c>
      <c r="S377" t="s">
        <v>74</v>
      </c>
      <c r="T377" t="s">
        <v>7296</v>
      </c>
      <c r="U377" t="s">
        <v>7297</v>
      </c>
      <c r="V377" t="s">
        <v>7298</v>
      </c>
      <c r="W377" t="s">
        <v>7299</v>
      </c>
      <c r="X377" t="s">
        <v>7300</v>
      </c>
      <c r="Y377" t="s">
        <v>7301</v>
      </c>
      <c r="Z377" t="s">
        <v>7302</v>
      </c>
      <c r="AA377" t="s">
        <v>7303</v>
      </c>
      <c r="AB377" t="s">
        <v>7304</v>
      </c>
      <c r="AC377" t="s">
        <v>7305</v>
      </c>
      <c r="AD377" t="s">
        <v>7306</v>
      </c>
      <c r="AE377" t="s">
        <v>7307</v>
      </c>
      <c r="AF377" t="s">
        <v>74</v>
      </c>
      <c r="AG377">
        <v>118</v>
      </c>
      <c r="AH377">
        <v>19</v>
      </c>
      <c r="AI377">
        <v>20</v>
      </c>
      <c r="AJ377">
        <v>1</v>
      </c>
      <c r="AK377">
        <v>58</v>
      </c>
      <c r="AL377" t="s">
        <v>7137</v>
      </c>
      <c r="AM377" t="s">
        <v>209</v>
      </c>
      <c r="AN377" t="s">
        <v>7138</v>
      </c>
      <c r="AO377" t="s">
        <v>7308</v>
      </c>
      <c r="AP377" t="s">
        <v>7309</v>
      </c>
      <c r="AQ377" t="s">
        <v>74</v>
      </c>
      <c r="AR377" t="s">
        <v>7310</v>
      </c>
      <c r="AS377" t="s">
        <v>7311</v>
      </c>
      <c r="AT377" t="s">
        <v>315</v>
      </c>
      <c r="AU377">
        <v>2016</v>
      </c>
      <c r="AV377">
        <v>474</v>
      </c>
      <c r="AW377" t="s">
        <v>74</v>
      </c>
      <c r="AX377" t="s">
        <v>74</v>
      </c>
      <c r="AY377" t="s">
        <v>74</v>
      </c>
      <c r="AZ377" t="s">
        <v>74</v>
      </c>
      <c r="BA377" t="s">
        <v>74</v>
      </c>
      <c r="BB377">
        <v>58</v>
      </c>
      <c r="BC377">
        <v>66</v>
      </c>
      <c r="BD377" t="s">
        <v>74</v>
      </c>
      <c r="BE377" t="s">
        <v>7312</v>
      </c>
      <c r="BF377" t="str">
        <f>HYPERLINK("http://dx.doi.org/10.1016/j.jembe.2015.09.009","http://dx.doi.org/10.1016/j.jembe.2015.09.009")</f>
        <v>http://dx.doi.org/10.1016/j.jembe.2015.09.009</v>
      </c>
      <c r="BG377" t="s">
        <v>74</v>
      </c>
      <c r="BH377" t="s">
        <v>74</v>
      </c>
      <c r="BI377">
        <v>9</v>
      </c>
      <c r="BJ377" t="s">
        <v>7313</v>
      </c>
      <c r="BK377" t="s">
        <v>264</v>
      </c>
      <c r="BL377" t="s">
        <v>7314</v>
      </c>
      <c r="BM377" t="s">
        <v>7315</v>
      </c>
      <c r="BN377" t="s">
        <v>74</v>
      </c>
      <c r="BO377" t="s">
        <v>5581</v>
      </c>
      <c r="BP377" t="s">
        <v>74</v>
      </c>
      <c r="BQ377" t="s">
        <v>74</v>
      </c>
      <c r="BR377" t="s">
        <v>100</v>
      </c>
      <c r="BS377" t="s">
        <v>7316</v>
      </c>
      <c r="BT377" t="str">
        <f>HYPERLINK("https%3A%2F%2Fwww.webofscience.com%2Fwos%2Fwoscc%2Ffull-record%2FWOS:000366768300009","View Full Record in Web of Science")</f>
        <v>View Full Record in Web of Science</v>
      </c>
    </row>
    <row r="378" spans="1:72" x14ac:dyDescent="0.15">
      <c r="A378" t="s">
        <v>72</v>
      </c>
      <c r="B378" t="s">
        <v>7317</v>
      </c>
      <c r="C378" t="s">
        <v>74</v>
      </c>
      <c r="D378" t="s">
        <v>74</v>
      </c>
      <c r="E378" t="s">
        <v>74</v>
      </c>
      <c r="F378" t="s">
        <v>7318</v>
      </c>
      <c r="G378" t="s">
        <v>74</v>
      </c>
      <c r="H378" t="s">
        <v>74</v>
      </c>
      <c r="I378" t="s">
        <v>7319</v>
      </c>
      <c r="J378" t="s">
        <v>7320</v>
      </c>
      <c r="K378" t="s">
        <v>74</v>
      </c>
      <c r="L378" t="s">
        <v>74</v>
      </c>
      <c r="M378" t="s">
        <v>200</v>
      </c>
      <c r="N378" t="s">
        <v>79</v>
      </c>
      <c r="O378" t="s">
        <v>74</v>
      </c>
      <c r="P378" t="s">
        <v>74</v>
      </c>
      <c r="Q378" t="s">
        <v>74</v>
      </c>
      <c r="R378" t="s">
        <v>74</v>
      </c>
      <c r="S378" t="s">
        <v>74</v>
      </c>
      <c r="T378" t="s">
        <v>7321</v>
      </c>
      <c r="U378" t="s">
        <v>7322</v>
      </c>
      <c r="V378" t="s">
        <v>7323</v>
      </c>
      <c r="W378" t="s">
        <v>7324</v>
      </c>
      <c r="X378" t="s">
        <v>7325</v>
      </c>
      <c r="Y378" t="s">
        <v>7326</v>
      </c>
      <c r="Z378" t="s">
        <v>7327</v>
      </c>
      <c r="AA378" t="s">
        <v>7328</v>
      </c>
      <c r="AB378" t="s">
        <v>7329</v>
      </c>
      <c r="AC378" t="s">
        <v>7330</v>
      </c>
      <c r="AD378" t="s">
        <v>7331</v>
      </c>
      <c r="AE378" t="s">
        <v>7332</v>
      </c>
      <c r="AF378" t="s">
        <v>74</v>
      </c>
      <c r="AG378">
        <v>95</v>
      </c>
      <c r="AH378">
        <v>6</v>
      </c>
      <c r="AI378">
        <v>8</v>
      </c>
      <c r="AJ378">
        <v>0</v>
      </c>
      <c r="AK378">
        <v>37</v>
      </c>
      <c r="AL378" t="s">
        <v>5464</v>
      </c>
      <c r="AM378" t="s">
        <v>5465</v>
      </c>
      <c r="AN378" t="s">
        <v>5466</v>
      </c>
      <c r="AO378" t="s">
        <v>7333</v>
      </c>
      <c r="AP378" t="s">
        <v>7334</v>
      </c>
      <c r="AQ378" t="s">
        <v>74</v>
      </c>
      <c r="AR378" t="s">
        <v>7335</v>
      </c>
      <c r="AS378" t="s">
        <v>7336</v>
      </c>
      <c r="AT378" t="s">
        <v>315</v>
      </c>
      <c r="AU378">
        <v>2016</v>
      </c>
      <c r="AV378">
        <v>36</v>
      </c>
      <c r="AW378">
        <v>1</v>
      </c>
      <c r="AX378" t="s">
        <v>74</v>
      </c>
      <c r="AY378" t="s">
        <v>74</v>
      </c>
      <c r="AZ378" t="s">
        <v>2540</v>
      </c>
      <c r="BA378" t="s">
        <v>74</v>
      </c>
      <c r="BB378">
        <v>144</v>
      </c>
      <c r="BC378">
        <v>168</v>
      </c>
      <c r="BD378" t="s">
        <v>74</v>
      </c>
      <c r="BE378" t="s">
        <v>7337</v>
      </c>
      <c r="BF378" t="str">
        <f>HYPERLINK("http://dx.doi.org/10.1002/med.21335","http://dx.doi.org/10.1002/med.21335")</f>
        <v>http://dx.doi.org/10.1002/med.21335</v>
      </c>
      <c r="BG378" t="s">
        <v>74</v>
      </c>
      <c r="BH378" t="s">
        <v>74</v>
      </c>
      <c r="BI378">
        <v>25</v>
      </c>
      <c r="BJ378" t="s">
        <v>7338</v>
      </c>
      <c r="BK378" t="s">
        <v>264</v>
      </c>
      <c r="BL378" t="s">
        <v>7339</v>
      </c>
      <c r="BM378" t="s">
        <v>7340</v>
      </c>
      <c r="BN378">
        <v>25545963</v>
      </c>
      <c r="BO378" t="s">
        <v>74</v>
      </c>
      <c r="BP378" t="s">
        <v>74</v>
      </c>
      <c r="BQ378" t="s">
        <v>74</v>
      </c>
      <c r="BR378" t="s">
        <v>100</v>
      </c>
      <c r="BS378" t="s">
        <v>7341</v>
      </c>
      <c r="BT378" t="str">
        <f>HYPERLINK("https%3A%2F%2Fwww.webofscience.com%2Fwos%2Fwoscc%2Ffull-record%2FWOS:000366598600006","View Full Record in Web of Science")</f>
        <v>View Full Record in Web of Science</v>
      </c>
    </row>
    <row r="379" spans="1:72" x14ac:dyDescent="0.15">
      <c r="A379" t="s">
        <v>267</v>
      </c>
      <c r="B379" t="s">
        <v>7342</v>
      </c>
      <c r="C379" t="s">
        <v>74</v>
      </c>
      <c r="D379" t="s">
        <v>7343</v>
      </c>
      <c r="E379" t="s">
        <v>74</v>
      </c>
      <c r="F379" t="s">
        <v>7344</v>
      </c>
      <c r="G379" t="s">
        <v>74</v>
      </c>
      <c r="H379" t="s">
        <v>74</v>
      </c>
      <c r="I379" t="s">
        <v>7345</v>
      </c>
      <c r="J379" t="s">
        <v>7346</v>
      </c>
      <c r="K379" t="s">
        <v>7347</v>
      </c>
      <c r="L379" t="s">
        <v>74</v>
      </c>
      <c r="M379" t="s">
        <v>200</v>
      </c>
      <c r="N379" t="s">
        <v>273</v>
      </c>
      <c r="O379" t="s">
        <v>7348</v>
      </c>
      <c r="P379" t="s">
        <v>7349</v>
      </c>
      <c r="Q379" t="s">
        <v>7350</v>
      </c>
      <c r="R379" t="s">
        <v>74</v>
      </c>
      <c r="S379" t="s">
        <v>74</v>
      </c>
      <c r="T379" t="s">
        <v>7351</v>
      </c>
      <c r="U379" t="s">
        <v>7352</v>
      </c>
      <c r="V379" t="s">
        <v>7353</v>
      </c>
      <c r="W379" t="s">
        <v>7354</v>
      </c>
      <c r="X379" t="s">
        <v>7355</v>
      </c>
      <c r="Y379" t="s">
        <v>7356</v>
      </c>
      <c r="Z379" t="s">
        <v>7357</v>
      </c>
      <c r="AA379" t="s">
        <v>7358</v>
      </c>
      <c r="AB379" t="s">
        <v>7359</v>
      </c>
      <c r="AC379" t="s">
        <v>74</v>
      </c>
      <c r="AD379" t="s">
        <v>74</v>
      </c>
      <c r="AE379" t="s">
        <v>74</v>
      </c>
      <c r="AF379" t="s">
        <v>74</v>
      </c>
      <c r="AG379">
        <v>14</v>
      </c>
      <c r="AH379">
        <v>4</v>
      </c>
      <c r="AI379">
        <v>5</v>
      </c>
      <c r="AJ379">
        <v>0</v>
      </c>
      <c r="AK379">
        <v>7</v>
      </c>
      <c r="AL379" t="s">
        <v>208</v>
      </c>
      <c r="AM379" t="s">
        <v>209</v>
      </c>
      <c r="AN379" t="s">
        <v>210</v>
      </c>
      <c r="AO379" t="s">
        <v>7360</v>
      </c>
      <c r="AP379" t="s">
        <v>74</v>
      </c>
      <c r="AQ379" t="s">
        <v>74</v>
      </c>
      <c r="AR379" t="s">
        <v>7361</v>
      </c>
      <c r="AS379" t="s">
        <v>74</v>
      </c>
      <c r="AT379" t="s">
        <v>74</v>
      </c>
      <c r="AU379">
        <v>2016</v>
      </c>
      <c r="AV379">
        <v>154</v>
      </c>
      <c r="AW379" t="s">
        <v>74</v>
      </c>
      <c r="AX379" t="s">
        <v>74</v>
      </c>
      <c r="AY379" t="s">
        <v>74</v>
      </c>
      <c r="AZ379" t="s">
        <v>74</v>
      </c>
      <c r="BA379" t="s">
        <v>74</v>
      </c>
      <c r="BB379">
        <v>557</v>
      </c>
      <c r="BC379">
        <v>564</v>
      </c>
      <c r="BD379" t="s">
        <v>74</v>
      </c>
      <c r="BE379" t="s">
        <v>7362</v>
      </c>
      <c r="BF379" t="str">
        <f>HYPERLINK("http://dx.doi.org/10.1016/j.proeng.2016.07.552","http://dx.doi.org/10.1016/j.proeng.2016.07.552")</f>
        <v>http://dx.doi.org/10.1016/j.proeng.2016.07.552</v>
      </c>
      <c r="BG379" t="s">
        <v>74</v>
      </c>
      <c r="BH379" t="s">
        <v>74</v>
      </c>
      <c r="BI379">
        <v>8</v>
      </c>
      <c r="BJ379" t="s">
        <v>7363</v>
      </c>
      <c r="BK379" t="s">
        <v>293</v>
      </c>
      <c r="BL379" t="s">
        <v>7363</v>
      </c>
      <c r="BM379" t="s">
        <v>7364</v>
      </c>
      <c r="BN379" t="s">
        <v>74</v>
      </c>
      <c r="BO379" t="s">
        <v>99</v>
      </c>
      <c r="BP379" t="s">
        <v>74</v>
      </c>
      <c r="BQ379" t="s">
        <v>74</v>
      </c>
      <c r="BR379" t="s">
        <v>100</v>
      </c>
      <c r="BS379" t="s">
        <v>7365</v>
      </c>
      <c r="BT379" t="str">
        <f>HYPERLINK("https%3A%2F%2Fwww.webofscience.com%2Fwos%2Fwoscc%2Ffull-record%2FWOS:000385793200076","View Full Record in Web of Science")</f>
        <v>View Full Record in Web of Science</v>
      </c>
    </row>
    <row r="380" spans="1:72" x14ac:dyDescent="0.15">
      <c r="A380" t="s">
        <v>267</v>
      </c>
      <c r="B380" t="s">
        <v>7366</v>
      </c>
      <c r="C380" t="s">
        <v>74</v>
      </c>
      <c r="D380" t="s">
        <v>74</v>
      </c>
      <c r="E380" t="s">
        <v>269</v>
      </c>
      <c r="F380" t="s">
        <v>7367</v>
      </c>
      <c r="G380" t="s">
        <v>74</v>
      </c>
      <c r="H380" t="s">
        <v>74</v>
      </c>
      <c r="I380" t="s">
        <v>7368</v>
      </c>
      <c r="J380" t="s">
        <v>812</v>
      </c>
      <c r="K380" t="s">
        <v>813</v>
      </c>
      <c r="L380" t="s">
        <v>74</v>
      </c>
      <c r="M380" t="s">
        <v>200</v>
      </c>
      <c r="N380" t="s">
        <v>273</v>
      </c>
      <c r="O380" t="s">
        <v>814</v>
      </c>
      <c r="P380" t="s">
        <v>815</v>
      </c>
      <c r="Q380" t="s">
        <v>816</v>
      </c>
      <c r="R380" t="s">
        <v>74</v>
      </c>
      <c r="S380" t="s">
        <v>74</v>
      </c>
      <c r="T380" t="s">
        <v>7369</v>
      </c>
      <c r="U380" t="s">
        <v>7370</v>
      </c>
      <c r="V380" t="s">
        <v>7371</v>
      </c>
      <c r="W380" t="s">
        <v>7372</v>
      </c>
      <c r="X380" t="s">
        <v>7373</v>
      </c>
      <c r="Y380" t="s">
        <v>7374</v>
      </c>
      <c r="Z380" t="s">
        <v>74</v>
      </c>
      <c r="AA380" t="s">
        <v>74</v>
      </c>
      <c r="AB380" t="s">
        <v>74</v>
      </c>
      <c r="AC380" t="s">
        <v>7375</v>
      </c>
      <c r="AD380" t="s">
        <v>7376</v>
      </c>
      <c r="AE380" t="s">
        <v>7377</v>
      </c>
      <c r="AF380" t="s">
        <v>74</v>
      </c>
      <c r="AG380">
        <v>10</v>
      </c>
      <c r="AH380">
        <v>1</v>
      </c>
      <c r="AI380">
        <v>1</v>
      </c>
      <c r="AJ380">
        <v>0</v>
      </c>
      <c r="AK380">
        <v>2</v>
      </c>
      <c r="AL380" t="s">
        <v>269</v>
      </c>
      <c r="AM380" t="s">
        <v>289</v>
      </c>
      <c r="AN380" t="s">
        <v>290</v>
      </c>
      <c r="AO380" t="s">
        <v>828</v>
      </c>
      <c r="AP380" t="s">
        <v>74</v>
      </c>
      <c r="AQ380" t="s">
        <v>829</v>
      </c>
      <c r="AR380" t="s">
        <v>830</v>
      </c>
      <c r="AS380" t="s">
        <v>74</v>
      </c>
      <c r="AT380" t="s">
        <v>74</v>
      </c>
      <c r="AU380">
        <v>2016</v>
      </c>
      <c r="AV380" t="s">
        <v>74</v>
      </c>
      <c r="AW380" t="s">
        <v>74</v>
      </c>
      <c r="AX380" t="s">
        <v>74</v>
      </c>
      <c r="AY380" t="s">
        <v>74</v>
      </c>
      <c r="AZ380" t="s">
        <v>74</v>
      </c>
      <c r="BA380" t="s">
        <v>74</v>
      </c>
      <c r="BB380">
        <v>7105</v>
      </c>
      <c r="BC380">
        <v>7108</v>
      </c>
      <c r="BD380" t="s">
        <v>74</v>
      </c>
      <c r="BE380" t="s">
        <v>7378</v>
      </c>
      <c r="BF380" t="str">
        <f>HYPERLINK("http://dx.doi.org/10.1109/IGARSS.2016.7730854","http://dx.doi.org/10.1109/IGARSS.2016.7730854")</f>
        <v>http://dx.doi.org/10.1109/IGARSS.2016.7730854</v>
      </c>
      <c r="BG380" t="s">
        <v>74</v>
      </c>
      <c r="BH380" t="s">
        <v>74</v>
      </c>
      <c r="BI380">
        <v>4</v>
      </c>
      <c r="BJ380" t="s">
        <v>832</v>
      </c>
      <c r="BK380" t="s">
        <v>293</v>
      </c>
      <c r="BL380" t="s">
        <v>833</v>
      </c>
      <c r="BM380" t="s">
        <v>834</v>
      </c>
      <c r="BN380" t="s">
        <v>74</v>
      </c>
      <c r="BO380" t="s">
        <v>74</v>
      </c>
      <c r="BP380" t="s">
        <v>74</v>
      </c>
      <c r="BQ380" t="s">
        <v>74</v>
      </c>
      <c r="BR380" t="s">
        <v>100</v>
      </c>
      <c r="BS380" t="s">
        <v>7379</v>
      </c>
      <c r="BT380" t="str">
        <f>HYPERLINK("https%3A%2F%2Fwww.webofscience.com%2Fwos%2Fwoscc%2Ffull-record%2FWOS:000388114606229","View Full Record in Web of Science")</f>
        <v>View Full Record in Web of Science</v>
      </c>
    </row>
    <row r="381" spans="1:72" x14ac:dyDescent="0.15">
      <c r="A381" t="s">
        <v>267</v>
      </c>
      <c r="B381" t="s">
        <v>7380</v>
      </c>
      <c r="C381" t="s">
        <v>74</v>
      </c>
      <c r="D381" t="s">
        <v>7381</v>
      </c>
      <c r="E381" t="s">
        <v>74</v>
      </c>
      <c r="F381" t="s">
        <v>7382</v>
      </c>
      <c r="G381" t="s">
        <v>74</v>
      </c>
      <c r="H381" t="s">
        <v>74</v>
      </c>
      <c r="I381" t="s">
        <v>7383</v>
      </c>
      <c r="J381" t="s">
        <v>7384</v>
      </c>
      <c r="K381" t="s">
        <v>7385</v>
      </c>
      <c r="L381" t="s">
        <v>74</v>
      </c>
      <c r="M381" t="s">
        <v>200</v>
      </c>
      <c r="N381" t="s">
        <v>273</v>
      </c>
      <c r="O381" t="s">
        <v>7386</v>
      </c>
      <c r="P381" t="s">
        <v>7387</v>
      </c>
      <c r="Q381" t="s">
        <v>7388</v>
      </c>
      <c r="R381" t="s">
        <v>74</v>
      </c>
      <c r="S381" t="s">
        <v>74</v>
      </c>
      <c r="T381" t="s">
        <v>74</v>
      </c>
      <c r="U381" t="s">
        <v>7389</v>
      </c>
      <c r="V381" t="s">
        <v>7390</v>
      </c>
      <c r="W381" t="s">
        <v>7391</v>
      </c>
      <c r="X381" t="s">
        <v>7392</v>
      </c>
      <c r="Y381" t="s">
        <v>7393</v>
      </c>
      <c r="Z381" t="s">
        <v>7394</v>
      </c>
      <c r="AA381" t="s">
        <v>7395</v>
      </c>
      <c r="AB381" t="s">
        <v>7396</v>
      </c>
      <c r="AC381" t="s">
        <v>74</v>
      </c>
      <c r="AD381" t="s">
        <v>74</v>
      </c>
      <c r="AE381" t="s">
        <v>74</v>
      </c>
      <c r="AF381" t="s">
        <v>74</v>
      </c>
      <c r="AG381">
        <v>21</v>
      </c>
      <c r="AH381">
        <v>1</v>
      </c>
      <c r="AI381">
        <v>1</v>
      </c>
      <c r="AJ381">
        <v>0</v>
      </c>
      <c r="AK381">
        <v>1</v>
      </c>
      <c r="AL381" t="s">
        <v>7397</v>
      </c>
      <c r="AM381" t="s">
        <v>7398</v>
      </c>
      <c r="AN381" t="s">
        <v>7399</v>
      </c>
      <c r="AO381" t="s">
        <v>7400</v>
      </c>
      <c r="AP381" t="s">
        <v>74</v>
      </c>
      <c r="AQ381" t="s">
        <v>7401</v>
      </c>
      <c r="AR381" t="s">
        <v>7402</v>
      </c>
      <c r="AS381" t="s">
        <v>74</v>
      </c>
      <c r="AT381" t="s">
        <v>74</v>
      </c>
      <c r="AU381">
        <v>2016</v>
      </c>
      <c r="AV381">
        <v>49</v>
      </c>
      <c r="AW381" t="s">
        <v>74</v>
      </c>
      <c r="AX381" t="s">
        <v>74</v>
      </c>
      <c r="AY381" t="s">
        <v>74</v>
      </c>
      <c r="AZ381" t="s">
        <v>74</v>
      </c>
      <c r="BA381" t="s">
        <v>74</v>
      </c>
      <c r="BB381">
        <v>547</v>
      </c>
      <c r="BC381">
        <v>552</v>
      </c>
      <c r="BD381" t="s">
        <v>74</v>
      </c>
      <c r="BE381" t="s">
        <v>7403</v>
      </c>
      <c r="BF381" t="str">
        <f>HYPERLINK("http://dx.doi.org/10.3303/CET1649092","http://dx.doi.org/10.3303/CET1649092")</f>
        <v>http://dx.doi.org/10.3303/CET1649092</v>
      </c>
      <c r="BG381" t="s">
        <v>74</v>
      </c>
      <c r="BH381" t="s">
        <v>74</v>
      </c>
      <c r="BI381">
        <v>6</v>
      </c>
      <c r="BJ381" t="s">
        <v>1419</v>
      </c>
      <c r="BK381" t="s">
        <v>293</v>
      </c>
      <c r="BL381" t="s">
        <v>1420</v>
      </c>
      <c r="BM381" t="s">
        <v>7404</v>
      </c>
      <c r="BN381" t="s">
        <v>74</v>
      </c>
      <c r="BO381" t="s">
        <v>74</v>
      </c>
      <c r="BP381" t="s">
        <v>74</v>
      </c>
      <c r="BQ381" t="s">
        <v>74</v>
      </c>
      <c r="BR381" t="s">
        <v>100</v>
      </c>
      <c r="BS381" t="s">
        <v>7405</v>
      </c>
      <c r="BT381" t="str">
        <f>HYPERLINK("https%3A%2F%2Fwww.webofscience.com%2Fwos%2Fwoscc%2Ffull-record%2FWOS:000383265300092","View Full Record in Web of Science")</f>
        <v>View Full Record in Web of Science</v>
      </c>
    </row>
    <row r="382" spans="1:72" x14ac:dyDescent="0.15">
      <c r="A382" t="s">
        <v>72</v>
      </c>
      <c r="B382" t="s">
        <v>7406</v>
      </c>
      <c r="C382" t="s">
        <v>74</v>
      </c>
      <c r="D382" t="s">
        <v>74</v>
      </c>
      <c r="E382" t="s">
        <v>74</v>
      </c>
      <c r="F382" t="s">
        <v>7407</v>
      </c>
      <c r="G382" t="s">
        <v>74</v>
      </c>
      <c r="H382" t="s">
        <v>74</v>
      </c>
      <c r="I382" t="s">
        <v>7408</v>
      </c>
      <c r="J382" t="s">
        <v>7409</v>
      </c>
      <c r="K382" t="s">
        <v>74</v>
      </c>
      <c r="L382" t="s">
        <v>74</v>
      </c>
      <c r="M382" t="s">
        <v>200</v>
      </c>
      <c r="N382" t="s">
        <v>79</v>
      </c>
      <c r="O382" t="s">
        <v>74</v>
      </c>
      <c r="P382" t="s">
        <v>74</v>
      </c>
      <c r="Q382" t="s">
        <v>74</v>
      </c>
      <c r="R382" t="s">
        <v>74</v>
      </c>
      <c r="S382" t="s">
        <v>74</v>
      </c>
      <c r="T382" t="s">
        <v>7410</v>
      </c>
      <c r="U382" t="s">
        <v>7411</v>
      </c>
      <c r="V382" t="s">
        <v>7412</v>
      </c>
      <c r="W382" t="s">
        <v>7413</v>
      </c>
      <c r="X382" t="s">
        <v>7414</v>
      </c>
      <c r="Y382" t="s">
        <v>7415</v>
      </c>
      <c r="Z382" t="s">
        <v>7416</v>
      </c>
      <c r="AA382" t="s">
        <v>74</v>
      </c>
      <c r="AB382" t="s">
        <v>7417</v>
      </c>
      <c r="AC382" t="s">
        <v>74</v>
      </c>
      <c r="AD382" t="s">
        <v>74</v>
      </c>
      <c r="AE382" t="s">
        <v>74</v>
      </c>
      <c r="AF382" t="s">
        <v>74</v>
      </c>
      <c r="AG382">
        <v>34</v>
      </c>
      <c r="AH382">
        <v>12</v>
      </c>
      <c r="AI382">
        <v>16</v>
      </c>
      <c r="AJ382">
        <v>0</v>
      </c>
      <c r="AK382">
        <v>27</v>
      </c>
      <c r="AL382" t="s">
        <v>7409</v>
      </c>
      <c r="AM382" t="s">
        <v>310</v>
      </c>
      <c r="AN382" t="s">
        <v>7418</v>
      </c>
      <c r="AO382" t="s">
        <v>7419</v>
      </c>
      <c r="AP382" t="s">
        <v>7420</v>
      </c>
      <c r="AQ382" t="s">
        <v>74</v>
      </c>
      <c r="AR382" t="s">
        <v>7421</v>
      </c>
      <c r="AS382" t="s">
        <v>7422</v>
      </c>
      <c r="AT382" t="s">
        <v>74</v>
      </c>
      <c r="AU382">
        <v>2016</v>
      </c>
      <c r="AV382">
        <v>63</v>
      </c>
      <c r="AW382">
        <v>1</v>
      </c>
      <c r="AX382" t="s">
        <v>74</v>
      </c>
      <c r="AY382" t="s">
        <v>74</v>
      </c>
      <c r="AZ382" t="s">
        <v>74</v>
      </c>
      <c r="BA382" t="s">
        <v>74</v>
      </c>
      <c r="BB382">
        <v>117</v>
      </c>
      <c r="BC382">
        <v>125</v>
      </c>
      <c r="BD382" t="s">
        <v>74</v>
      </c>
      <c r="BE382" t="s">
        <v>7423</v>
      </c>
      <c r="BF382" t="str">
        <f>HYPERLINK("http://dx.doi.org/10.18388/abp.2015_1074","http://dx.doi.org/10.18388/abp.2015_1074")</f>
        <v>http://dx.doi.org/10.18388/abp.2015_1074</v>
      </c>
      <c r="BG382" t="s">
        <v>74</v>
      </c>
      <c r="BH382" t="s">
        <v>74</v>
      </c>
      <c r="BI382">
        <v>9</v>
      </c>
      <c r="BJ382" t="s">
        <v>5998</v>
      </c>
      <c r="BK382" t="s">
        <v>264</v>
      </c>
      <c r="BL382" t="s">
        <v>5998</v>
      </c>
      <c r="BM382" t="s">
        <v>7424</v>
      </c>
      <c r="BN382">
        <v>26824293</v>
      </c>
      <c r="BO382" t="s">
        <v>2134</v>
      </c>
      <c r="BP382" t="s">
        <v>74</v>
      </c>
      <c r="BQ382" t="s">
        <v>74</v>
      </c>
      <c r="BR382" t="s">
        <v>100</v>
      </c>
      <c r="BS382" t="s">
        <v>7425</v>
      </c>
      <c r="BT382" t="str">
        <f>HYPERLINK("https%3A%2F%2Fwww.webofscience.com%2Fwos%2Fwoscc%2Ffull-record%2FWOS:000372547900015","View Full Record in Web of Science")</f>
        <v>View Full Record in Web of Science</v>
      </c>
    </row>
    <row r="383" spans="1:72" x14ac:dyDescent="0.15">
      <c r="A383" t="s">
        <v>72</v>
      </c>
      <c r="B383" t="s">
        <v>7426</v>
      </c>
      <c r="C383" t="s">
        <v>74</v>
      </c>
      <c r="D383" t="s">
        <v>74</v>
      </c>
      <c r="E383" t="s">
        <v>74</v>
      </c>
      <c r="F383" t="s">
        <v>7427</v>
      </c>
      <c r="G383" t="s">
        <v>74</v>
      </c>
      <c r="H383" t="s">
        <v>74</v>
      </c>
      <c r="I383" t="s">
        <v>7428</v>
      </c>
      <c r="J383" t="s">
        <v>7429</v>
      </c>
      <c r="K383" t="s">
        <v>74</v>
      </c>
      <c r="L383" t="s">
        <v>74</v>
      </c>
      <c r="M383" t="s">
        <v>200</v>
      </c>
      <c r="N383" t="s">
        <v>79</v>
      </c>
      <c r="O383" t="s">
        <v>74</v>
      </c>
      <c r="P383" t="s">
        <v>74</v>
      </c>
      <c r="Q383" t="s">
        <v>74</v>
      </c>
      <c r="R383" t="s">
        <v>74</v>
      </c>
      <c r="S383" t="s">
        <v>74</v>
      </c>
      <c r="T383" t="s">
        <v>74</v>
      </c>
      <c r="U383" t="s">
        <v>7430</v>
      </c>
      <c r="V383" t="s">
        <v>7431</v>
      </c>
      <c r="W383" t="s">
        <v>7432</v>
      </c>
      <c r="X383" t="s">
        <v>7433</v>
      </c>
      <c r="Y383" t="s">
        <v>7434</v>
      </c>
      <c r="Z383" t="s">
        <v>7435</v>
      </c>
      <c r="AA383" t="s">
        <v>7436</v>
      </c>
      <c r="AB383" t="s">
        <v>7437</v>
      </c>
      <c r="AC383" t="s">
        <v>7438</v>
      </c>
      <c r="AD383" t="s">
        <v>7439</v>
      </c>
      <c r="AE383" t="s">
        <v>7440</v>
      </c>
      <c r="AF383" t="s">
        <v>74</v>
      </c>
      <c r="AG383">
        <v>68</v>
      </c>
      <c r="AH383">
        <v>4</v>
      </c>
      <c r="AI383">
        <v>4</v>
      </c>
      <c r="AJ383">
        <v>0</v>
      </c>
      <c r="AK383">
        <v>11</v>
      </c>
      <c r="AL383" t="s">
        <v>2099</v>
      </c>
      <c r="AM383" t="s">
        <v>2100</v>
      </c>
      <c r="AN383" t="s">
        <v>2101</v>
      </c>
      <c r="AO383" t="s">
        <v>7441</v>
      </c>
      <c r="AP383" t="s">
        <v>7442</v>
      </c>
      <c r="AQ383" t="s">
        <v>74</v>
      </c>
      <c r="AR383" t="s">
        <v>7443</v>
      </c>
      <c r="AS383" t="s">
        <v>7444</v>
      </c>
      <c r="AT383" t="s">
        <v>74</v>
      </c>
      <c r="AU383">
        <v>2016</v>
      </c>
      <c r="AV383">
        <v>2016</v>
      </c>
      <c r="AW383" t="s">
        <v>74</v>
      </c>
      <c r="AX383" t="s">
        <v>74</v>
      </c>
      <c r="AY383" t="s">
        <v>74</v>
      </c>
      <c r="AZ383" t="s">
        <v>74</v>
      </c>
      <c r="BA383" t="s">
        <v>74</v>
      </c>
      <c r="BB383" t="s">
        <v>74</v>
      </c>
      <c r="BC383" t="s">
        <v>74</v>
      </c>
      <c r="BD383">
        <v>2089418</v>
      </c>
      <c r="BE383" t="s">
        <v>7445</v>
      </c>
      <c r="BF383" t="str">
        <f>HYPERLINK("http://dx.doi.org/10.1155/2016/2089418","http://dx.doi.org/10.1155/2016/2089418")</f>
        <v>http://dx.doi.org/10.1155/2016/2089418</v>
      </c>
      <c r="BG383" t="s">
        <v>74</v>
      </c>
      <c r="BH383" t="s">
        <v>74</v>
      </c>
      <c r="BI383">
        <v>15</v>
      </c>
      <c r="BJ383" t="s">
        <v>1721</v>
      </c>
      <c r="BK383" t="s">
        <v>264</v>
      </c>
      <c r="BL383" t="s">
        <v>1721</v>
      </c>
      <c r="BM383" t="s">
        <v>7446</v>
      </c>
      <c r="BN383" t="s">
        <v>74</v>
      </c>
      <c r="BO383" t="s">
        <v>7447</v>
      </c>
      <c r="BP383" t="s">
        <v>74</v>
      </c>
      <c r="BQ383" t="s">
        <v>74</v>
      </c>
      <c r="BR383" t="s">
        <v>100</v>
      </c>
      <c r="BS383" t="s">
        <v>7448</v>
      </c>
      <c r="BT383" t="str">
        <f>HYPERLINK("https%3A%2F%2Fwww.webofscience.com%2Fwos%2Fwoscc%2Ffull-record%2FWOS:000371086800001","View Full Record in Web of Science")</f>
        <v>View Full Record in Web of Science</v>
      </c>
    </row>
    <row r="384" spans="1:72" x14ac:dyDescent="0.15">
      <c r="A384" t="s">
        <v>193</v>
      </c>
      <c r="B384" t="s">
        <v>7449</v>
      </c>
      <c r="C384" t="s">
        <v>74</v>
      </c>
      <c r="D384" t="s">
        <v>7450</v>
      </c>
      <c r="E384" t="s">
        <v>74</v>
      </c>
      <c r="F384" t="s">
        <v>7451</v>
      </c>
      <c r="G384" t="s">
        <v>74</v>
      </c>
      <c r="H384" t="s">
        <v>74</v>
      </c>
      <c r="I384" t="s">
        <v>7452</v>
      </c>
      <c r="J384" t="s">
        <v>7453</v>
      </c>
      <c r="K384" t="s">
        <v>7454</v>
      </c>
      <c r="L384" t="s">
        <v>74</v>
      </c>
      <c r="M384" t="s">
        <v>200</v>
      </c>
      <c r="N384" t="s">
        <v>7455</v>
      </c>
      <c r="O384" t="s">
        <v>74</v>
      </c>
      <c r="P384" t="s">
        <v>74</v>
      </c>
      <c r="Q384" t="s">
        <v>74</v>
      </c>
      <c r="R384" t="s">
        <v>74</v>
      </c>
      <c r="S384" t="s">
        <v>74</v>
      </c>
      <c r="T384" t="s">
        <v>74</v>
      </c>
      <c r="U384" t="s">
        <v>7456</v>
      </c>
      <c r="V384" t="s">
        <v>7457</v>
      </c>
      <c r="W384" t="s">
        <v>7458</v>
      </c>
      <c r="X384" t="s">
        <v>7459</v>
      </c>
      <c r="Y384" t="s">
        <v>7460</v>
      </c>
      <c r="Z384" t="s">
        <v>7461</v>
      </c>
      <c r="AA384" t="s">
        <v>7462</v>
      </c>
      <c r="AB384" t="s">
        <v>7463</v>
      </c>
      <c r="AC384" t="s">
        <v>74</v>
      </c>
      <c r="AD384" t="s">
        <v>74</v>
      </c>
      <c r="AE384" t="s">
        <v>74</v>
      </c>
      <c r="AF384" t="s">
        <v>74</v>
      </c>
      <c r="AG384">
        <v>150</v>
      </c>
      <c r="AH384">
        <v>21</v>
      </c>
      <c r="AI384">
        <v>25</v>
      </c>
      <c r="AJ384">
        <v>2</v>
      </c>
      <c r="AK384">
        <v>46</v>
      </c>
      <c r="AL384" t="s">
        <v>6233</v>
      </c>
      <c r="AM384" t="s">
        <v>2100</v>
      </c>
      <c r="AN384" t="s">
        <v>6234</v>
      </c>
      <c r="AO384" t="s">
        <v>7464</v>
      </c>
      <c r="AP384" t="s">
        <v>7465</v>
      </c>
      <c r="AQ384" t="s">
        <v>7466</v>
      </c>
      <c r="AR384" t="s">
        <v>7467</v>
      </c>
      <c r="AS384" t="s">
        <v>7468</v>
      </c>
      <c r="AT384" t="s">
        <v>74</v>
      </c>
      <c r="AU384">
        <v>2016</v>
      </c>
      <c r="AV384">
        <v>69</v>
      </c>
      <c r="AW384" t="s">
        <v>74</v>
      </c>
      <c r="AX384" t="s">
        <v>74</v>
      </c>
      <c r="AY384" t="s">
        <v>74</v>
      </c>
      <c r="AZ384" t="s">
        <v>74</v>
      </c>
      <c r="BA384" t="s">
        <v>74</v>
      </c>
      <c r="BB384">
        <v>187</v>
      </c>
      <c r="BC384">
        <v>215</v>
      </c>
      <c r="BD384" t="s">
        <v>74</v>
      </c>
      <c r="BE384" t="s">
        <v>7469</v>
      </c>
      <c r="BF384" t="str">
        <f>HYPERLINK("http://dx.doi.org/10.1016/bs.ampbs.2016.07.002","http://dx.doi.org/10.1016/bs.ampbs.2016.07.002")</f>
        <v>http://dx.doi.org/10.1016/bs.ampbs.2016.07.002</v>
      </c>
      <c r="BG384" t="s">
        <v>74</v>
      </c>
      <c r="BH384" t="s">
        <v>74</v>
      </c>
      <c r="BI384">
        <v>29</v>
      </c>
      <c r="BJ384" t="s">
        <v>7470</v>
      </c>
      <c r="BK384" t="s">
        <v>7471</v>
      </c>
      <c r="BL384" t="s">
        <v>7470</v>
      </c>
      <c r="BM384" t="s">
        <v>7472</v>
      </c>
      <c r="BN384">
        <v>27720011</v>
      </c>
      <c r="BO384" t="s">
        <v>74</v>
      </c>
      <c r="BP384" t="s">
        <v>74</v>
      </c>
      <c r="BQ384" t="s">
        <v>74</v>
      </c>
      <c r="BR384" t="s">
        <v>100</v>
      </c>
      <c r="BS384" t="s">
        <v>7473</v>
      </c>
      <c r="BT384" t="str">
        <f>HYPERLINK("https%3A%2F%2Fwww.webofscience.com%2Fwos%2Fwoscc%2Ffull-record%2FWOS:000399650900004","View Full Record in Web of Science")</f>
        <v>View Full Record in Web of Science</v>
      </c>
    </row>
    <row r="385" spans="1:72" x14ac:dyDescent="0.15">
      <c r="A385" t="s">
        <v>72</v>
      </c>
      <c r="B385" t="s">
        <v>7474</v>
      </c>
      <c r="C385" t="s">
        <v>74</v>
      </c>
      <c r="D385" t="s">
        <v>74</v>
      </c>
      <c r="E385" t="s">
        <v>74</v>
      </c>
      <c r="F385" t="s">
        <v>7475</v>
      </c>
      <c r="G385" t="s">
        <v>74</v>
      </c>
      <c r="H385" t="s">
        <v>74</v>
      </c>
      <c r="I385" t="s">
        <v>7476</v>
      </c>
      <c r="J385" t="s">
        <v>7477</v>
      </c>
      <c r="K385" t="s">
        <v>74</v>
      </c>
      <c r="L385" t="s">
        <v>74</v>
      </c>
      <c r="M385" t="s">
        <v>200</v>
      </c>
      <c r="N385" t="s">
        <v>79</v>
      </c>
      <c r="O385" t="s">
        <v>74</v>
      </c>
      <c r="P385" t="s">
        <v>74</v>
      </c>
      <c r="Q385" t="s">
        <v>74</v>
      </c>
      <c r="R385" t="s">
        <v>74</v>
      </c>
      <c r="S385" t="s">
        <v>74</v>
      </c>
      <c r="T385" t="s">
        <v>74</v>
      </c>
      <c r="U385" t="s">
        <v>7478</v>
      </c>
      <c r="V385" t="s">
        <v>7479</v>
      </c>
      <c r="W385" t="s">
        <v>7480</v>
      </c>
      <c r="X385" t="s">
        <v>7481</v>
      </c>
      <c r="Y385" t="s">
        <v>7482</v>
      </c>
      <c r="Z385" t="s">
        <v>7483</v>
      </c>
      <c r="AA385" t="s">
        <v>7484</v>
      </c>
      <c r="AB385" t="s">
        <v>7485</v>
      </c>
      <c r="AC385" t="s">
        <v>7486</v>
      </c>
      <c r="AD385" t="s">
        <v>7487</v>
      </c>
      <c r="AE385" t="s">
        <v>7488</v>
      </c>
      <c r="AF385" t="s">
        <v>74</v>
      </c>
      <c r="AG385">
        <v>34</v>
      </c>
      <c r="AH385">
        <v>1</v>
      </c>
      <c r="AI385">
        <v>2</v>
      </c>
      <c r="AJ385">
        <v>1</v>
      </c>
      <c r="AK385">
        <v>18</v>
      </c>
      <c r="AL385" t="s">
        <v>7489</v>
      </c>
      <c r="AM385" t="s">
        <v>7490</v>
      </c>
      <c r="AN385" t="s">
        <v>7491</v>
      </c>
      <c r="AO385" t="s">
        <v>7492</v>
      </c>
      <c r="AP385" t="s">
        <v>7493</v>
      </c>
      <c r="AQ385" t="s">
        <v>74</v>
      </c>
      <c r="AR385" t="s">
        <v>7494</v>
      </c>
      <c r="AS385" t="s">
        <v>4427</v>
      </c>
      <c r="AT385" t="s">
        <v>74</v>
      </c>
      <c r="AU385">
        <v>2016</v>
      </c>
      <c r="AV385">
        <v>59</v>
      </c>
      <c r="AW385">
        <v>1</v>
      </c>
      <c r="AX385" t="s">
        <v>74</v>
      </c>
      <c r="AY385" t="s">
        <v>74</v>
      </c>
      <c r="AZ385" t="s">
        <v>74</v>
      </c>
      <c r="BA385" t="s">
        <v>74</v>
      </c>
      <c r="BB385" t="s">
        <v>74</v>
      </c>
      <c r="BC385" t="s">
        <v>74</v>
      </c>
      <c r="BD385" t="s">
        <v>7495</v>
      </c>
      <c r="BE385" t="s">
        <v>7496</v>
      </c>
      <c r="BF385" t="str">
        <f>HYPERLINK("http://dx.doi.org/10.4401/ag-6782","http://dx.doi.org/10.4401/ag-6782")</f>
        <v>http://dx.doi.org/10.4401/ag-6782</v>
      </c>
      <c r="BG385" t="s">
        <v>74</v>
      </c>
      <c r="BH385" t="s">
        <v>74</v>
      </c>
      <c r="BI385">
        <v>7</v>
      </c>
      <c r="BJ385" t="s">
        <v>4474</v>
      </c>
      <c r="BK385" t="s">
        <v>264</v>
      </c>
      <c r="BL385" t="s">
        <v>4474</v>
      </c>
      <c r="BM385" t="s">
        <v>7497</v>
      </c>
      <c r="BN385" t="s">
        <v>74</v>
      </c>
      <c r="BO385" t="s">
        <v>99</v>
      </c>
      <c r="BP385" t="s">
        <v>74</v>
      </c>
      <c r="BQ385" t="s">
        <v>74</v>
      </c>
      <c r="BR385" t="s">
        <v>100</v>
      </c>
      <c r="BS385" t="s">
        <v>7498</v>
      </c>
      <c r="BT385" t="str">
        <f>HYPERLINK("https%3A%2F%2Fwww.webofscience.com%2Fwos%2Fwoscc%2Ffull-record%2FWOS:000372009800003","View Full Record in Web of Science")</f>
        <v>View Full Record in Web of Science</v>
      </c>
    </row>
    <row r="386" spans="1:72" x14ac:dyDescent="0.15">
      <c r="A386" t="s">
        <v>193</v>
      </c>
      <c r="B386" t="s">
        <v>7499</v>
      </c>
      <c r="C386" t="s">
        <v>74</v>
      </c>
      <c r="D386" t="s">
        <v>7500</v>
      </c>
      <c r="E386" t="s">
        <v>74</v>
      </c>
      <c r="F386" t="s">
        <v>7501</v>
      </c>
      <c r="G386" t="s">
        <v>74</v>
      </c>
      <c r="H386" t="s">
        <v>74</v>
      </c>
      <c r="I386" t="s">
        <v>7502</v>
      </c>
      <c r="J386" t="s">
        <v>7503</v>
      </c>
      <c r="K386" t="s">
        <v>7504</v>
      </c>
      <c r="L386" t="s">
        <v>74</v>
      </c>
      <c r="M386" t="s">
        <v>200</v>
      </c>
      <c r="N386" t="s">
        <v>7455</v>
      </c>
      <c r="O386" t="s">
        <v>74</v>
      </c>
      <c r="P386" t="s">
        <v>74</v>
      </c>
      <c r="Q386" t="s">
        <v>74</v>
      </c>
      <c r="R386" t="s">
        <v>74</v>
      </c>
      <c r="S386" t="s">
        <v>74</v>
      </c>
      <c r="T386" t="s">
        <v>7505</v>
      </c>
      <c r="U386" t="s">
        <v>7506</v>
      </c>
      <c r="V386" t="s">
        <v>7507</v>
      </c>
      <c r="W386" t="s">
        <v>7508</v>
      </c>
      <c r="X386" t="s">
        <v>7509</v>
      </c>
      <c r="Y386" t="s">
        <v>7510</v>
      </c>
      <c r="Z386" t="s">
        <v>7511</v>
      </c>
      <c r="AA386" t="s">
        <v>7512</v>
      </c>
      <c r="AB386" t="s">
        <v>7513</v>
      </c>
      <c r="AC386" t="s">
        <v>7514</v>
      </c>
      <c r="AD386" t="s">
        <v>7515</v>
      </c>
      <c r="AE386" t="s">
        <v>74</v>
      </c>
      <c r="AF386" t="s">
        <v>74</v>
      </c>
      <c r="AG386">
        <v>147</v>
      </c>
      <c r="AH386">
        <v>57</v>
      </c>
      <c r="AI386">
        <v>59</v>
      </c>
      <c r="AJ386">
        <v>3</v>
      </c>
      <c r="AK386">
        <v>55</v>
      </c>
      <c r="AL386" t="s">
        <v>7516</v>
      </c>
      <c r="AM386" t="s">
        <v>7517</v>
      </c>
      <c r="AN386" t="s">
        <v>7518</v>
      </c>
      <c r="AO386" t="s">
        <v>7519</v>
      </c>
      <c r="AP386" t="s">
        <v>7520</v>
      </c>
      <c r="AQ386" t="s">
        <v>7521</v>
      </c>
      <c r="AR386" t="s">
        <v>7522</v>
      </c>
      <c r="AS386" t="s">
        <v>7523</v>
      </c>
      <c r="AT386" t="s">
        <v>74</v>
      </c>
      <c r="AU386">
        <v>2016</v>
      </c>
      <c r="AV386">
        <v>61</v>
      </c>
      <c r="AW386" t="s">
        <v>74</v>
      </c>
      <c r="AX386" t="s">
        <v>74</v>
      </c>
      <c r="AY386" t="s">
        <v>74</v>
      </c>
      <c r="AZ386" t="s">
        <v>74</v>
      </c>
      <c r="BA386" t="s">
        <v>74</v>
      </c>
      <c r="BB386">
        <v>119</v>
      </c>
      <c r="BC386">
        <v>137</v>
      </c>
      <c r="BD386" t="s">
        <v>74</v>
      </c>
      <c r="BE386" t="s">
        <v>7524</v>
      </c>
      <c r="BF386" t="str">
        <f>HYPERLINK("http://dx.doi.org/10.1146/annurev-ento-010715-023537","http://dx.doi.org/10.1146/annurev-ento-010715-023537")</f>
        <v>http://dx.doi.org/10.1146/annurev-ento-010715-023537</v>
      </c>
      <c r="BG386" t="s">
        <v>74</v>
      </c>
      <c r="BH386" t="s">
        <v>74</v>
      </c>
      <c r="BI386">
        <v>19</v>
      </c>
      <c r="BJ386" t="s">
        <v>3955</v>
      </c>
      <c r="BK386" t="s">
        <v>7471</v>
      </c>
      <c r="BL386" t="s">
        <v>3955</v>
      </c>
      <c r="BM386" t="s">
        <v>7525</v>
      </c>
      <c r="BN386">
        <v>26982437</v>
      </c>
      <c r="BO386" t="s">
        <v>403</v>
      </c>
      <c r="BP386" t="s">
        <v>74</v>
      </c>
      <c r="BQ386" t="s">
        <v>74</v>
      </c>
      <c r="BR386" t="s">
        <v>100</v>
      </c>
      <c r="BS386" t="s">
        <v>7526</v>
      </c>
      <c r="BT386" t="str">
        <f>HYPERLINK("https%3A%2F%2Fwww.webofscience.com%2Fwos%2Fwoscc%2Ffull-record%2FWOS:000372413800008","View Full Record in Web of Science")</f>
        <v>View Full Record in Web of Science</v>
      </c>
    </row>
    <row r="387" spans="1:72" x14ac:dyDescent="0.15">
      <c r="A387" t="s">
        <v>193</v>
      </c>
      <c r="B387" t="s">
        <v>7527</v>
      </c>
      <c r="C387" t="s">
        <v>74</v>
      </c>
      <c r="D387" t="s">
        <v>7528</v>
      </c>
      <c r="E387" t="s">
        <v>74</v>
      </c>
      <c r="F387" t="s">
        <v>7529</v>
      </c>
      <c r="G387" t="s">
        <v>74</v>
      </c>
      <c r="H387" t="s">
        <v>74</v>
      </c>
      <c r="I387" t="s">
        <v>7530</v>
      </c>
      <c r="J387" t="s">
        <v>7531</v>
      </c>
      <c r="K387" t="s">
        <v>7532</v>
      </c>
      <c r="L387" t="s">
        <v>74</v>
      </c>
      <c r="M387" t="s">
        <v>200</v>
      </c>
      <c r="N387" t="s">
        <v>7455</v>
      </c>
      <c r="O387" t="s">
        <v>74</v>
      </c>
      <c r="P387" t="s">
        <v>74</v>
      </c>
      <c r="Q387" t="s">
        <v>74</v>
      </c>
      <c r="R387" t="s">
        <v>74</v>
      </c>
      <c r="S387" t="s">
        <v>74</v>
      </c>
      <c r="T387" t="s">
        <v>7533</v>
      </c>
      <c r="U387" t="s">
        <v>7534</v>
      </c>
      <c r="V387" t="s">
        <v>7535</v>
      </c>
      <c r="W387" t="s">
        <v>7536</v>
      </c>
      <c r="X387" t="s">
        <v>7537</v>
      </c>
      <c r="Y387" t="s">
        <v>7538</v>
      </c>
      <c r="Z387" t="s">
        <v>7539</v>
      </c>
      <c r="AA387" t="s">
        <v>7540</v>
      </c>
      <c r="AB387" t="s">
        <v>74</v>
      </c>
      <c r="AC387" t="s">
        <v>74</v>
      </c>
      <c r="AD387" t="s">
        <v>74</v>
      </c>
      <c r="AE387" t="s">
        <v>74</v>
      </c>
      <c r="AF387" t="s">
        <v>74</v>
      </c>
      <c r="AG387">
        <v>57</v>
      </c>
      <c r="AH387">
        <v>69</v>
      </c>
      <c r="AI387">
        <v>76</v>
      </c>
      <c r="AJ387">
        <v>3</v>
      </c>
      <c r="AK387">
        <v>50</v>
      </c>
      <c r="AL387" t="s">
        <v>7516</v>
      </c>
      <c r="AM387" t="s">
        <v>7517</v>
      </c>
      <c r="AN387" t="s">
        <v>7518</v>
      </c>
      <c r="AO387" t="s">
        <v>7541</v>
      </c>
      <c r="AP387" t="s">
        <v>74</v>
      </c>
      <c r="AQ387" t="s">
        <v>7542</v>
      </c>
      <c r="AR387" t="s">
        <v>7543</v>
      </c>
      <c r="AS387" t="s">
        <v>7544</v>
      </c>
      <c r="AT387" t="s">
        <v>74</v>
      </c>
      <c r="AU387">
        <v>2016</v>
      </c>
      <c r="AV387">
        <v>8</v>
      </c>
      <c r="AW387" t="s">
        <v>74</v>
      </c>
      <c r="AX387" t="s">
        <v>74</v>
      </c>
      <c r="AY387" t="s">
        <v>74</v>
      </c>
      <c r="AZ387" t="s">
        <v>74</v>
      </c>
      <c r="BA387" t="s">
        <v>74</v>
      </c>
      <c r="BB387">
        <v>79</v>
      </c>
      <c r="BC387">
        <v>94</v>
      </c>
      <c r="BD387" t="s">
        <v>74</v>
      </c>
      <c r="BE387" t="s">
        <v>7545</v>
      </c>
      <c r="BF387" t="str">
        <f>HYPERLINK("http://dx.doi.org/10.1146/annurev-marine-122414-033929","http://dx.doi.org/10.1146/annurev-marine-122414-033929")</f>
        <v>http://dx.doi.org/10.1146/annurev-marine-122414-033929</v>
      </c>
      <c r="BG387" t="s">
        <v>74</v>
      </c>
      <c r="BH387" t="s">
        <v>74</v>
      </c>
      <c r="BI387">
        <v>16</v>
      </c>
      <c r="BJ387" t="s">
        <v>7546</v>
      </c>
      <c r="BK387" t="s">
        <v>7471</v>
      </c>
      <c r="BL387" t="s">
        <v>7546</v>
      </c>
      <c r="BM387" t="s">
        <v>7547</v>
      </c>
      <c r="BN387">
        <v>26163010</v>
      </c>
      <c r="BO387" t="s">
        <v>486</v>
      </c>
      <c r="BP387" t="s">
        <v>74</v>
      </c>
      <c r="BQ387" t="s">
        <v>74</v>
      </c>
      <c r="BR387" t="s">
        <v>100</v>
      </c>
      <c r="BS387" t="s">
        <v>7548</v>
      </c>
      <c r="BT387" t="str">
        <f>HYPERLINK("https%3A%2F%2Fwww.webofscience.com%2Fwos%2Fwoscc%2Ffull-record%2FWOS:000368369200005","View Full Record in Web of Science")</f>
        <v>View Full Record in Web of Science</v>
      </c>
    </row>
    <row r="388" spans="1:72" x14ac:dyDescent="0.15">
      <c r="A388" t="s">
        <v>193</v>
      </c>
      <c r="B388" t="s">
        <v>7549</v>
      </c>
      <c r="C388" t="s">
        <v>74</v>
      </c>
      <c r="D388" t="s">
        <v>7528</v>
      </c>
      <c r="E388" t="s">
        <v>74</v>
      </c>
      <c r="F388" t="s">
        <v>7550</v>
      </c>
      <c r="G388" t="s">
        <v>74</v>
      </c>
      <c r="H388" t="s">
        <v>74</v>
      </c>
      <c r="I388" t="s">
        <v>7551</v>
      </c>
      <c r="J388" t="s">
        <v>7531</v>
      </c>
      <c r="K388" t="s">
        <v>7532</v>
      </c>
      <c r="L388" t="s">
        <v>74</v>
      </c>
      <c r="M388" t="s">
        <v>200</v>
      </c>
      <c r="N388" t="s">
        <v>7455</v>
      </c>
      <c r="O388" t="s">
        <v>74</v>
      </c>
      <c r="P388" t="s">
        <v>74</v>
      </c>
      <c r="Q388" t="s">
        <v>74</v>
      </c>
      <c r="R388" t="s">
        <v>74</v>
      </c>
      <c r="S388" t="s">
        <v>74</v>
      </c>
      <c r="T388" t="s">
        <v>7552</v>
      </c>
      <c r="U388" t="s">
        <v>7553</v>
      </c>
      <c r="V388" t="s">
        <v>7554</v>
      </c>
      <c r="W388" t="s">
        <v>7555</v>
      </c>
      <c r="X388" t="s">
        <v>7556</v>
      </c>
      <c r="Y388" t="s">
        <v>7557</v>
      </c>
      <c r="Z388" t="s">
        <v>7558</v>
      </c>
      <c r="AA388" t="s">
        <v>7559</v>
      </c>
      <c r="AB388" t="s">
        <v>7560</v>
      </c>
      <c r="AC388" t="s">
        <v>7561</v>
      </c>
      <c r="AD388" t="s">
        <v>7562</v>
      </c>
      <c r="AE388" t="s">
        <v>74</v>
      </c>
      <c r="AF388" t="s">
        <v>74</v>
      </c>
      <c r="AG388">
        <v>198</v>
      </c>
      <c r="AH388">
        <v>168</v>
      </c>
      <c r="AI388">
        <v>183</v>
      </c>
      <c r="AJ388">
        <v>6</v>
      </c>
      <c r="AK388">
        <v>302</v>
      </c>
      <c r="AL388" t="s">
        <v>7516</v>
      </c>
      <c r="AM388" t="s">
        <v>7517</v>
      </c>
      <c r="AN388" t="s">
        <v>7518</v>
      </c>
      <c r="AO388" t="s">
        <v>7541</v>
      </c>
      <c r="AP388" t="s">
        <v>74</v>
      </c>
      <c r="AQ388" t="s">
        <v>7542</v>
      </c>
      <c r="AR388" t="s">
        <v>7543</v>
      </c>
      <c r="AS388" t="s">
        <v>7544</v>
      </c>
      <c r="AT388" t="s">
        <v>74</v>
      </c>
      <c r="AU388">
        <v>2016</v>
      </c>
      <c r="AV388">
        <v>8</v>
      </c>
      <c r="AW388" t="s">
        <v>74</v>
      </c>
      <c r="AX388" t="s">
        <v>74</v>
      </c>
      <c r="AY388" t="s">
        <v>74</v>
      </c>
      <c r="AZ388" t="s">
        <v>74</v>
      </c>
      <c r="BA388" t="s">
        <v>74</v>
      </c>
      <c r="BB388">
        <v>185</v>
      </c>
      <c r="BC388">
        <v>215</v>
      </c>
      <c r="BD388" t="s">
        <v>74</v>
      </c>
      <c r="BE388" t="s">
        <v>7563</v>
      </c>
      <c r="BF388" t="str">
        <f>HYPERLINK("http://dx.doi.org/10.1146/annurev-marine-052915-100829","http://dx.doi.org/10.1146/annurev-marine-052915-100829")</f>
        <v>http://dx.doi.org/10.1146/annurev-marine-052915-100829</v>
      </c>
      <c r="BG388" t="s">
        <v>74</v>
      </c>
      <c r="BH388" t="s">
        <v>74</v>
      </c>
      <c r="BI388">
        <v>31</v>
      </c>
      <c r="BJ388" t="s">
        <v>7546</v>
      </c>
      <c r="BK388" t="s">
        <v>7471</v>
      </c>
      <c r="BL388" t="s">
        <v>7546</v>
      </c>
      <c r="BM388" t="s">
        <v>7547</v>
      </c>
      <c r="BN388">
        <v>26515811</v>
      </c>
      <c r="BO388" t="s">
        <v>2274</v>
      </c>
      <c r="BP388" t="s">
        <v>74</v>
      </c>
      <c r="BQ388" t="s">
        <v>74</v>
      </c>
      <c r="BR388" t="s">
        <v>100</v>
      </c>
      <c r="BS388" t="s">
        <v>7564</v>
      </c>
      <c r="BT388" t="str">
        <f>HYPERLINK("https%3A%2F%2Fwww.webofscience.com%2Fwos%2Fwoscc%2Ffull-record%2FWOS:000368369200009","View Full Record in Web of Science")</f>
        <v>View Full Record in Web of Science</v>
      </c>
    </row>
    <row r="389" spans="1:72" x14ac:dyDescent="0.15">
      <c r="A389" t="s">
        <v>193</v>
      </c>
      <c r="B389" t="s">
        <v>7565</v>
      </c>
      <c r="C389" t="s">
        <v>74</v>
      </c>
      <c r="D389" t="s">
        <v>7528</v>
      </c>
      <c r="E389" t="s">
        <v>74</v>
      </c>
      <c r="F389" t="s">
        <v>7566</v>
      </c>
      <c r="G389" t="s">
        <v>74</v>
      </c>
      <c r="H389" t="s">
        <v>74</v>
      </c>
      <c r="I389" t="s">
        <v>7567</v>
      </c>
      <c r="J389" t="s">
        <v>7531</v>
      </c>
      <c r="K389" t="s">
        <v>7532</v>
      </c>
      <c r="L389" t="s">
        <v>74</v>
      </c>
      <c r="M389" t="s">
        <v>200</v>
      </c>
      <c r="N389" t="s">
        <v>7455</v>
      </c>
      <c r="O389" t="s">
        <v>74</v>
      </c>
      <c r="P389" t="s">
        <v>74</v>
      </c>
      <c r="Q389" t="s">
        <v>74</v>
      </c>
      <c r="R389" t="s">
        <v>74</v>
      </c>
      <c r="S389" t="s">
        <v>74</v>
      </c>
      <c r="T389" t="s">
        <v>7568</v>
      </c>
      <c r="U389" t="s">
        <v>7569</v>
      </c>
      <c r="V389" t="s">
        <v>7570</v>
      </c>
      <c r="W389" t="s">
        <v>7571</v>
      </c>
      <c r="X389" t="s">
        <v>7572</v>
      </c>
      <c r="Y389" t="s">
        <v>7573</v>
      </c>
      <c r="Z389" t="s">
        <v>7574</v>
      </c>
      <c r="AA389" t="s">
        <v>7575</v>
      </c>
      <c r="AB389" t="s">
        <v>7576</v>
      </c>
      <c r="AC389" t="s">
        <v>7577</v>
      </c>
      <c r="AD389" t="s">
        <v>7578</v>
      </c>
      <c r="AE389" t="s">
        <v>74</v>
      </c>
      <c r="AF389" t="s">
        <v>74</v>
      </c>
      <c r="AG389">
        <v>173</v>
      </c>
      <c r="AH389">
        <v>57</v>
      </c>
      <c r="AI389">
        <v>60</v>
      </c>
      <c r="AJ389">
        <v>1</v>
      </c>
      <c r="AK389">
        <v>79</v>
      </c>
      <c r="AL389" t="s">
        <v>7516</v>
      </c>
      <c r="AM389" t="s">
        <v>7517</v>
      </c>
      <c r="AN389" t="s">
        <v>7518</v>
      </c>
      <c r="AO389" t="s">
        <v>7541</v>
      </c>
      <c r="AP389" t="s">
        <v>74</v>
      </c>
      <c r="AQ389" t="s">
        <v>7542</v>
      </c>
      <c r="AR389" t="s">
        <v>7543</v>
      </c>
      <c r="AS389" t="s">
        <v>7544</v>
      </c>
      <c r="AT389" t="s">
        <v>74</v>
      </c>
      <c r="AU389">
        <v>2016</v>
      </c>
      <c r="AV389">
        <v>8</v>
      </c>
      <c r="AW389" t="s">
        <v>74</v>
      </c>
      <c r="AX389" t="s">
        <v>74</v>
      </c>
      <c r="AY389" t="s">
        <v>74</v>
      </c>
      <c r="AZ389" t="s">
        <v>74</v>
      </c>
      <c r="BA389" t="s">
        <v>74</v>
      </c>
      <c r="BB389">
        <v>435</v>
      </c>
      <c r="BC389" t="s">
        <v>7262</v>
      </c>
      <c r="BD389" t="s">
        <v>74</v>
      </c>
      <c r="BE389" t="s">
        <v>7579</v>
      </c>
      <c r="BF389" t="str">
        <f>HYPERLINK("http://dx.doi.org/10.1146/annurev-marine-122414-033921","http://dx.doi.org/10.1146/annurev-marine-122414-033921")</f>
        <v>http://dx.doi.org/10.1146/annurev-marine-122414-033921</v>
      </c>
      <c r="BG389" t="s">
        <v>74</v>
      </c>
      <c r="BH389" t="s">
        <v>74</v>
      </c>
      <c r="BI389">
        <v>29</v>
      </c>
      <c r="BJ389" t="s">
        <v>7546</v>
      </c>
      <c r="BK389" t="s">
        <v>7471</v>
      </c>
      <c r="BL389" t="s">
        <v>7546</v>
      </c>
      <c r="BM389" t="s">
        <v>7547</v>
      </c>
      <c r="BN389">
        <v>26253270</v>
      </c>
      <c r="BO389" t="s">
        <v>3183</v>
      </c>
      <c r="BP389" t="s">
        <v>74</v>
      </c>
      <c r="BQ389" t="s">
        <v>74</v>
      </c>
      <c r="BR389" t="s">
        <v>100</v>
      </c>
      <c r="BS389" t="s">
        <v>7580</v>
      </c>
      <c r="BT389" t="str">
        <f>HYPERLINK("https%3A%2F%2Fwww.webofscience.com%2Fwos%2Fwoscc%2Ffull-record%2FWOS:000368369200019","View Full Record in Web of Science")</f>
        <v>View Full Record in Web of Science</v>
      </c>
    </row>
    <row r="390" spans="1:72" x14ac:dyDescent="0.15">
      <c r="A390" t="s">
        <v>193</v>
      </c>
      <c r="B390" t="s">
        <v>7581</v>
      </c>
      <c r="C390" t="s">
        <v>74</v>
      </c>
      <c r="D390" t="s">
        <v>7528</v>
      </c>
      <c r="E390" t="s">
        <v>74</v>
      </c>
      <c r="F390" t="s">
        <v>7582</v>
      </c>
      <c r="G390" t="s">
        <v>74</v>
      </c>
      <c r="H390" t="s">
        <v>74</v>
      </c>
      <c r="I390" t="s">
        <v>7583</v>
      </c>
      <c r="J390" t="s">
        <v>7531</v>
      </c>
      <c r="K390" t="s">
        <v>7532</v>
      </c>
      <c r="L390" t="s">
        <v>74</v>
      </c>
      <c r="M390" t="s">
        <v>200</v>
      </c>
      <c r="N390" t="s">
        <v>7455</v>
      </c>
      <c r="O390" t="s">
        <v>74</v>
      </c>
      <c r="P390" t="s">
        <v>74</v>
      </c>
      <c r="Q390" t="s">
        <v>74</v>
      </c>
      <c r="R390" t="s">
        <v>74</v>
      </c>
      <c r="S390" t="s">
        <v>74</v>
      </c>
      <c r="T390" t="s">
        <v>7584</v>
      </c>
      <c r="U390" t="s">
        <v>7585</v>
      </c>
      <c r="V390" t="s">
        <v>7586</v>
      </c>
      <c r="W390" t="s">
        <v>7587</v>
      </c>
      <c r="X390" t="s">
        <v>7588</v>
      </c>
      <c r="Y390" t="s">
        <v>7589</v>
      </c>
      <c r="Z390" t="s">
        <v>7590</v>
      </c>
      <c r="AA390" t="s">
        <v>74</v>
      </c>
      <c r="AB390" t="s">
        <v>7591</v>
      </c>
      <c r="AC390" t="s">
        <v>74</v>
      </c>
      <c r="AD390" t="s">
        <v>74</v>
      </c>
      <c r="AE390" t="s">
        <v>74</v>
      </c>
      <c r="AF390" t="s">
        <v>74</v>
      </c>
      <c r="AG390">
        <v>155</v>
      </c>
      <c r="AH390">
        <v>86</v>
      </c>
      <c r="AI390">
        <v>102</v>
      </c>
      <c r="AJ390">
        <v>2</v>
      </c>
      <c r="AK390">
        <v>87</v>
      </c>
      <c r="AL390" t="s">
        <v>7516</v>
      </c>
      <c r="AM390" t="s">
        <v>7517</v>
      </c>
      <c r="AN390" t="s">
        <v>7518</v>
      </c>
      <c r="AO390" t="s">
        <v>7541</v>
      </c>
      <c r="AP390" t="s">
        <v>74</v>
      </c>
      <c r="AQ390" t="s">
        <v>7542</v>
      </c>
      <c r="AR390" t="s">
        <v>7543</v>
      </c>
      <c r="AS390" t="s">
        <v>7544</v>
      </c>
      <c r="AT390" t="s">
        <v>74</v>
      </c>
      <c r="AU390">
        <v>2016</v>
      </c>
      <c r="AV390">
        <v>8</v>
      </c>
      <c r="AW390" t="s">
        <v>74</v>
      </c>
      <c r="AX390" t="s">
        <v>74</v>
      </c>
      <c r="AY390" t="s">
        <v>74</v>
      </c>
      <c r="AZ390" t="s">
        <v>74</v>
      </c>
      <c r="BA390" t="s">
        <v>74</v>
      </c>
      <c r="BB390">
        <v>463</v>
      </c>
      <c r="BC390">
        <v>490</v>
      </c>
      <c r="BD390" t="s">
        <v>74</v>
      </c>
      <c r="BE390" t="s">
        <v>7592</v>
      </c>
      <c r="BF390" t="str">
        <f>HYPERLINK("http://dx.doi.org/10.1146/annurev-marine-122414-034001","http://dx.doi.org/10.1146/annurev-marine-122414-034001")</f>
        <v>http://dx.doi.org/10.1146/annurev-marine-122414-034001</v>
      </c>
      <c r="BG390" t="s">
        <v>74</v>
      </c>
      <c r="BH390" t="s">
        <v>74</v>
      </c>
      <c r="BI390">
        <v>28</v>
      </c>
      <c r="BJ390" t="s">
        <v>7546</v>
      </c>
      <c r="BK390" t="s">
        <v>7471</v>
      </c>
      <c r="BL390" t="s">
        <v>7546</v>
      </c>
      <c r="BM390" t="s">
        <v>7547</v>
      </c>
      <c r="BN390">
        <v>26515810</v>
      </c>
      <c r="BO390" t="s">
        <v>486</v>
      </c>
      <c r="BP390" t="s">
        <v>74</v>
      </c>
      <c r="BQ390" t="s">
        <v>74</v>
      </c>
      <c r="BR390" t="s">
        <v>100</v>
      </c>
      <c r="BS390" t="s">
        <v>7593</v>
      </c>
      <c r="BT390" t="str">
        <f>HYPERLINK("https%3A%2F%2Fwww.webofscience.com%2Fwos%2Fwoscc%2Ffull-record%2FWOS:000368369200020","View Full Record in Web of Science")</f>
        <v>View Full Record in Web of Science</v>
      </c>
    </row>
    <row r="391" spans="1:72" x14ac:dyDescent="0.15">
      <c r="A391" t="s">
        <v>72</v>
      </c>
      <c r="B391" t="s">
        <v>7594</v>
      </c>
      <c r="C391" t="s">
        <v>74</v>
      </c>
      <c r="D391" t="s">
        <v>74</v>
      </c>
      <c r="E391" t="s">
        <v>74</v>
      </c>
      <c r="F391" t="s">
        <v>7595</v>
      </c>
      <c r="G391" t="s">
        <v>74</v>
      </c>
      <c r="H391" t="s">
        <v>74</v>
      </c>
      <c r="I391" t="s">
        <v>7596</v>
      </c>
      <c r="J391" t="s">
        <v>7597</v>
      </c>
      <c r="K391" t="s">
        <v>74</v>
      </c>
      <c r="L391" t="s">
        <v>74</v>
      </c>
      <c r="M391" t="s">
        <v>200</v>
      </c>
      <c r="N391" t="s">
        <v>79</v>
      </c>
      <c r="O391" t="s">
        <v>74</v>
      </c>
      <c r="P391" t="s">
        <v>74</v>
      </c>
      <c r="Q391" t="s">
        <v>74</v>
      </c>
      <c r="R391" t="s">
        <v>74</v>
      </c>
      <c r="S391" t="s">
        <v>74</v>
      </c>
      <c r="T391" t="s">
        <v>74</v>
      </c>
      <c r="U391" t="s">
        <v>7598</v>
      </c>
      <c r="V391" t="s">
        <v>7599</v>
      </c>
      <c r="W391" t="s">
        <v>7600</v>
      </c>
      <c r="X391" t="s">
        <v>7601</v>
      </c>
      <c r="Y391" t="s">
        <v>7602</v>
      </c>
      <c r="Z391" t="s">
        <v>7603</v>
      </c>
      <c r="AA391" t="s">
        <v>7604</v>
      </c>
      <c r="AB391" t="s">
        <v>7605</v>
      </c>
      <c r="AC391" t="s">
        <v>7606</v>
      </c>
      <c r="AD391" t="s">
        <v>7607</v>
      </c>
      <c r="AE391" t="s">
        <v>7608</v>
      </c>
      <c r="AF391" t="s">
        <v>74</v>
      </c>
      <c r="AG391">
        <v>71</v>
      </c>
      <c r="AH391">
        <v>44</v>
      </c>
      <c r="AI391">
        <v>53</v>
      </c>
      <c r="AJ391">
        <v>1</v>
      </c>
      <c r="AK391">
        <v>40</v>
      </c>
      <c r="AL391" t="s">
        <v>7609</v>
      </c>
      <c r="AM391" t="s">
        <v>1559</v>
      </c>
      <c r="AN391" t="s">
        <v>7610</v>
      </c>
      <c r="AO391" t="s">
        <v>7611</v>
      </c>
      <c r="AP391" t="s">
        <v>7612</v>
      </c>
      <c r="AQ391" t="s">
        <v>74</v>
      </c>
      <c r="AR391" t="s">
        <v>7613</v>
      </c>
      <c r="AS391" t="s">
        <v>7614</v>
      </c>
      <c r="AT391" t="s">
        <v>315</v>
      </c>
      <c r="AU391">
        <v>2016</v>
      </c>
      <c r="AV391">
        <v>82</v>
      </c>
      <c r="AW391">
        <v>2</v>
      </c>
      <c r="AX391" t="s">
        <v>74</v>
      </c>
      <c r="AY391" t="s">
        <v>74</v>
      </c>
      <c r="AZ391" t="s">
        <v>74</v>
      </c>
      <c r="BA391" t="s">
        <v>74</v>
      </c>
      <c r="BB391">
        <v>620</v>
      </c>
      <c r="BC391">
        <v>630</v>
      </c>
      <c r="BD391" t="s">
        <v>74</v>
      </c>
      <c r="BE391" t="s">
        <v>7615</v>
      </c>
      <c r="BF391" t="str">
        <f>HYPERLINK("http://dx.doi.org/10.1128/AEM.02699-15","http://dx.doi.org/10.1128/AEM.02699-15")</f>
        <v>http://dx.doi.org/10.1128/AEM.02699-15</v>
      </c>
      <c r="BG391" t="s">
        <v>74</v>
      </c>
      <c r="BH391" t="s">
        <v>74</v>
      </c>
      <c r="BI391">
        <v>11</v>
      </c>
      <c r="BJ391" t="s">
        <v>7616</v>
      </c>
      <c r="BK391" t="s">
        <v>264</v>
      </c>
      <c r="BL391" t="s">
        <v>7616</v>
      </c>
      <c r="BM391" t="s">
        <v>7617</v>
      </c>
      <c r="BN391">
        <v>26567300</v>
      </c>
      <c r="BO391" t="s">
        <v>7618</v>
      </c>
      <c r="BP391" t="s">
        <v>74</v>
      </c>
      <c r="BQ391" t="s">
        <v>74</v>
      </c>
      <c r="BR391" t="s">
        <v>100</v>
      </c>
      <c r="BS391" t="s">
        <v>7619</v>
      </c>
      <c r="BT391" t="str">
        <f>HYPERLINK("https%3A%2F%2Fwww.webofscience.com%2Fwos%2Fwoscc%2Ffull-record%2FWOS:000369373200021","View Full Record in Web of Science")</f>
        <v>View Full Record in Web of Science</v>
      </c>
    </row>
    <row r="392" spans="1:72" x14ac:dyDescent="0.15">
      <c r="A392" t="s">
        <v>72</v>
      </c>
      <c r="B392" t="s">
        <v>7620</v>
      </c>
      <c r="C392" t="s">
        <v>74</v>
      </c>
      <c r="D392" t="s">
        <v>74</v>
      </c>
      <c r="E392" t="s">
        <v>74</v>
      </c>
      <c r="F392" t="s">
        <v>7621</v>
      </c>
      <c r="G392" t="s">
        <v>74</v>
      </c>
      <c r="H392" t="s">
        <v>74</v>
      </c>
      <c r="I392" t="s">
        <v>7622</v>
      </c>
      <c r="J392" t="s">
        <v>7623</v>
      </c>
      <c r="K392" t="s">
        <v>74</v>
      </c>
      <c r="L392" t="s">
        <v>74</v>
      </c>
      <c r="M392" t="s">
        <v>200</v>
      </c>
      <c r="N392" t="s">
        <v>79</v>
      </c>
      <c r="O392" t="s">
        <v>74</v>
      </c>
      <c r="P392" t="s">
        <v>74</v>
      </c>
      <c r="Q392" t="s">
        <v>74</v>
      </c>
      <c r="R392" t="s">
        <v>74</v>
      </c>
      <c r="S392" t="s">
        <v>74</v>
      </c>
      <c r="T392" t="s">
        <v>7624</v>
      </c>
      <c r="U392" t="s">
        <v>7625</v>
      </c>
      <c r="V392" t="s">
        <v>7626</v>
      </c>
      <c r="W392" t="s">
        <v>7627</v>
      </c>
      <c r="X392" t="s">
        <v>7628</v>
      </c>
      <c r="Y392" t="s">
        <v>7629</v>
      </c>
      <c r="Z392" t="s">
        <v>7630</v>
      </c>
      <c r="AA392" t="s">
        <v>7631</v>
      </c>
      <c r="AB392" t="s">
        <v>7632</v>
      </c>
      <c r="AC392" t="s">
        <v>7633</v>
      </c>
      <c r="AD392" t="s">
        <v>7634</v>
      </c>
      <c r="AE392" t="s">
        <v>7635</v>
      </c>
      <c r="AF392" t="s">
        <v>74</v>
      </c>
      <c r="AG392">
        <v>70</v>
      </c>
      <c r="AH392">
        <v>12</v>
      </c>
      <c r="AI392">
        <v>12</v>
      </c>
      <c r="AJ392">
        <v>2</v>
      </c>
      <c r="AK392">
        <v>34</v>
      </c>
      <c r="AL392" t="s">
        <v>3735</v>
      </c>
      <c r="AM392" t="s">
        <v>3736</v>
      </c>
      <c r="AN392" t="s">
        <v>3737</v>
      </c>
      <c r="AO392" t="s">
        <v>7636</v>
      </c>
      <c r="AP392" t="s">
        <v>7637</v>
      </c>
      <c r="AQ392" t="s">
        <v>74</v>
      </c>
      <c r="AR392" t="s">
        <v>7638</v>
      </c>
      <c r="AS392" t="s">
        <v>7639</v>
      </c>
      <c r="AT392" t="s">
        <v>74</v>
      </c>
      <c r="AU392">
        <v>2016</v>
      </c>
      <c r="AV392">
        <v>77</v>
      </c>
      <c r="AW392">
        <v>1</v>
      </c>
      <c r="AX392" t="s">
        <v>74</v>
      </c>
      <c r="AY392" t="s">
        <v>74</v>
      </c>
      <c r="AZ392" t="s">
        <v>74</v>
      </c>
      <c r="BA392" t="s">
        <v>74</v>
      </c>
      <c r="BB392">
        <v>37</v>
      </c>
      <c r="BC392">
        <v>50</v>
      </c>
      <c r="BD392" t="s">
        <v>74</v>
      </c>
      <c r="BE392" t="s">
        <v>7640</v>
      </c>
      <c r="BF392" t="str">
        <f>HYPERLINK("http://dx.doi.org/10.3354/ame01785","http://dx.doi.org/10.3354/ame01785")</f>
        <v>http://dx.doi.org/10.3354/ame01785</v>
      </c>
      <c r="BG392" t="s">
        <v>74</v>
      </c>
      <c r="BH392" t="s">
        <v>74</v>
      </c>
      <c r="BI392">
        <v>14</v>
      </c>
      <c r="BJ392" t="s">
        <v>7641</v>
      </c>
      <c r="BK392" t="s">
        <v>264</v>
      </c>
      <c r="BL392" t="s">
        <v>7642</v>
      </c>
      <c r="BM392" t="s">
        <v>7643</v>
      </c>
      <c r="BN392" t="s">
        <v>74</v>
      </c>
      <c r="BO392" t="s">
        <v>74</v>
      </c>
      <c r="BP392" t="s">
        <v>74</v>
      </c>
      <c r="BQ392" t="s">
        <v>74</v>
      </c>
      <c r="BR392" t="s">
        <v>100</v>
      </c>
      <c r="BS392" t="s">
        <v>7644</v>
      </c>
      <c r="BT392" t="str">
        <f>HYPERLINK("https%3A%2F%2Fwww.webofscience.com%2Fwos%2Fwoscc%2Ffull-record%2FWOS:000379249000004","View Full Record in Web of Science")</f>
        <v>View Full Record in Web of Science</v>
      </c>
    </row>
    <row r="393" spans="1:72" x14ac:dyDescent="0.15">
      <c r="A393" t="s">
        <v>72</v>
      </c>
      <c r="B393" t="s">
        <v>7645</v>
      </c>
      <c r="C393" t="s">
        <v>74</v>
      </c>
      <c r="D393" t="s">
        <v>74</v>
      </c>
      <c r="E393" t="s">
        <v>74</v>
      </c>
      <c r="F393" t="s">
        <v>7646</v>
      </c>
      <c r="G393" t="s">
        <v>74</v>
      </c>
      <c r="H393" t="s">
        <v>74</v>
      </c>
      <c r="I393" t="s">
        <v>7647</v>
      </c>
      <c r="J393" t="s">
        <v>7648</v>
      </c>
      <c r="K393" t="s">
        <v>74</v>
      </c>
      <c r="L393" t="s">
        <v>74</v>
      </c>
      <c r="M393" t="s">
        <v>200</v>
      </c>
      <c r="N393" t="s">
        <v>79</v>
      </c>
      <c r="O393" t="s">
        <v>74</v>
      </c>
      <c r="P393" t="s">
        <v>74</v>
      </c>
      <c r="Q393" t="s">
        <v>74</v>
      </c>
      <c r="R393" t="s">
        <v>74</v>
      </c>
      <c r="S393" t="s">
        <v>74</v>
      </c>
      <c r="T393" t="s">
        <v>7649</v>
      </c>
      <c r="U393" t="s">
        <v>7650</v>
      </c>
      <c r="V393" t="s">
        <v>7651</v>
      </c>
      <c r="W393" t="s">
        <v>7652</v>
      </c>
      <c r="X393" t="s">
        <v>7653</v>
      </c>
      <c r="Y393" t="s">
        <v>7654</v>
      </c>
      <c r="Z393" t="s">
        <v>7655</v>
      </c>
      <c r="AA393" t="s">
        <v>74</v>
      </c>
      <c r="AB393" t="s">
        <v>74</v>
      </c>
      <c r="AC393" t="s">
        <v>7656</v>
      </c>
      <c r="AD393" t="s">
        <v>7657</v>
      </c>
      <c r="AE393" t="s">
        <v>7658</v>
      </c>
      <c r="AF393" t="s">
        <v>74</v>
      </c>
      <c r="AG393">
        <v>45</v>
      </c>
      <c r="AH393">
        <v>18</v>
      </c>
      <c r="AI393">
        <v>20</v>
      </c>
      <c r="AJ393">
        <v>2</v>
      </c>
      <c r="AK393">
        <v>10</v>
      </c>
      <c r="AL393" t="s">
        <v>7659</v>
      </c>
      <c r="AM393" t="s">
        <v>7192</v>
      </c>
      <c r="AN393" t="s">
        <v>7660</v>
      </c>
      <c r="AO393" t="s">
        <v>7661</v>
      </c>
      <c r="AP393" t="s">
        <v>7662</v>
      </c>
      <c r="AQ393" t="s">
        <v>74</v>
      </c>
      <c r="AR393" t="s">
        <v>7663</v>
      </c>
      <c r="AS393" t="s">
        <v>7664</v>
      </c>
      <c r="AT393" t="s">
        <v>315</v>
      </c>
      <c r="AU393">
        <v>2016</v>
      </c>
      <c r="AV393">
        <v>39</v>
      </c>
      <c r="AW393">
        <v>1</v>
      </c>
      <c r="AX393" t="s">
        <v>74</v>
      </c>
      <c r="AY393" t="s">
        <v>74</v>
      </c>
      <c r="AZ393" t="s">
        <v>74</v>
      </c>
      <c r="BA393" t="s">
        <v>74</v>
      </c>
      <c r="BB393">
        <v>83</v>
      </c>
      <c r="BC393">
        <v>93</v>
      </c>
      <c r="BD393" t="s">
        <v>74</v>
      </c>
      <c r="BE393" t="s">
        <v>7665</v>
      </c>
      <c r="BF393" t="str">
        <f>HYPERLINK("http://dx.doi.org/10.1007/s12272-015-0687-3","http://dx.doi.org/10.1007/s12272-015-0687-3")</f>
        <v>http://dx.doi.org/10.1007/s12272-015-0687-3</v>
      </c>
      <c r="BG393" t="s">
        <v>74</v>
      </c>
      <c r="BH393" t="s">
        <v>74</v>
      </c>
      <c r="BI393">
        <v>11</v>
      </c>
      <c r="BJ393" t="s">
        <v>7338</v>
      </c>
      <c r="BK393" t="s">
        <v>264</v>
      </c>
      <c r="BL393" t="s">
        <v>7339</v>
      </c>
      <c r="BM393" t="s">
        <v>7666</v>
      </c>
      <c r="BN393">
        <v>26597859</v>
      </c>
      <c r="BO393" t="s">
        <v>74</v>
      </c>
      <c r="BP393" t="s">
        <v>74</v>
      </c>
      <c r="BQ393" t="s">
        <v>74</v>
      </c>
      <c r="BR393" t="s">
        <v>100</v>
      </c>
      <c r="BS393" t="s">
        <v>7667</v>
      </c>
      <c r="BT393" t="str">
        <f>HYPERLINK("https%3A%2F%2Fwww.webofscience.com%2Fwos%2Fwoscc%2Ffull-record%2FWOS:000368200100010","View Full Record in Web of Science")</f>
        <v>View Full Record in Web of Science</v>
      </c>
    </row>
    <row r="394" spans="1:72" x14ac:dyDescent="0.15">
      <c r="A394" t="s">
        <v>193</v>
      </c>
      <c r="B394" t="s">
        <v>7668</v>
      </c>
      <c r="C394" t="s">
        <v>74</v>
      </c>
      <c r="D394" t="s">
        <v>7669</v>
      </c>
      <c r="E394" t="s">
        <v>74</v>
      </c>
      <c r="F394" t="s">
        <v>7670</v>
      </c>
      <c r="G394" t="s">
        <v>74</v>
      </c>
      <c r="H394" t="s">
        <v>74</v>
      </c>
      <c r="I394" t="s">
        <v>7671</v>
      </c>
      <c r="J394" t="s">
        <v>7672</v>
      </c>
      <c r="K394" t="s">
        <v>7673</v>
      </c>
      <c r="L394" t="s">
        <v>74</v>
      </c>
      <c r="M394" t="s">
        <v>200</v>
      </c>
      <c r="N394" t="s">
        <v>201</v>
      </c>
      <c r="O394" t="s">
        <v>74</v>
      </c>
      <c r="P394" t="s">
        <v>74</v>
      </c>
      <c r="Q394" t="s">
        <v>74</v>
      </c>
      <c r="R394" t="s">
        <v>74</v>
      </c>
      <c r="S394" t="s">
        <v>74</v>
      </c>
      <c r="T394" t="s">
        <v>74</v>
      </c>
      <c r="U394" t="s">
        <v>74</v>
      </c>
      <c r="V394" t="s">
        <v>74</v>
      </c>
      <c r="W394" t="s">
        <v>7674</v>
      </c>
      <c r="X394" t="s">
        <v>7675</v>
      </c>
      <c r="Y394" t="s">
        <v>7676</v>
      </c>
      <c r="Z394" t="s">
        <v>7677</v>
      </c>
      <c r="AA394" t="s">
        <v>7678</v>
      </c>
      <c r="AB394" t="s">
        <v>74</v>
      </c>
      <c r="AC394" t="s">
        <v>74</v>
      </c>
      <c r="AD394" t="s">
        <v>74</v>
      </c>
      <c r="AE394" t="s">
        <v>74</v>
      </c>
      <c r="AF394" t="s">
        <v>74</v>
      </c>
      <c r="AG394">
        <v>0</v>
      </c>
      <c r="AH394">
        <v>2</v>
      </c>
      <c r="AI394">
        <v>2</v>
      </c>
      <c r="AJ394">
        <v>0</v>
      </c>
      <c r="AK394">
        <v>0</v>
      </c>
      <c r="AL394" t="s">
        <v>7679</v>
      </c>
      <c r="AM394" t="s">
        <v>7680</v>
      </c>
      <c r="AN394" t="s">
        <v>7681</v>
      </c>
      <c r="AO394" t="s">
        <v>7682</v>
      </c>
      <c r="AP394" t="s">
        <v>74</v>
      </c>
      <c r="AQ394" t="s">
        <v>7683</v>
      </c>
      <c r="AR394" t="s">
        <v>7684</v>
      </c>
      <c r="AS394" t="s">
        <v>74</v>
      </c>
      <c r="AT394" t="s">
        <v>74</v>
      </c>
      <c r="AU394">
        <v>2016</v>
      </c>
      <c r="AV394" t="s">
        <v>74</v>
      </c>
      <c r="AW394" t="s">
        <v>74</v>
      </c>
      <c r="AX394" t="s">
        <v>74</v>
      </c>
      <c r="AY394" t="s">
        <v>74</v>
      </c>
      <c r="AZ394" t="s">
        <v>74</v>
      </c>
      <c r="BA394" t="s">
        <v>74</v>
      </c>
      <c r="BB394">
        <v>43</v>
      </c>
      <c r="BC394">
        <v>48</v>
      </c>
      <c r="BD394" t="s">
        <v>74</v>
      </c>
      <c r="BE394" t="s">
        <v>7685</v>
      </c>
      <c r="BF394" t="str">
        <f>HYPERLINK("http://dx.doi.org/10.1007/978-981-10-2059-9_5","http://dx.doi.org/10.1007/978-981-10-2059-9_5")</f>
        <v>http://dx.doi.org/10.1007/978-981-10-2059-9_5</v>
      </c>
      <c r="BG394" t="s">
        <v>7686</v>
      </c>
      <c r="BH394" t="s">
        <v>74</v>
      </c>
      <c r="BI394">
        <v>6</v>
      </c>
      <c r="BJ394" t="s">
        <v>5062</v>
      </c>
      <c r="BK394" t="s">
        <v>238</v>
      </c>
      <c r="BL394" t="s">
        <v>2887</v>
      </c>
      <c r="BM394" t="s">
        <v>7687</v>
      </c>
      <c r="BN394" t="s">
        <v>74</v>
      </c>
      <c r="BO394" t="s">
        <v>74</v>
      </c>
      <c r="BP394" t="s">
        <v>74</v>
      </c>
      <c r="BQ394" t="s">
        <v>74</v>
      </c>
      <c r="BR394" t="s">
        <v>100</v>
      </c>
      <c r="BS394" t="s">
        <v>7688</v>
      </c>
      <c r="BT394" t="str">
        <f>HYPERLINK("https%3A%2F%2Fwww.webofscience.com%2Fwos%2Fwoscc%2Ffull-record%2FWOS:000400806800008","View Full Record in Web of Science")</f>
        <v>View Full Record in Web of Science</v>
      </c>
    </row>
    <row r="395" spans="1:72" x14ac:dyDescent="0.15">
      <c r="A395" t="s">
        <v>193</v>
      </c>
      <c r="B395" t="s">
        <v>7689</v>
      </c>
      <c r="C395" t="s">
        <v>74</v>
      </c>
      <c r="D395" t="s">
        <v>7689</v>
      </c>
      <c r="E395" t="s">
        <v>74</v>
      </c>
      <c r="F395" t="s">
        <v>7690</v>
      </c>
      <c r="G395" t="s">
        <v>74</v>
      </c>
      <c r="H395" t="s">
        <v>74</v>
      </c>
      <c r="I395" t="s">
        <v>7691</v>
      </c>
      <c r="J395" t="s">
        <v>7692</v>
      </c>
      <c r="K395" t="s">
        <v>7693</v>
      </c>
      <c r="L395" t="s">
        <v>74</v>
      </c>
      <c r="M395" t="s">
        <v>200</v>
      </c>
      <c r="N395" t="s">
        <v>7694</v>
      </c>
      <c r="O395" t="s">
        <v>74</v>
      </c>
      <c r="P395" t="s">
        <v>74</v>
      </c>
      <c r="Q395" t="s">
        <v>74</v>
      </c>
      <c r="R395" t="s">
        <v>74</v>
      </c>
      <c r="S395" t="s">
        <v>74</v>
      </c>
      <c r="T395" t="s">
        <v>74</v>
      </c>
      <c r="U395" t="s">
        <v>7695</v>
      </c>
      <c r="V395" t="s">
        <v>74</v>
      </c>
      <c r="W395" t="s">
        <v>7696</v>
      </c>
      <c r="X395" t="s">
        <v>7697</v>
      </c>
      <c r="Y395" t="s">
        <v>7698</v>
      </c>
      <c r="Z395" t="s">
        <v>7699</v>
      </c>
      <c r="AA395" t="s">
        <v>7700</v>
      </c>
      <c r="AB395" t="s">
        <v>7701</v>
      </c>
      <c r="AC395" t="s">
        <v>7702</v>
      </c>
      <c r="AD395" t="s">
        <v>429</v>
      </c>
      <c r="AE395" t="s">
        <v>74</v>
      </c>
      <c r="AF395" t="s">
        <v>74</v>
      </c>
      <c r="AG395">
        <v>107</v>
      </c>
      <c r="AH395">
        <v>18</v>
      </c>
      <c r="AI395">
        <v>19</v>
      </c>
      <c r="AJ395">
        <v>0</v>
      </c>
      <c r="AK395">
        <v>1</v>
      </c>
      <c r="AL395" t="s">
        <v>4689</v>
      </c>
      <c r="AM395" t="s">
        <v>4690</v>
      </c>
      <c r="AN395" t="s">
        <v>4691</v>
      </c>
      <c r="AO395" t="s">
        <v>7703</v>
      </c>
      <c r="AP395" t="s">
        <v>74</v>
      </c>
      <c r="AQ395" t="s">
        <v>7704</v>
      </c>
      <c r="AR395" t="s">
        <v>7705</v>
      </c>
      <c r="AS395" t="s">
        <v>74</v>
      </c>
      <c r="AT395" t="s">
        <v>74</v>
      </c>
      <c r="AU395">
        <v>2016</v>
      </c>
      <c r="AV395">
        <v>46</v>
      </c>
      <c r="AW395" t="s">
        <v>74</v>
      </c>
      <c r="AX395" t="s">
        <v>74</v>
      </c>
      <c r="AY395" t="s">
        <v>74</v>
      </c>
      <c r="AZ395" t="s">
        <v>74</v>
      </c>
      <c r="BA395" t="s">
        <v>74</v>
      </c>
      <c r="BB395">
        <v>3</v>
      </c>
      <c r="BC395">
        <v>14</v>
      </c>
      <c r="BD395" t="s">
        <v>74</v>
      </c>
      <c r="BE395" t="s">
        <v>7706</v>
      </c>
      <c r="BF395" t="str">
        <f>HYPERLINK("http://dx.doi.org/10.1144/M46.171","http://dx.doi.org/10.1144/M46.171")</f>
        <v>http://dx.doi.org/10.1144/M46.171</v>
      </c>
      <c r="BG395" t="s">
        <v>74</v>
      </c>
      <c r="BH395" t="s">
        <v>74</v>
      </c>
      <c r="BI395">
        <v>12</v>
      </c>
      <c r="BJ395" t="s">
        <v>97</v>
      </c>
      <c r="BK395" t="s">
        <v>216</v>
      </c>
      <c r="BL395" t="s">
        <v>97</v>
      </c>
      <c r="BM395" t="s">
        <v>7707</v>
      </c>
      <c r="BN395" t="s">
        <v>74</v>
      </c>
      <c r="BO395" t="s">
        <v>5473</v>
      </c>
      <c r="BP395" t="s">
        <v>74</v>
      </c>
      <c r="BQ395" t="s">
        <v>74</v>
      </c>
      <c r="BR395" t="s">
        <v>100</v>
      </c>
      <c r="BS395" t="s">
        <v>7708</v>
      </c>
      <c r="BT395" t="str">
        <f>HYPERLINK("https%3A%2F%2Fwww.webofscience.com%2Fwos%2Fwoscc%2Ffull-record%2FWOS:000399497100002","View Full Record in Web of Science")</f>
        <v>View Full Record in Web of Science</v>
      </c>
    </row>
    <row r="396" spans="1:72" x14ac:dyDescent="0.15">
      <c r="A396" t="s">
        <v>193</v>
      </c>
      <c r="B396" t="s">
        <v>7709</v>
      </c>
      <c r="C396" t="s">
        <v>74</v>
      </c>
      <c r="D396" t="s">
        <v>7689</v>
      </c>
      <c r="E396" t="s">
        <v>74</v>
      </c>
      <c r="F396" t="s">
        <v>7710</v>
      </c>
      <c r="G396" t="s">
        <v>74</v>
      </c>
      <c r="H396" t="s">
        <v>74</v>
      </c>
      <c r="I396" t="s">
        <v>7711</v>
      </c>
      <c r="J396" t="s">
        <v>7692</v>
      </c>
      <c r="K396" t="s">
        <v>7693</v>
      </c>
      <c r="L396" t="s">
        <v>74</v>
      </c>
      <c r="M396" t="s">
        <v>200</v>
      </c>
      <c r="N396" t="s">
        <v>201</v>
      </c>
      <c r="O396" t="s">
        <v>74</v>
      </c>
      <c r="P396" t="s">
        <v>74</v>
      </c>
      <c r="Q396" t="s">
        <v>74</v>
      </c>
      <c r="R396" t="s">
        <v>74</v>
      </c>
      <c r="S396" t="s">
        <v>74</v>
      </c>
      <c r="T396" t="s">
        <v>74</v>
      </c>
      <c r="U396" t="s">
        <v>7712</v>
      </c>
      <c r="V396" t="s">
        <v>74</v>
      </c>
      <c r="W396" t="s">
        <v>7713</v>
      </c>
      <c r="X396" t="s">
        <v>7714</v>
      </c>
      <c r="Y396" t="s">
        <v>7715</v>
      </c>
      <c r="Z396" t="s">
        <v>7716</v>
      </c>
      <c r="AA396" t="s">
        <v>7717</v>
      </c>
      <c r="AB396" t="s">
        <v>7718</v>
      </c>
      <c r="AC396" t="s">
        <v>7719</v>
      </c>
      <c r="AD396" t="s">
        <v>429</v>
      </c>
      <c r="AE396" t="s">
        <v>74</v>
      </c>
      <c r="AF396" t="s">
        <v>74</v>
      </c>
      <c r="AG396">
        <v>120</v>
      </c>
      <c r="AH396">
        <v>29</v>
      </c>
      <c r="AI396">
        <v>31</v>
      </c>
      <c r="AJ396">
        <v>0</v>
      </c>
      <c r="AK396">
        <v>0</v>
      </c>
      <c r="AL396" t="s">
        <v>4689</v>
      </c>
      <c r="AM396" t="s">
        <v>4690</v>
      </c>
      <c r="AN396" t="s">
        <v>4691</v>
      </c>
      <c r="AO396" t="s">
        <v>7703</v>
      </c>
      <c r="AP396" t="s">
        <v>74</v>
      </c>
      <c r="AQ396" t="s">
        <v>7704</v>
      </c>
      <c r="AR396" t="s">
        <v>7705</v>
      </c>
      <c r="AS396" t="s">
        <v>74</v>
      </c>
      <c r="AT396" t="s">
        <v>74</v>
      </c>
      <c r="AU396">
        <v>2016</v>
      </c>
      <c r="AV396">
        <v>46</v>
      </c>
      <c r="AW396" t="s">
        <v>74</v>
      </c>
      <c r="AX396" t="s">
        <v>74</v>
      </c>
      <c r="AY396" t="s">
        <v>74</v>
      </c>
      <c r="AZ396" t="s">
        <v>74</v>
      </c>
      <c r="BA396" t="s">
        <v>74</v>
      </c>
      <c r="BB396">
        <v>17</v>
      </c>
      <c r="BC396">
        <v>40</v>
      </c>
      <c r="BD396" t="s">
        <v>74</v>
      </c>
      <c r="BE396" t="s">
        <v>7720</v>
      </c>
      <c r="BF396" t="str">
        <f>HYPERLINK("http://dx.doi.org/10.1144/M46.182","http://dx.doi.org/10.1144/M46.182")</f>
        <v>http://dx.doi.org/10.1144/M46.182</v>
      </c>
      <c r="BG396" t="s">
        <v>74</v>
      </c>
      <c r="BH396" t="s">
        <v>74</v>
      </c>
      <c r="BI396">
        <v>24</v>
      </c>
      <c r="BJ396" t="s">
        <v>97</v>
      </c>
      <c r="BK396" t="s">
        <v>216</v>
      </c>
      <c r="BL396" t="s">
        <v>97</v>
      </c>
      <c r="BM396" t="s">
        <v>7707</v>
      </c>
      <c r="BN396" t="s">
        <v>74</v>
      </c>
      <c r="BO396" t="s">
        <v>7721</v>
      </c>
      <c r="BP396" t="s">
        <v>74</v>
      </c>
      <c r="BQ396" t="s">
        <v>74</v>
      </c>
      <c r="BR396" t="s">
        <v>100</v>
      </c>
      <c r="BS396" t="s">
        <v>7722</v>
      </c>
      <c r="BT396" t="str">
        <f>HYPERLINK("https%3A%2F%2Fwww.webofscience.com%2Fwos%2Fwoscc%2Ffull-record%2FWOS:000399497100003","View Full Record in Web of Science")</f>
        <v>View Full Record in Web of Science</v>
      </c>
    </row>
    <row r="397" spans="1:72" x14ac:dyDescent="0.15">
      <c r="A397" t="s">
        <v>193</v>
      </c>
      <c r="B397" t="s">
        <v>7723</v>
      </c>
      <c r="C397" t="s">
        <v>74</v>
      </c>
      <c r="D397" t="s">
        <v>7689</v>
      </c>
      <c r="E397" t="s">
        <v>74</v>
      </c>
      <c r="F397" t="s">
        <v>7724</v>
      </c>
      <c r="G397" t="s">
        <v>74</v>
      </c>
      <c r="H397" t="s">
        <v>74</v>
      </c>
      <c r="I397" t="s">
        <v>7725</v>
      </c>
      <c r="J397" t="s">
        <v>7692</v>
      </c>
      <c r="K397" t="s">
        <v>7693</v>
      </c>
      <c r="L397" t="s">
        <v>74</v>
      </c>
      <c r="M397" t="s">
        <v>200</v>
      </c>
      <c r="N397" t="s">
        <v>201</v>
      </c>
      <c r="O397" t="s">
        <v>74</v>
      </c>
      <c r="P397" t="s">
        <v>74</v>
      </c>
      <c r="Q397" t="s">
        <v>74</v>
      </c>
      <c r="R397" t="s">
        <v>74</v>
      </c>
      <c r="S397" t="s">
        <v>74</v>
      </c>
      <c r="T397" t="s">
        <v>74</v>
      </c>
      <c r="U397" t="s">
        <v>7726</v>
      </c>
      <c r="V397" t="s">
        <v>74</v>
      </c>
      <c r="W397" t="s">
        <v>7727</v>
      </c>
      <c r="X397" t="s">
        <v>7728</v>
      </c>
      <c r="Y397" t="s">
        <v>7729</v>
      </c>
      <c r="Z397" t="s">
        <v>7730</v>
      </c>
      <c r="AA397" t="s">
        <v>74</v>
      </c>
      <c r="AB397" t="s">
        <v>7731</v>
      </c>
      <c r="AC397" t="s">
        <v>7719</v>
      </c>
      <c r="AD397" t="s">
        <v>429</v>
      </c>
      <c r="AE397" t="s">
        <v>74</v>
      </c>
      <c r="AF397" t="s">
        <v>74</v>
      </c>
      <c r="AG397">
        <v>13</v>
      </c>
      <c r="AH397">
        <v>8</v>
      </c>
      <c r="AI397">
        <v>8</v>
      </c>
      <c r="AJ397">
        <v>0</v>
      </c>
      <c r="AK397">
        <v>0</v>
      </c>
      <c r="AL397" t="s">
        <v>4689</v>
      </c>
      <c r="AM397" t="s">
        <v>4690</v>
      </c>
      <c r="AN397" t="s">
        <v>4691</v>
      </c>
      <c r="AO397" t="s">
        <v>7703</v>
      </c>
      <c r="AP397" t="s">
        <v>74</v>
      </c>
      <c r="AQ397" t="s">
        <v>7704</v>
      </c>
      <c r="AR397" t="s">
        <v>7705</v>
      </c>
      <c r="AS397" t="s">
        <v>74</v>
      </c>
      <c r="AT397" t="s">
        <v>74</v>
      </c>
      <c r="AU397">
        <v>2016</v>
      </c>
      <c r="AV397">
        <v>46</v>
      </c>
      <c r="AW397" t="s">
        <v>74</v>
      </c>
      <c r="AX397" t="s">
        <v>74</v>
      </c>
      <c r="AY397" t="s">
        <v>74</v>
      </c>
      <c r="AZ397" t="s">
        <v>74</v>
      </c>
      <c r="BA397" t="s">
        <v>74</v>
      </c>
      <c r="BB397">
        <v>167</v>
      </c>
      <c r="BC397">
        <v>168</v>
      </c>
      <c r="BD397" t="s">
        <v>74</v>
      </c>
      <c r="BE397" t="s">
        <v>7732</v>
      </c>
      <c r="BF397" t="str">
        <f>HYPERLINK("http://dx.doi.org/10.1144/M46.9","http://dx.doi.org/10.1144/M46.9")</f>
        <v>http://dx.doi.org/10.1144/M46.9</v>
      </c>
      <c r="BG397" t="s">
        <v>74</v>
      </c>
      <c r="BH397" t="s">
        <v>74</v>
      </c>
      <c r="BI397">
        <v>2</v>
      </c>
      <c r="BJ397" t="s">
        <v>97</v>
      </c>
      <c r="BK397" t="s">
        <v>216</v>
      </c>
      <c r="BL397" t="s">
        <v>97</v>
      </c>
      <c r="BM397" t="s">
        <v>7707</v>
      </c>
      <c r="BN397" t="s">
        <v>74</v>
      </c>
      <c r="BO397" t="s">
        <v>74</v>
      </c>
      <c r="BP397" t="s">
        <v>74</v>
      </c>
      <c r="BQ397" t="s">
        <v>74</v>
      </c>
      <c r="BR397" t="s">
        <v>100</v>
      </c>
      <c r="BS397" t="s">
        <v>7733</v>
      </c>
      <c r="BT397" t="str">
        <f>HYPERLINK("https%3A%2F%2Fwww.webofscience.com%2Fwos%2Fwoscc%2Ffull-record%2FWOS:000399497100057","View Full Record in Web of Science")</f>
        <v>View Full Record in Web of Science</v>
      </c>
    </row>
    <row r="398" spans="1:72" x14ac:dyDescent="0.15">
      <c r="A398" t="s">
        <v>193</v>
      </c>
      <c r="B398" t="s">
        <v>7734</v>
      </c>
      <c r="C398" t="s">
        <v>74</v>
      </c>
      <c r="D398" t="s">
        <v>7689</v>
      </c>
      <c r="E398" t="s">
        <v>74</v>
      </c>
      <c r="F398" t="s">
        <v>7735</v>
      </c>
      <c r="G398" t="s">
        <v>74</v>
      </c>
      <c r="H398" t="s">
        <v>74</v>
      </c>
      <c r="I398" t="s">
        <v>7736</v>
      </c>
      <c r="J398" t="s">
        <v>7692</v>
      </c>
      <c r="K398" t="s">
        <v>7693</v>
      </c>
      <c r="L398" t="s">
        <v>74</v>
      </c>
      <c r="M398" t="s">
        <v>200</v>
      </c>
      <c r="N398" t="s">
        <v>201</v>
      </c>
      <c r="O398" t="s">
        <v>74</v>
      </c>
      <c r="P398" t="s">
        <v>74</v>
      </c>
      <c r="Q398" t="s">
        <v>74</v>
      </c>
      <c r="R398" t="s">
        <v>74</v>
      </c>
      <c r="S398" t="s">
        <v>74</v>
      </c>
      <c r="T398" t="s">
        <v>74</v>
      </c>
      <c r="U398" t="s">
        <v>7737</v>
      </c>
      <c r="V398" t="s">
        <v>74</v>
      </c>
      <c r="W398" t="s">
        <v>7738</v>
      </c>
      <c r="X398" t="s">
        <v>7739</v>
      </c>
      <c r="Y398" t="s">
        <v>7740</v>
      </c>
      <c r="Z398" t="s">
        <v>7741</v>
      </c>
      <c r="AA398" t="s">
        <v>7742</v>
      </c>
      <c r="AB398" t="s">
        <v>7743</v>
      </c>
      <c r="AC398" t="s">
        <v>74</v>
      </c>
      <c r="AD398" t="s">
        <v>74</v>
      </c>
      <c r="AE398" t="s">
        <v>74</v>
      </c>
      <c r="AF398" t="s">
        <v>74</v>
      </c>
      <c r="AG398">
        <v>7</v>
      </c>
      <c r="AH398">
        <v>1</v>
      </c>
      <c r="AI398">
        <v>2</v>
      </c>
      <c r="AJ398">
        <v>0</v>
      </c>
      <c r="AK398">
        <v>0</v>
      </c>
      <c r="AL398" t="s">
        <v>4689</v>
      </c>
      <c r="AM398" t="s">
        <v>4690</v>
      </c>
      <c r="AN398" t="s">
        <v>4691</v>
      </c>
      <c r="AO398" t="s">
        <v>7703</v>
      </c>
      <c r="AP398" t="s">
        <v>74</v>
      </c>
      <c r="AQ398" t="s">
        <v>7704</v>
      </c>
      <c r="AR398" t="s">
        <v>7705</v>
      </c>
      <c r="AS398" t="s">
        <v>74</v>
      </c>
      <c r="AT398" t="s">
        <v>74</v>
      </c>
      <c r="AU398">
        <v>2016</v>
      </c>
      <c r="AV398">
        <v>46</v>
      </c>
      <c r="AW398" t="s">
        <v>74</v>
      </c>
      <c r="AX398" t="s">
        <v>74</v>
      </c>
      <c r="AY398" t="s">
        <v>74</v>
      </c>
      <c r="AZ398" t="s">
        <v>74</v>
      </c>
      <c r="BA398" t="s">
        <v>74</v>
      </c>
      <c r="BB398">
        <v>273</v>
      </c>
      <c r="BC398">
        <v>274</v>
      </c>
      <c r="BD398" t="s">
        <v>74</v>
      </c>
      <c r="BE398" t="s">
        <v>7744</v>
      </c>
      <c r="BF398" t="str">
        <f>HYPERLINK("http://dx.doi.org/10.1144/M46.57","http://dx.doi.org/10.1144/M46.57")</f>
        <v>http://dx.doi.org/10.1144/M46.57</v>
      </c>
      <c r="BG398" t="s">
        <v>74</v>
      </c>
      <c r="BH398" t="s">
        <v>74</v>
      </c>
      <c r="BI398">
        <v>2</v>
      </c>
      <c r="BJ398" t="s">
        <v>97</v>
      </c>
      <c r="BK398" t="s">
        <v>216</v>
      </c>
      <c r="BL398" t="s">
        <v>97</v>
      </c>
      <c r="BM398" t="s">
        <v>7707</v>
      </c>
      <c r="BN398" t="s">
        <v>74</v>
      </c>
      <c r="BO398" t="s">
        <v>74</v>
      </c>
      <c r="BP398" t="s">
        <v>74</v>
      </c>
      <c r="BQ398" t="s">
        <v>74</v>
      </c>
      <c r="BR398" t="s">
        <v>100</v>
      </c>
      <c r="BS398" t="s">
        <v>7745</v>
      </c>
      <c r="BT398" t="str">
        <f>HYPERLINK("https%3A%2F%2Fwww.webofscience.com%2Fwos%2Fwoscc%2Ffull-record%2FWOS:000399497100110","View Full Record in Web of Science")</f>
        <v>View Full Record in Web of Science</v>
      </c>
    </row>
    <row r="399" spans="1:72" x14ac:dyDescent="0.15">
      <c r="A399" t="s">
        <v>193</v>
      </c>
      <c r="B399" t="s">
        <v>7746</v>
      </c>
      <c r="C399" t="s">
        <v>74</v>
      </c>
      <c r="D399" t="s">
        <v>7689</v>
      </c>
      <c r="E399" t="s">
        <v>74</v>
      </c>
      <c r="F399" t="s">
        <v>7747</v>
      </c>
      <c r="G399" t="s">
        <v>74</v>
      </c>
      <c r="H399" t="s">
        <v>74</v>
      </c>
      <c r="I399" t="s">
        <v>7748</v>
      </c>
      <c r="J399" t="s">
        <v>7692</v>
      </c>
      <c r="K399" t="s">
        <v>7693</v>
      </c>
      <c r="L399" t="s">
        <v>74</v>
      </c>
      <c r="M399" t="s">
        <v>200</v>
      </c>
      <c r="N399" t="s">
        <v>201</v>
      </c>
      <c r="O399" t="s">
        <v>74</v>
      </c>
      <c r="P399" t="s">
        <v>74</v>
      </c>
      <c r="Q399" t="s">
        <v>74</v>
      </c>
      <c r="R399" t="s">
        <v>74</v>
      </c>
      <c r="S399" t="s">
        <v>74</v>
      </c>
      <c r="T399" t="s">
        <v>74</v>
      </c>
      <c r="U399" t="s">
        <v>7749</v>
      </c>
      <c r="V399" t="s">
        <v>74</v>
      </c>
      <c r="W399" t="s">
        <v>7750</v>
      </c>
      <c r="X399" t="s">
        <v>7751</v>
      </c>
      <c r="Y399" t="s">
        <v>7752</v>
      </c>
      <c r="Z399" t="s">
        <v>7753</v>
      </c>
      <c r="AA399" t="s">
        <v>74</v>
      </c>
      <c r="AB399" t="s">
        <v>7754</v>
      </c>
      <c r="AC399" t="s">
        <v>7755</v>
      </c>
      <c r="AD399" t="s">
        <v>429</v>
      </c>
      <c r="AE399" t="s">
        <v>74</v>
      </c>
      <c r="AF399" t="s">
        <v>74</v>
      </c>
      <c r="AG399">
        <v>5</v>
      </c>
      <c r="AH399">
        <v>1</v>
      </c>
      <c r="AI399">
        <v>1</v>
      </c>
      <c r="AJ399">
        <v>0</v>
      </c>
      <c r="AK399">
        <v>0</v>
      </c>
      <c r="AL399" t="s">
        <v>4689</v>
      </c>
      <c r="AM399" t="s">
        <v>4690</v>
      </c>
      <c r="AN399" t="s">
        <v>4691</v>
      </c>
      <c r="AO399" t="s">
        <v>7703</v>
      </c>
      <c r="AP399" t="s">
        <v>74</v>
      </c>
      <c r="AQ399" t="s">
        <v>7704</v>
      </c>
      <c r="AR399" t="s">
        <v>7705</v>
      </c>
      <c r="AS399" t="s">
        <v>74</v>
      </c>
      <c r="AT399" t="s">
        <v>74</v>
      </c>
      <c r="AU399">
        <v>2016</v>
      </c>
      <c r="AV399">
        <v>46</v>
      </c>
      <c r="AW399" t="s">
        <v>74</v>
      </c>
      <c r="AX399" t="s">
        <v>74</v>
      </c>
      <c r="AY399" t="s">
        <v>74</v>
      </c>
      <c r="AZ399" t="s">
        <v>74</v>
      </c>
      <c r="BA399" t="s">
        <v>74</v>
      </c>
      <c r="BB399">
        <v>375</v>
      </c>
      <c r="BC399">
        <v>376</v>
      </c>
      <c r="BD399" t="s">
        <v>74</v>
      </c>
      <c r="BE399" t="s">
        <v>7756</v>
      </c>
      <c r="BF399" t="str">
        <f>HYPERLINK("http://dx.doi.org/10.1144/M46.155","http://dx.doi.org/10.1144/M46.155")</f>
        <v>http://dx.doi.org/10.1144/M46.155</v>
      </c>
      <c r="BG399" t="s">
        <v>74</v>
      </c>
      <c r="BH399" t="s">
        <v>74</v>
      </c>
      <c r="BI399">
        <v>2</v>
      </c>
      <c r="BJ399" t="s">
        <v>97</v>
      </c>
      <c r="BK399" t="s">
        <v>216</v>
      </c>
      <c r="BL399" t="s">
        <v>97</v>
      </c>
      <c r="BM399" t="s">
        <v>7707</v>
      </c>
      <c r="BN399" t="s">
        <v>74</v>
      </c>
      <c r="BO399" t="s">
        <v>74</v>
      </c>
      <c r="BP399" t="s">
        <v>74</v>
      </c>
      <c r="BQ399" t="s">
        <v>74</v>
      </c>
      <c r="BR399" t="s">
        <v>100</v>
      </c>
      <c r="BS399" t="s">
        <v>7757</v>
      </c>
      <c r="BT399" t="str">
        <f>HYPERLINK("https%3A%2F%2Fwww.webofscience.com%2Fwos%2Fwoscc%2Ffull-record%2FWOS:000399497100149","View Full Record in Web of Science")</f>
        <v>View Full Record in Web of Science</v>
      </c>
    </row>
    <row r="400" spans="1:72" x14ac:dyDescent="0.15">
      <c r="A400" t="s">
        <v>193</v>
      </c>
      <c r="B400" t="s">
        <v>7689</v>
      </c>
      <c r="C400" t="s">
        <v>74</v>
      </c>
      <c r="D400" t="s">
        <v>7689</v>
      </c>
      <c r="E400" t="s">
        <v>74</v>
      </c>
      <c r="F400" t="s">
        <v>7690</v>
      </c>
      <c r="G400" t="s">
        <v>74</v>
      </c>
      <c r="H400" t="s">
        <v>74</v>
      </c>
      <c r="I400" t="s">
        <v>7758</v>
      </c>
      <c r="J400" t="s">
        <v>7692</v>
      </c>
      <c r="K400" t="s">
        <v>7693</v>
      </c>
      <c r="L400" t="s">
        <v>74</v>
      </c>
      <c r="M400" t="s">
        <v>200</v>
      </c>
      <c r="N400" t="s">
        <v>201</v>
      </c>
      <c r="O400" t="s">
        <v>74</v>
      </c>
      <c r="P400" t="s">
        <v>74</v>
      </c>
      <c r="Q400" t="s">
        <v>74</v>
      </c>
      <c r="R400" t="s">
        <v>74</v>
      </c>
      <c r="S400" t="s">
        <v>74</v>
      </c>
      <c r="T400" t="s">
        <v>7759</v>
      </c>
      <c r="U400" t="s">
        <v>7760</v>
      </c>
      <c r="V400" t="s">
        <v>74</v>
      </c>
      <c r="W400" t="s">
        <v>7696</v>
      </c>
      <c r="X400" t="s">
        <v>7697</v>
      </c>
      <c r="Y400" t="s">
        <v>7698</v>
      </c>
      <c r="Z400" t="s">
        <v>7699</v>
      </c>
      <c r="AA400" t="s">
        <v>7761</v>
      </c>
      <c r="AB400" t="s">
        <v>7701</v>
      </c>
      <c r="AC400" t="s">
        <v>7719</v>
      </c>
      <c r="AD400" t="s">
        <v>429</v>
      </c>
      <c r="AE400" t="s">
        <v>74</v>
      </c>
      <c r="AF400" t="s">
        <v>74</v>
      </c>
      <c r="AG400">
        <v>300</v>
      </c>
      <c r="AH400">
        <v>71</v>
      </c>
      <c r="AI400">
        <v>74</v>
      </c>
      <c r="AJ400">
        <v>0</v>
      </c>
      <c r="AK400">
        <v>1</v>
      </c>
      <c r="AL400" t="s">
        <v>4689</v>
      </c>
      <c r="AM400" t="s">
        <v>4690</v>
      </c>
      <c r="AN400" t="s">
        <v>4691</v>
      </c>
      <c r="AO400" t="s">
        <v>7703</v>
      </c>
      <c r="AP400" t="s">
        <v>74</v>
      </c>
      <c r="AQ400" t="s">
        <v>7704</v>
      </c>
      <c r="AR400" t="s">
        <v>7705</v>
      </c>
      <c r="AS400" t="s">
        <v>74</v>
      </c>
      <c r="AT400" t="s">
        <v>74</v>
      </c>
      <c r="AU400">
        <v>2016</v>
      </c>
      <c r="AV400">
        <v>46</v>
      </c>
      <c r="AW400" t="s">
        <v>74</v>
      </c>
      <c r="AX400" t="s">
        <v>74</v>
      </c>
      <c r="AY400" t="s">
        <v>74</v>
      </c>
      <c r="AZ400" t="s">
        <v>74</v>
      </c>
      <c r="BA400" t="s">
        <v>74</v>
      </c>
      <c r="BB400">
        <v>519</v>
      </c>
      <c r="BC400">
        <v>552</v>
      </c>
      <c r="BD400" t="s">
        <v>74</v>
      </c>
      <c r="BE400" t="s">
        <v>7762</v>
      </c>
      <c r="BF400" t="str">
        <f>HYPERLINK("http://dx.doi.org/10.1144/M46.183","http://dx.doi.org/10.1144/M46.183")</f>
        <v>http://dx.doi.org/10.1144/M46.183</v>
      </c>
      <c r="BG400" t="s">
        <v>74</v>
      </c>
      <c r="BH400" t="s">
        <v>74</v>
      </c>
      <c r="BI400">
        <v>34</v>
      </c>
      <c r="BJ400" t="s">
        <v>97</v>
      </c>
      <c r="BK400" t="s">
        <v>216</v>
      </c>
      <c r="BL400" t="s">
        <v>97</v>
      </c>
      <c r="BM400" t="s">
        <v>7707</v>
      </c>
      <c r="BN400" t="s">
        <v>74</v>
      </c>
      <c r="BO400" t="s">
        <v>2274</v>
      </c>
      <c r="BP400" t="s">
        <v>74</v>
      </c>
      <c r="BQ400" t="s">
        <v>74</v>
      </c>
      <c r="BR400" t="s">
        <v>100</v>
      </c>
      <c r="BS400" t="s">
        <v>7763</v>
      </c>
      <c r="BT400" t="str">
        <f>HYPERLINK("https%3A%2F%2Fwww.webofscience.com%2Fwos%2Fwoscc%2Ffull-record%2FWOS:000399497100183","View Full Record in Web of Science")</f>
        <v>View Full Record in Web of Science</v>
      </c>
    </row>
    <row r="401" spans="1:72" x14ac:dyDescent="0.15">
      <c r="A401" t="s">
        <v>72</v>
      </c>
      <c r="B401" t="s">
        <v>7764</v>
      </c>
      <c r="C401" t="s">
        <v>74</v>
      </c>
      <c r="D401" t="s">
        <v>74</v>
      </c>
      <c r="E401" t="s">
        <v>74</v>
      </c>
      <c r="F401" t="s">
        <v>7765</v>
      </c>
      <c r="G401" t="s">
        <v>74</v>
      </c>
      <c r="H401" t="s">
        <v>74</v>
      </c>
      <c r="I401" t="s">
        <v>7766</v>
      </c>
      <c r="J401" t="s">
        <v>3226</v>
      </c>
      <c r="K401" t="s">
        <v>74</v>
      </c>
      <c r="L401" t="s">
        <v>74</v>
      </c>
      <c r="M401" t="s">
        <v>200</v>
      </c>
      <c r="N401" t="s">
        <v>79</v>
      </c>
      <c r="O401" t="s">
        <v>74</v>
      </c>
      <c r="P401" t="s">
        <v>74</v>
      </c>
      <c r="Q401" t="s">
        <v>74</v>
      </c>
      <c r="R401" t="s">
        <v>74</v>
      </c>
      <c r="S401" t="s">
        <v>74</v>
      </c>
      <c r="T401" t="s">
        <v>74</v>
      </c>
      <c r="U401" t="s">
        <v>7767</v>
      </c>
      <c r="V401" t="s">
        <v>7768</v>
      </c>
      <c r="W401" t="s">
        <v>7769</v>
      </c>
      <c r="X401" t="s">
        <v>7770</v>
      </c>
      <c r="Y401" t="s">
        <v>7771</v>
      </c>
      <c r="Z401" t="s">
        <v>7772</v>
      </c>
      <c r="AA401" t="s">
        <v>7773</v>
      </c>
      <c r="AB401" t="s">
        <v>7774</v>
      </c>
      <c r="AC401" t="s">
        <v>7775</v>
      </c>
      <c r="AD401" t="s">
        <v>7515</v>
      </c>
      <c r="AE401" t="s">
        <v>7776</v>
      </c>
      <c r="AF401" t="s">
        <v>74</v>
      </c>
      <c r="AG401">
        <v>150</v>
      </c>
      <c r="AH401">
        <v>30</v>
      </c>
      <c r="AI401">
        <v>31</v>
      </c>
      <c r="AJ401">
        <v>1</v>
      </c>
      <c r="AK401">
        <v>34</v>
      </c>
      <c r="AL401" t="s">
        <v>358</v>
      </c>
      <c r="AM401" t="s">
        <v>359</v>
      </c>
      <c r="AN401" t="s">
        <v>3238</v>
      </c>
      <c r="AO401" t="s">
        <v>3239</v>
      </c>
      <c r="AP401" t="s">
        <v>3240</v>
      </c>
      <c r="AQ401" t="s">
        <v>74</v>
      </c>
      <c r="AR401" t="s">
        <v>3241</v>
      </c>
      <c r="AS401" t="s">
        <v>3242</v>
      </c>
      <c r="AT401" t="s">
        <v>74</v>
      </c>
      <c r="AU401">
        <v>2016</v>
      </c>
      <c r="AV401">
        <v>16</v>
      </c>
      <c r="AW401">
        <v>1</v>
      </c>
      <c r="AX401" t="s">
        <v>74</v>
      </c>
      <c r="AY401" t="s">
        <v>74</v>
      </c>
      <c r="AZ401" t="s">
        <v>74</v>
      </c>
      <c r="BA401" t="s">
        <v>74</v>
      </c>
      <c r="BB401">
        <v>343</v>
      </c>
      <c r="BC401">
        <v>363</v>
      </c>
      <c r="BD401" t="s">
        <v>74</v>
      </c>
      <c r="BE401" t="s">
        <v>7777</v>
      </c>
      <c r="BF401" t="str">
        <f>HYPERLINK("http://dx.doi.org/10.5194/acp-16-343-2016","http://dx.doi.org/10.5194/acp-16-343-2016")</f>
        <v>http://dx.doi.org/10.5194/acp-16-343-2016</v>
      </c>
      <c r="BG401" t="s">
        <v>74</v>
      </c>
      <c r="BH401" t="s">
        <v>74</v>
      </c>
      <c r="BI401">
        <v>21</v>
      </c>
      <c r="BJ401" t="s">
        <v>3244</v>
      </c>
      <c r="BK401" t="s">
        <v>264</v>
      </c>
      <c r="BL401" t="s">
        <v>3245</v>
      </c>
      <c r="BM401" t="s">
        <v>5765</v>
      </c>
      <c r="BN401" t="s">
        <v>74</v>
      </c>
      <c r="BO401" t="s">
        <v>7778</v>
      </c>
      <c r="BP401" t="s">
        <v>74</v>
      </c>
      <c r="BQ401" t="s">
        <v>74</v>
      </c>
      <c r="BR401" t="s">
        <v>100</v>
      </c>
      <c r="BS401" t="s">
        <v>7779</v>
      </c>
      <c r="BT401" t="str">
        <f>HYPERLINK("https%3A%2F%2Fwww.webofscience.com%2Fwos%2Fwoscc%2Ffull-record%2FWOS:000371283900022","View Full Record in Web of Science")</f>
        <v>View Full Record in Web of Science</v>
      </c>
    </row>
    <row r="402" spans="1:72" x14ac:dyDescent="0.15">
      <c r="A402" t="s">
        <v>72</v>
      </c>
      <c r="B402" t="s">
        <v>7780</v>
      </c>
      <c r="C402" t="s">
        <v>74</v>
      </c>
      <c r="D402" t="s">
        <v>74</v>
      </c>
      <c r="E402" t="s">
        <v>74</v>
      </c>
      <c r="F402" t="s">
        <v>7781</v>
      </c>
      <c r="G402" t="s">
        <v>74</v>
      </c>
      <c r="H402" t="s">
        <v>74</v>
      </c>
      <c r="I402" t="s">
        <v>7782</v>
      </c>
      <c r="J402" t="s">
        <v>3226</v>
      </c>
      <c r="K402" t="s">
        <v>74</v>
      </c>
      <c r="L402" t="s">
        <v>74</v>
      </c>
      <c r="M402" t="s">
        <v>200</v>
      </c>
      <c r="N402" t="s">
        <v>79</v>
      </c>
      <c r="O402" t="s">
        <v>74</v>
      </c>
      <c r="P402" t="s">
        <v>74</v>
      </c>
      <c r="Q402" t="s">
        <v>74</v>
      </c>
      <c r="R402" t="s">
        <v>74</v>
      </c>
      <c r="S402" t="s">
        <v>74</v>
      </c>
      <c r="T402" t="s">
        <v>74</v>
      </c>
      <c r="U402" t="s">
        <v>7783</v>
      </c>
      <c r="V402" t="s">
        <v>7784</v>
      </c>
      <c r="W402" t="s">
        <v>7785</v>
      </c>
      <c r="X402" t="s">
        <v>7786</v>
      </c>
      <c r="Y402" t="s">
        <v>7787</v>
      </c>
      <c r="Z402" t="s">
        <v>7788</v>
      </c>
      <c r="AA402" t="s">
        <v>7789</v>
      </c>
      <c r="AB402" t="s">
        <v>7790</v>
      </c>
      <c r="AC402" t="s">
        <v>7791</v>
      </c>
      <c r="AD402" t="s">
        <v>7792</v>
      </c>
      <c r="AE402" t="s">
        <v>7793</v>
      </c>
      <c r="AF402" t="s">
        <v>74</v>
      </c>
      <c r="AG402">
        <v>62</v>
      </c>
      <c r="AH402">
        <v>37</v>
      </c>
      <c r="AI402">
        <v>39</v>
      </c>
      <c r="AJ402">
        <v>0</v>
      </c>
      <c r="AK402">
        <v>22</v>
      </c>
      <c r="AL402" t="s">
        <v>358</v>
      </c>
      <c r="AM402" t="s">
        <v>359</v>
      </c>
      <c r="AN402" t="s">
        <v>3238</v>
      </c>
      <c r="AO402" t="s">
        <v>3239</v>
      </c>
      <c r="AP402" t="s">
        <v>3240</v>
      </c>
      <c r="AQ402" t="s">
        <v>74</v>
      </c>
      <c r="AR402" t="s">
        <v>3241</v>
      </c>
      <c r="AS402" t="s">
        <v>3242</v>
      </c>
      <c r="AT402" t="s">
        <v>74</v>
      </c>
      <c r="AU402">
        <v>2016</v>
      </c>
      <c r="AV402">
        <v>16</v>
      </c>
      <c r="AW402">
        <v>3</v>
      </c>
      <c r="AX402" t="s">
        <v>74</v>
      </c>
      <c r="AY402" t="s">
        <v>74</v>
      </c>
      <c r="AZ402" t="s">
        <v>74</v>
      </c>
      <c r="BA402" t="s">
        <v>74</v>
      </c>
      <c r="BB402">
        <v>1545</v>
      </c>
      <c r="BC402">
        <v>1563</v>
      </c>
      <c r="BD402" t="s">
        <v>74</v>
      </c>
      <c r="BE402" t="s">
        <v>7794</v>
      </c>
      <c r="BF402" t="str">
        <f>HYPERLINK("http://dx.doi.org/10.5194/acp-16-1545-2016","http://dx.doi.org/10.5194/acp-16-1545-2016")</f>
        <v>http://dx.doi.org/10.5194/acp-16-1545-2016</v>
      </c>
      <c r="BG402" t="s">
        <v>74</v>
      </c>
      <c r="BH402" t="s">
        <v>74</v>
      </c>
      <c r="BI402">
        <v>19</v>
      </c>
      <c r="BJ402" t="s">
        <v>3244</v>
      </c>
      <c r="BK402" t="s">
        <v>264</v>
      </c>
      <c r="BL402" t="s">
        <v>3245</v>
      </c>
      <c r="BM402" t="s">
        <v>5782</v>
      </c>
      <c r="BN402" t="s">
        <v>74</v>
      </c>
      <c r="BO402" t="s">
        <v>4816</v>
      </c>
      <c r="BP402" t="s">
        <v>74</v>
      </c>
      <c r="BQ402" t="s">
        <v>74</v>
      </c>
      <c r="BR402" t="s">
        <v>100</v>
      </c>
      <c r="BS402" t="s">
        <v>7795</v>
      </c>
      <c r="BT402" t="str">
        <f>HYPERLINK("https%3A%2F%2Fwww.webofscience.com%2Fwos%2Fwoscc%2Ffull-record%2FWOS:000371284100022","View Full Record in Web of Science")</f>
        <v>View Full Record in Web of Science</v>
      </c>
    </row>
    <row r="403" spans="1:72" x14ac:dyDescent="0.15">
      <c r="A403" t="s">
        <v>72</v>
      </c>
      <c r="B403" t="s">
        <v>7796</v>
      </c>
      <c r="C403" t="s">
        <v>74</v>
      </c>
      <c r="D403" t="s">
        <v>74</v>
      </c>
      <c r="E403" t="s">
        <v>74</v>
      </c>
      <c r="F403" t="s">
        <v>7797</v>
      </c>
      <c r="G403" t="s">
        <v>74</v>
      </c>
      <c r="H403" t="s">
        <v>74</v>
      </c>
      <c r="I403" t="s">
        <v>7798</v>
      </c>
      <c r="J403" t="s">
        <v>3226</v>
      </c>
      <c r="K403" t="s">
        <v>74</v>
      </c>
      <c r="L403" t="s">
        <v>74</v>
      </c>
      <c r="M403" t="s">
        <v>200</v>
      </c>
      <c r="N403" t="s">
        <v>79</v>
      </c>
      <c r="O403" t="s">
        <v>74</v>
      </c>
      <c r="P403" t="s">
        <v>74</v>
      </c>
      <c r="Q403" t="s">
        <v>74</v>
      </c>
      <c r="R403" t="s">
        <v>74</v>
      </c>
      <c r="S403" t="s">
        <v>74</v>
      </c>
      <c r="T403" t="s">
        <v>74</v>
      </c>
      <c r="U403" t="s">
        <v>7799</v>
      </c>
      <c r="V403" t="s">
        <v>7800</v>
      </c>
      <c r="W403" t="s">
        <v>7801</v>
      </c>
      <c r="X403" t="s">
        <v>7802</v>
      </c>
      <c r="Y403" t="s">
        <v>7803</v>
      </c>
      <c r="Z403" t="s">
        <v>7804</v>
      </c>
      <c r="AA403" t="s">
        <v>7805</v>
      </c>
      <c r="AB403" t="s">
        <v>7806</v>
      </c>
      <c r="AC403" t="s">
        <v>7807</v>
      </c>
      <c r="AD403" t="s">
        <v>7808</v>
      </c>
      <c r="AE403" t="s">
        <v>7809</v>
      </c>
      <c r="AF403" t="s">
        <v>74</v>
      </c>
      <c r="AG403">
        <v>35</v>
      </c>
      <c r="AH403">
        <v>32</v>
      </c>
      <c r="AI403">
        <v>34</v>
      </c>
      <c r="AJ403">
        <v>1</v>
      </c>
      <c r="AK403">
        <v>25</v>
      </c>
      <c r="AL403" t="s">
        <v>358</v>
      </c>
      <c r="AM403" t="s">
        <v>359</v>
      </c>
      <c r="AN403" t="s">
        <v>3238</v>
      </c>
      <c r="AO403" t="s">
        <v>3239</v>
      </c>
      <c r="AP403" t="s">
        <v>3240</v>
      </c>
      <c r="AQ403" t="s">
        <v>74</v>
      </c>
      <c r="AR403" t="s">
        <v>3241</v>
      </c>
      <c r="AS403" t="s">
        <v>3242</v>
      </c>
      <c r="AT403" t="s">
        <v>74</v>
      </c>
      <c r="AU403">
        <v>2016</v>
      </c>
      <c r="AV403">
        <v>16</v>
      </c>
      <c r="AW403">
        <v>3</v>
      </c>
      <c r="AX403" t="s">
        <v>74</v>
      </c>
      <c r="AY403" t="s">
        <v>74</v>
      </c>
      <c r="AZ403" t="s">
        <v>74</v>
      </c>
      <c r="BA403" t="s">
        <v>74</v>
      </c>
      <c r="BB403">
        <v>1653</v>
      </c>
      <c r="BC403">
        <v>1671</v>
      </c>
      <c r="BD403" t="s">
        <v>74</v>
      </c>
      <c r="BE403" t="s">
        <v>7810</v>
      </c>
      <c r="BF403" t="str">
        <f>HYPERLINK("http://dx.doi.org/10.5194/acp-16-1653-2016","http://dx.doi.org/10.5194/acp-16-1653-2016")</f>
        <v>http://dx.doi.org/10.5194/acp-16-1653-2016</v>
      </c>
      <c r="BG403" t="s">
        <v>74</v>
      </c>
      <c r="BH403" t="s">
        <v>74</v>
      </c>
      <c r="BI403">
        <v>19</v>
      </c>
      <c r="BJ403" t="s">
        <v>3244</v>
      </c>
      <c r="BK403" t="s">
        <v>264</v>
      </c>
      <c r="BL403" t="s">
        <v>3245</v>
      </c>
      <c r="BM403" t="s">
        <v>5782</v>
      </c>
      <c r="BN403" t="s">
        <v>74</v>
      </c>
      <c r="BO403" t="s">
        <v>2134</v>
      </c>
      <c r="BP403" t="s">
        <v>74</v>
      </c>
      <c r="BQ403" t="s">
        <v>74</v>
      </c>
      <c r="BR403" t="s">
        <v>100</v>
      </c>
      <c r="BS403" t="s">
        <v>7811</v>
      </c>
      <c r="BT403" t="str">
        <f>HYPERLINK("https%3A%2F%2Fwww.webofscience.com%2Fwos%2Fwoscc%2Ffull-record%2FWOS:000371284100028","View Full Record in Web of Science")</f>
        <v>View Full Record in Web of Science</v>
      </c>
    </row>
    <row r="404" spans="1:72" x14ac:dyDescent="0.15">
      <c r="A404" t="s">
        <v>72</v>
      </c>
      <c r="B404" t="s">
        <v>7812</v>
      </c>
      <c r="C404" t="s">
        <v>74</v>
      </c>
      <c r="D404" t="s">
        <v>74</v>
      </c>
      <c r="E404" t="s">
        <v>74</v>
      </c>
      <c r="F404" t="s">
        <v>7813</v>
      </c>
      <c r="G404" t="s">
        <v>74</v>
      </c>
      <c r="H404" t="s">
        <v>74</v>
      </c>
      <c r="I404" t="s">
        <v>7814</v>
      </c>
      <c r="J404" t="s">
        <v>3226</v>
      </c>
      <c r="K404" t="s">
        <v>74</v>
      </c>
      <c r="L404" t="s">
        <v>74</v>
      </c>
      <c r="M404" t="s">
        <v>200</v>
      </c>
      <c r="N404" t="s">
        <v>79</v>
      </c>
      <c r="O404" t="s">
        <v>74</v>
      </c>
      <c r="P404" t="s">
        <v>74</v>
      </c>
      <c r="Q404" t="s">
        <v>74</v>
      </c>
      <c r="R404" t="s">
        <v>74</v>
      </c>
      <c r="S404" t="s">
        <v>74</v>
      </c>
      <c r="T404" t="s">
        <v>74</v>
      </c>
      <c r="U404" t="s">
        <v>7815</v>
      </c>
      <c r="V404" t="s">
        <v>7816</v>
      </c>
      <c r="W404" t="s">
        <v>7817</v>
      </c>
      <c r="X404" t="s">
        <v>7818</v>
      </c>
      <c r="Y404" t="s">
        <v>7819</v>
      </c>
      <c r="Z404" t="s">
        <v>7820</v>
      </c>
      <c r="AA404" t="s">
        <v>7821</v>
      </c>
      <c r="AB404" t="s">
        <v>7822</v>
      </c>
      <c r="AC404" t="s">
        <v>7823</v>
      </c>
      <c r="AD404" t="s">
        <v>7824</v>
      </c>
      <c r="AE404" t="s">
        <v>7825</v>
      </c>
      <c r="AF404" t="s">
        <v>74</v>
      </c>
      <c r="AG404">
        <v>55</v>
      </c>
      <c r="AH404">
        <v>22</v>
      </c>
      <c r="AI404">
        <v>24</v>
      </c>
      <c r="AJ404">
        <v>0</v>
      </c>
      <c r="AK404">
        <v>17</v>
      </c>
      <c r="AL404" t="s">
        <v>358</v>
      </c>
      <c r="AM404" t="s">
        <v>359</v>
      </c>
      <c r="AN404" t="s">
        <v>3238</v>
      </c>
      <c r="AO404" t="s">
        <v>3239</v>
      </c>
      <c r="AP404" t="s">
        <v>3240</v>
      </c>
      <c r="AQ404" t="s">
        <v>74</v>
      </c>
      <c r="AR404" t="s">
        <v>3241</v>
      </c>
      <c r="AS404" t="s">
        <v>3242</v>
      </c>
      <c r="AT404" t="s">
        <v>74</v>
      </c>
      <c r="AU404">
        <v>2016</v>
      </c>
      <c r="AV404">
        <v>16</v>
      </c>
      <c r="AW404">
        <v>4</v>
      </c>
      <c r="AX404" t="s">
        <v>74</v>
      </c>
      <c r="AY404" t="s">
        <v>74</v>
      </c>
      <c r="AZ404" t="s">
        <v>74</v>
      </c>
      <c r="BA404" t="s">
        <v>74</v>
      </c>
      <c r="BB404">
        <v>2401</v>
      </c>
      <c r="BC404">
        <v>2415</v>
      </c>
      <c r="BD404" t="s">
        <v>74</v>
      </c>
      <c r="BE404" t="s">
        <v>7826</v>
      </c>
      <c r="BF404" t="str">
        <f>HYPERLINK("http://dx.doi.org/10.5194/acp-16-2401-2016","http://dx.doi.org/10.5194/acp-16-2401-2016")</f>
        <v>http://dx.doi.org/10.5194/acp-16-2401-2016</v>
      </c>
      <c r="BG404" t="s">
        <v>74</v>
      </c>
      <c r="BH404" t="s">
        <v>74</v>
      </c>
      <c r="BI404">
        <v>15</v>
      </c>
      <c r="BJ404" t="s">
        <v>3244</v>
      </c>
      <c r="BK404" t="s">
        <v>264</v>
      </c>
      <c r="BL404" t="s">
        <v>3245</v>
      </c>
      <c r="BM404" t="s">
        <v>5390</v>
      </c>
      <c r="BN404" t="s">
        <v>74</v>
      </c>
      <c r="BO404" t="s">
        <v>4448</v>
      </c>
      <c r="BP404" t="s">
        <v>74</v>
      </c>
      <c r="BQ404" t="s">
        <v>74</v>
      </c>
      <c r="BR404" t="s">
        <v>100</v>
      </c>
      <c r="BS404" t="s">
        <v>7827</v>
      </c>
      <c r="BT404" t="str">
        <f>HYPERLINK("https%3A%2F%2Fwww.webofscience.com%2Fwos%2Fwoscc%2Ffull-record%2FWOS:000372971500034","View Full Record in Web of Science")</f>
        <v>View Full Record in Web of Science</v>
      </c>
    </row>
    <row r="405" spans="1:72" x14ac:dyDescent="0.15">
      <c r="A405" t="s">
        <v>72</v>
      </c>
      <c r="B405" t="s">
        <v>7828</v>
      </c>
      <c r="C405" t="s">
        <v>74</v>
      </c>
      <c r="D405" t="s">
        <v>74</v>
      </c>
      <c r="E405" t="s">
        <v>74</v>
      </c>
      <c r="F405" t="s">
        <v>7829</v>
      </c>
      <c r="G405" t="s">
        <v>74</v>
      </c>
      <c r="H405" t="s">
        <v>74</v>
      </c>
      <c r="I405" t="s">
        <v>7830</v>
      </c>
      <c r="J405" t="s">
        <v>3226</v>
      </c>
      <c r="K405" t="s">
        <v>74</v>
      </c>
      <c r="L405" t="s">
        <v>74</v>
      </c>
      <c r="M405" t="s">
        <v>200</v>
      </c>
      <c r="N405" t="s">
        <v>79</v>
      </c>
      <c r="O405" t="s">
        <v>74</v>
      </c>
      <c r="P405" t="s">
        <v>74</v>
      </c>
      <c r="Q405" t="s">
        <v>74</v>
      </c>
      <c r="R405" t="s">
        <v>74</v>
      </c>
      <c r="S405" t="s">
        <v>74</v>
      </c>
      <c r="T405" t="s">
        <v>74</v>
      </c>
      <c r="U405" t="s">
        <v>7831</v>
      </c>
      <c r="V405" t="s">
        <v>7832</v>
      </c>
      <c r="W405" t="s">
        <v>7833</v>
      </c>
      <c r="X405" t="s">
        <v>7834</v>
      </c>
      <c r="Y405" t="s">
        <v>7835</v>
      </c>
      <c r="Z405" t="s">
        <v>7836</v>
      </c>
      <c r="AA405" t="s">
        <v>7837</v>
      </c>
      <c r="AB405" t="s">
        <v>7838</v>
      </c>
      <c r="AC405" t="s">
        <v>7839</v>
      </c>
      <c r="AD405" t="s">
        <v>7840</v>
      </c>
      <c r="AE405" t="s">
        <v>7841</v>
      </c>
      <c r="AF405" t="s">
        <v>74</v>
      </c>
      <c r="AG405">
        <v>96</v>
      </c>
      <c r="AH405">
        <v>25</v>
      </c>
      <c r="AI405">
        <v>26</v>
      </c>
      <c r="AJ405">
        <v>1</v>
      </c>
      <c r="AK405">
        <v>31</v>
      </c>
      <c r="AL405" t="s">
        <v>358</v>
      </c>
      <c r="AM405" t="s">
        <v>359</v>
      </c>
      <c r="AN405" t="s">
        <v>3238</v>
      </c>
      <c r="AO405" t="s">
        <v>3239</v>
      </c>
      <c r="AP405" t="s">
        <v>3240</v>
      </c>
      <c r="AQ405" t="s">
        <v>74</v>
      </c>
      <c r="AR405" t="s">
        <v>3241</v>
      </c>
      <c r="AS405" t="s">
        <v>3242</v>
      </c>
      <c r="AT405" t="s">
        <v>74</v>
      </c>
      <c r="AU405">
        <v>2016</v>
      </c>
      <c r="AV405">
        <v>16</v>
      </c>
      <c r="AW405">
        <v>4</v>
      </c>
      <c r="AX405" t="s">
        <v>74</v>
      </c>
      <c r="AY405" t="s">
        <v>74</v>
      </c>
      <c r="AZ405" t="s">
        <v>74</v>
      </c>
      <c r="BA405" t="s">
        <v>74</v>
      </c>
      <c r="BB405">
        <v>2659</v>
      </c>
      <c r="BC405">
        <v>2673</v>
      </c>
      <c r="BD405" t="s">
        <v>74</v>
      </c>
      <c r="BE405" t="s">
        <v>7842</v>
      </c>
      <c r="BF405" t="str">
        <f>HYPERLINK("http://dx.doi.org/10.5194/acp-16-2659-2016","http://dx.doi.org/10.5194/acp-16-2659-2016")</f>
        <v>http://dx.doi.org/10.5194/acp-16-2659-2016</v>
      </c>
      <c r="BG405" t="s">
        <v>74</v>
      </c>
      <c r="BH405" t="s">
        <v>74</v>
      </c>
      <c r="BI405">
        <v>15</v>
      </c>
      <c r="BJ405" t="s">
        <v>3244</v>
      </c>
      <c r="BK405" t="s">
        <v>264</v>
      </c>
      <c r="BL405" t="s">
        <v>3245</v>
      </c>
      <c r="BM405" t="s">
        <v>5390</v>
      </c>
      <c r="BN405" t="s">
        <v>74</v>
      </c>
      <c r="BO405" t="s">
        <v>7843</v>
      </c>
      <c r="BP405" t="s">
        <v>74</v>
      </c>
      <c r="BQ405" t="s">
        <v>74</v>
      </c>
      <c r="BR405" t="s">
        <v>100</v>
      </c>
      <c r="BS405" t="s">
        <v>7844</v>
      </c>
      <c r="BT405" t="str">
        <f>HYPERLINK("https%3A%2F%2Fwww.webofscience.com%2Fwos%2Fwoscc%2Ffull-record%2FWOS:000372971500049","View Full Record in Web of Science")</f>
        <v>View Full Record in Web of Science</v>
      </c>
    </row>
    <row r="406" spans="1:72" x14ac:dyDescent="0.15">
      <c r="A406" t="s">
        <v>72</v>
      </c>
      <c r="B406" t="s">
        <v>7845</v>
      </c>
      <c r="C406" t="s">
        <v>74</v>
      </c>
      <c r="D406" t="s">
        <v>74</v>
      </c>
      <c r="E406" t="s">
        <v>74</v>
      </c>
      <c r="F406" t="s">
        <v>7846</v>
      </c>
      <c r="G406" t="s">
        <v>74</v>
      </c>
      <c r="H406" t="s">
        <v>74</v>
      </c>
      <c r="I406" t="s">
        <v>7847</v>
      </c>
      <c r="J406" t="s">
        <v>3226</v>
      </c>
      <c r="K406" t="s">
        <v>74</v>
      </c>
      <c r="L406" t="s">
        <v>74</v>
      </c>
      <c r="M406" t="s">
        <v>200</v>
      </c>
      <c r="N406" t="s">
        <v>79</v>
      </c>
      <c r="O406" t="s">
        <v>74</v>
      </c>
      <c r="P406" t="s">
        <v>74</v>
      </c>
      <c r="Q406" t="s">
        <v>74</v>
      </c>
      <c r="R406" t="s">
        <v>74</v>
      </c>
      <c r="S406" t="s">
        <v>74</v>
      </c>
      <c r="T406" t="s">
        <v>74</v>
      </c>
      <c r="U406" t="s">
        <v>7848</v>
      </c>
      <c r="V406" t="s">
        <v>7849</v>
      </c>
      <c r="W406" t="s">
        <v>7850</v>
      </c>
      <c r="X406" t="s">
        <v>7851</v>
      </c>
      <c r="Y406" t="s">
        <v>7852</v>
      </c>
      <c r="Z406" t="s">
        <v>7853</v>
      </c>
      <c r="AA406" t="s">
        <v>7854</v>
      </c>
      <c r="AB406" t="s">
        <v>7855</v>
      </c>
      <c r="AC406" t="s">
        <v>7856</v>
      </c>
      <c r="AD406" t="s">
        <v>7856</v>
      </c>
      <c r="AE406" t="s">
        <v>7857</v>
      </c>
      <c r="AF406" t="s">
        <v>74</v>
      </c>
      <c r="AG406">
        <v>316</v>
      </c>
      <c r="AH406">
        <v>317</v>
      </c>
      <c r="AI406">
        <v>354</v>
      </c>
      <c r="AJ406">
        <v>21</v>
      </c>
      <c r="AK406">
        <v>358</v>
      </c>
      <c r="AL406" t="s">
        <v>358</v>
      </c>
      <c r="AM406" t="s">
        <v>359</v>
      </c>
      <c r="AN406" t="s">
        <v>3238</v>
      </c>
      <c r="AO406" t="s">
        <v>3239</v>
      </c>
      <c r="AP406" t="s">
        <v>3240</v>
      </c>
      <c r="AQ406" t="s">
        <v>74</v>
      </c>
      <c r="AR406" t="s">
        <v>3241</v>
      </c>
      <c r="AS406" t="s">
        <v>3242</v>
      </c>
      <c r="AT406" t="s">
        <v>74</v>
      </c>
      <c r="AU406">
        <v>2016</v>
      </c>
      <c r="AV406">
        <v>16</v>
      </c>
      <c r="AW406">
        <v>6</v>
      </c>
      <c r="AX406" t="s">
        <v>74</v>
      </c>
      <c r="AY406" t="s">
        <v>74</v>
      </c>
      <c r="AZ406" t="s">
        <v>74</v>
      </c>
      <c r="BA406" t="s">
        <v>74</v>
      </c>
      <c r="BB406">
        <v>3761</v>
      </c>
      <c r="BC406">
        <v>3812</v>
      </c>
      <c r="BD406" t="s">
        <v>74</v>
      </c>
      <c r="BE406" t="s">
        <v>7858</v>
      </c>
      <c r="BF406" t="str">
        <f>HYPERLINK("http://dx.doi.org/10.5194/acp-16-3761-2016","http://dx.doi.org/10.5194/acp-16-3761-2016")</f>
        <v>http://dx.doi.org/10.5194/acp-16-3761-2016</v>
      </c>
      <c r="BG406" t="s">
        <v>74</v>
      </c>
      <c r="BH406" t="s">
        <v>74</v>
      </c>
      <c r="BI406">
        <v>52</v>
      </c>
      <c r="BJ406" t="s">
        <v>3244</v>
      </c>
      <c r="BK406" t="s">
        <v>264</v>
      </c>
      <c r="BL406" t="s">
        <v>3245</v>
      </c>
      <c r="BM406" t="s">
        <v>7859</v>
      </c>
      <c r="BN406" t="s">
        <v>74</v>
      </c>
      <c r="BO406" t="s">
        <v>7860</v>
      </c>
      <c r="BP406" t="s">
        <v>7861</v>
      </c>
      <c r="BQ406" t="s">
        <v>7862</v>
      </c>
      <c r="BR406" t="s">
        <v>100</v>
      </c>
      <c r="BS406" t="s">
        <v>7863</v>
      </c>
      <c r="BT406" t="str">
        <f>HYPERLINK("https%3A%2F%2Fwww.webofscience.com%2Fwos%2Fwoscc%2Ffull-record%2FWOS:000374702300006","View Full Record in Web of Science")</f>
        <v>View Full Record in Web of Science</v>
      </c>
    </row>
    <row r="407" spans="1:72" x14ac:dyDescent="0.15">
      <c r="A407" t="s">
        <v>72</v>
      </c>
      <c r="B407" t="s">
        <v>7864</v>
      </c>
      <c r="C407" t="s">
        <v>74</v>
      </c>
      <c r="D407" t="s">
        <v>74</v>
      </c>
      <c r="E407" t="s">
        <v>74</v>
      </c>
      <c r="F407" t="s">
        <v>7865</v>
      </c>
      <c r="G407" t="s">
        <v>74</v>
      </c>
      <c r="H407" t="s">
        <v>74</v>
      </c>
      <c r="I407" t="s">
        <v>7866</v>
      </c>
      <c r="J407" t="s">
        <v>3226</v>
      </c>
      <c r="K407" t="s">
        <v>74</v>
      </c>
      <c r="L407" t="s">
        <v>74</v>
      </c>
      <c r="M407" t="s">
        <v>200</v>
      </c>
      <c r="N407" t="s">
        <v>79</v>
      </c>
      <c r="O407" t="s">
        <v>74</v>
      </c>
      <c r="P407" t="s">
        <v>74</v>
      </c>
      <c r="Q407" t="s">
        <v>74</v>
      </c>
      <c r="R407" t="s">
        <v>74</v>
      </c>
      <c r="S407" t="s">
        <v>74</v>
      </c>
      <c r="T407" t="s">
        <v>74</v>
      </c>
      <c r="U407" t="s">
        <v>7867</v>
      </c>
      <c r="V407" t="s">
        <v>7868</v>
      </c>
      <c r="W407" t="s">
        <v>7869</v>
      </c>
      <c r="X407" t="s">
        <v>7870</v>
      </c>
      <c r="Y407" t="s">
        <v>7871</v>
      </c>
      <c r="Z407" t="s">
        <v>7872</v>
      </c>
      <c r="AA407" t="s">
        <v>7873</v>
      </c>
      <c r="AB407" t="s">
        <v>7874</v>
      </c>
      <c r="AC407" t="s">
        <v>7875</v>
      </c>
      <c r="AD407" t="s">
        <v>7876</v>
      </c>
      <c r="AE407" t="s">
        <v>7877</v>
      </c>
      <c r="AF407" t="s">
        <v>74</v>
      </c>
      <c r="AG407">
        <v>94</v>
      </c>
      <c r="AH407">
        <v>55</v>
      </c>
      <c r="AI407">
        <v>63</v>
      </c>
      <c r="AJ407">
        <v>4</v>
      </c>
      <c r="AK407">
        <v>72</v>
      </c>
      <c r="AL407" t="s">
        <v>358</v>
      </c>
      <c r="AM407" t="s">
        <v>359</v>
      </c>
      <c r="AN407" t="s">
        <v>3238</v>
      </c>
      <c r="AO407" t="s">
        <v>3239</v>
      </c>
      <c r="AP407" t="s">
        <v>3240</v>
      </c>
      <c r="AQ407" t="s">
        <v>74</v>
      </c>
      <c r="AR407" t="s">
        <v>3241</v>
      </c>
      <c r="AS407" t="s">
        <v>3242</v>
      </c>
      <c r="AT407" t="s">
        <v>74</v>
      </c>
      <c r="AU407">
        <v>2016</v>
      </c>
      <c r="AV407">
        <v>16</v>
      </c>
      <c r="AW407">
        <v>7</v>
      </c>
      <c r="AX407" t="s">
        <v>74</v>
      </c>
      <c r="AY407" t="s">
        <v>74</v>
      </c>
      <c r="AZ407" t="s">
        <v>74</v>
      </c>
      <c r="BA407" t="s">
        <v>74</v>
      </c>
      <c r="BB407">
        <v>4707</v>
      </c>
      <c r="BC407">
        <v>4724</v>
      </c>
      <c r="BD407" t="s">
        <v>74</v>
      </c>
      <c r="BE407" t="s">
        <v>7878</v>
      </c>
      <c r="BF407" t="str">
        <f>HYPERLINK("http://dx.doi.org/10.5194/acp-16-4707-2016","http://dx.doi.org/10.5194/acp-16-4707-2016")</f>
        <v>http://dx.doi.org/10.5194/acp-16-4707-2016</v>
      </c>
      <c r="BG407" t="s">
        <v>74</v>
      </c>
      <c r="BH407" t="s">
        <v>74</v>
      </c>
      <c r="BI407">
        <v>18</v>
      </c>
      <c r="BJ407" t="s">
        <v>3244</v>
      </c>
      <c r="BK407" t="s">
        <v>264</v>
      </c>
      <c r="BL407" t="s">
        <v>3245</v>
      </c>
      <c r="BM407" t="s">
        <v>5260</v>
      </c>
      <c r="BN407" t="s">
        <v>74</v>
      </c>
      <c r="BO407" t="s">
        <v>7879</v>
      </c>
      <c r="BP407" t="s">
        <v>74</v>
      </c>
      <c r="BQ407" t="s">
        <v>74</v>
      </c>
      <c r="BR407" t="s">
        <v>100</v>
      </c>
      <c r="BS407" t="s">
        <v>7880</v>
      </c>
      <c r="BT407" t="str">
        <f>HYPERLINK("https%3A%2F%2Fwww.webofscience.com%2Fwos%2Fwoscc%2Ffull-record%2FWOS:000374703000030","View Full Record in Web of Science")</f>
        <v>View Full Record in Web of Science</v>
      </c>
    </row>
    <row r="408" spans="1:72" x14ac:dyDescent="0.15">
      <c r="A408" t="s">
        <v>72</v>
      </c>
      <c r="B408" t="s">
        <v>7881</v>
      </c>
      <c r="C408" t="s">
        <v>74</v>
      </c>
      <c r="D408" t="s">
        <v>74</v>
      </c>
      <c r="E408" t="s">
        <v>74</v>
      </c>
      <c r="F408" t="s">
        <v>7882</v>
      </c>
      <c r="G408" t="s">
        <v>74</v>
      </c>
      <c r="H408" t="s">
        <v>74</v>
      </c>
      <c r="I408" t="s">
        <v>7883</v>
      </c>
      <c r="J408" t="s">
        <v>3226</v>
      </c>
      <c r="K408" t="s">
        <v>74</v>
      </c>
      <c r="L408" t="s">
        <v>74</v>
      </c>
      <c r="M408" t="s">
        <v>200</v>
      </c>
      <c r="N408" t="s">
        <v>79</v>
      </c>
      <c r="O408" t="s">
        <v>74</v>
      </c>
      <c r="P408" t="s">
        <v>74</v>
      </c>
      <c r="Q408" t="s">
        <v>74</v>
      </c>
      <c r="R408" t="s">
        <v>74</v>
      </c>
      <c r="S408" t="s">
        <v>74</v>
      </c>
      <c r="T408" t="s">
        <v>74</v>
      </c>
      <c r="U408" t="s">
        <v>7884</v>
      </c>
      <c r="V408" t="s">
        <v>7885</v>
      </c>
      <c r="W408" t="s">
        <v>7886</v>
      </c>
      <c r="X408" t="s">
        <v>7887</v>
      </c>
      <c r="Y408" t="s">
        <v>7888</v>
      </c>
      <c r="Z408" t="s">
        <v>7889</v>
      </c>
      <c r="AA408" t="s">
        <v>7890</v>
      </c>
      <c r="AB408" t="s">
        <v>7891</v>
      </c>
      <c r="AC408" t="s">
        <v>7892</v>
      </c>
      <c r="AD408" t="s">
        <v>7893</v>
      </c>
      <c r="AE408" t="s">
        <v>7894</v>
      </c>
      <c r="AF408" t="s">
        <v>74</v>
      </c>
      <c r="AG408">
        <v>51</v>
      </c>
      <c r="AH408">
        <v>21</v>
      </c>
      <c r="AI408">
        <v>21</v>
      </c>
      <c r="AJ408">
        <v>1</v>
      </c>
      <c r="AK408">
        <v>16</v>
      </c>
      <c r="AL408" t="s">
        <v>358</v>
      </c>
      <c r="AM408" t="s">
        <v>359</v>
      </c>
      <c r="AN408" t="s">
        <v>3238</v>
      </c>
      <c r="AO408" t="s">
        <v>3239</v>
      </c>
      <c r="AP408" t="s">
        <v>3240</v>
      </c>
      <c r="AQ408" t="s">
        <v>74</v>
      </c>
      <c r="AR408" t="s">
        <v>3241</v>
      </c>
      <c r="AS408" t="s">
        <v>3242</v>
      </c>
      <c r="AT408" t="s">
        <v>74</v>
      </c>
      <c r="AU408">
        <v>2016</v>
      </c>
      <c r="AV408">
        <v>16</v>
      </c>
      <c r="AW408">
        <v>11</v>
      </c>
      <c r="AX408" t="s">
        <v>74</v>
      </c>
      <c r="AY408" t="s">
        <v>74</v>
      </c>
      <c r="AZ408" t="s">
        <v>74</v>
      </c>
      <c r="BA408" t="s">
        <v>74</v>
      </c>
      <c r="BB408">
        <v>6883</v>
      </c>
      <c r="BC408">
        <v>6900</v>
      </c>
      <c r="BD408" t="s">
        <v>74</v>
      </c>
      <c r="BE408" t="s">
        <v>7895</v>
      </c>
      <c r="BF408" t="str">
        <f>HYPERLINK("http://dx.doi.org/10.5194/acp-16-6883-2016","http://dx.doi.org/10.5194/acp-16-6883-2016")</f>
        <v>http://dx.doi.org/10.5194/acp-16-6883-2016</v>
      </c>
      <c r="BG408" t="s">
        <v>74</v>
      </c>
      <c r="BH408" t="s">
        <v>74</v>
      </c>
      <c r="BI408">
        <v>18</v>
      </c>
      <c r="BJ408" t="s">
        <v>3244</v>
      </c>
      <c r="BK408" t="s">
        <v>264</v>
      </c>
      <c r="BL408" t="s">
        <v>3245</v>
      </c>
      <c r="BM408" t="s">
        <v>7896</v>
      </c>
      <c r="BN408" t="s">
        <v>74</v>
      </c>
      <c r="BO408" t="s">
        <v>2134</v>
      </c>
      <c r="BP408" t="s">
        <v>74</v>
      </c>
      <c r="BQ408" t="s">
        <v>74</v>
      </c>
      <c r="BR408" t="s">
        <v>100</v>
      </c>
      <c r="BS408" t="s">
        <v>7897</v>
      </c>
      <c r="BT408" t="str">
        <f>HYPERLINK("https%3A%2F%2Fwww.webofscience.com%2Fwos%2Fwoscc%2Ffull-record%2FWOS:000378354600014","View Full Record in Web of Science")</f>
        <v>View Full Record in Web of Science</v>
      </c>
    </row>
    <row r="409" spans="1:72" x14ac:dyDescent="0.15">
      <c r="A409" t="s">
        <v>72</v>
      </c>
      <c r="B409" t="s">
        <v>7898</v>
      </c>
      <c r="C409" t="s">
        <v>74</v>
      </c>
      <c r="D409" t="s">
        <v>74</v>
      </c>
      <c r="E409" t="s">
        <v>74</v>
      </c>
      <c r="F409" t="s">
        <v>7899</v>
      </c>
      <c r="G409" t="s">
        <v>74</v>
      </c>
      <c r="H409" t="s">
        <v>74</v>
      </c>
      <c r="I409" t="s">
        <v>7900</v>
      </c>
      <c r="J409" t="s">
        <v>3226</v>
      </c>
      <c r="K409" t="s">
        <v>74</v>
      </c>
      <c r="L409" t="s">
        <v>74</v>
      </c>
      <c r="M409" t="s">
        <v>200</v>
      </c>
      <c r="N409" t="s">
        <v>79</v>
      </c>
      <c r="O409" t="s">
        <v>74</v>
      </c>
      <c r="P409" t="s">
        <v>74</v>
      </c>
      <c r="Q409" t="s">
        <v>74</v>
      </c>
      <c r="R409" t="s">
        <v>74</v>
      </c>
      <c r="S409" t="s">
        <v>74</v>
      </c>
      <c r="T409" t="s">
        <v>74</v>
      </c>
      <c r="U409" t="s">
        <v>7901</v>
      </c>
      <c r="V409" t="s">
        <v>7902</v>
      </c>
      <c r="W409" t="s">
        <v>7903</v>
      </c>
      <c r="X409" t="s">
        <v>7904</v>
      </c>
      <c r="Y409" t="s">
        <v>7905</v>
      </c>
      <c r="Z409" t="s">
        <v>7906</v>
      </c>
      <c r="AA409" t="s">
        <v>7907</v>
      </c>
      <c r="AB409" t="s">
        <v>7908</v>
      </c>
      <c r="AC409" t="s">
        <v>7909</v>
      </c>
      <c r="AD409" t="s">
        <v>7910</v>
      </c>
      <c r="AE409" t="s">
        <v>7911</v>
      </c>
      <c r="AF409" t="s">
        <v>74</v>
      </c>
      <c r="AG409">
        <v>29</v>
      </c>
      <c r="AH409">
        <v>19</v>
      </c>
      <c r="AI409">
        <v>22</v>
      </c>
      <c r="AJ409">
        <v>1</v>
      </c>
      <c r="AK409">
        <v>19</v>
      </c>
      <c r="AL409" t="s">
        <v>358</v>
      </c>
      <c r="AM409" t="s">
        <v>359</v>
      </c>
      <c r="AN409" t="s">
        <v>3238</v>
      </c>
      <c r="AO409" t="s">
        <v>3239</v>
      </c>
      <c r="AP409" t="s">
        <v>3240</v>
      </c>
      <c r="AQ409" t="s">
        <v>74</v>
      </c>
      <c r="AR409" t="s">
        <v>3241</v>
      </c>
      <c r="AS409" t="s">
        <v>3242</v>
      </c>
      <c r="AT409" t="s">
        <v>74</v>
      </c>
      <c r="AU409">
        <v>2016</v>
      </c>
      <c r="AV409">
        <v>16</v>
      </c>
      <c r="AW409">
        <v>12</v>
      </c>
      <c r="AX409" t="s">
        <v>74</v>
      </c>
      <c r="AY409" t="s">
        <v>74</v>
      </c>
      <c r="AZ409" t="s">
        <v>74</v>
      </c>
      <c r="BA409" t="s">
        <v>74</v>
      </c>
      <c r="BB409">
        <v>7523</v>
      </c>
      <c r="BC409">
        <v>7529</v>
      </c>
      <c r="BD409" t="s">
        <v>74</v>
      </c>
      <c r="BE409" t="s">
        <v>7912</v>
      </c>
      <c r="BF409" t="str">
        <f>HYPERLINK("http://dx.doi.org/10.5194/acp-16-7523-2016","http://dx.doi.org/10.5194/acp-16-7523-2016")</f>
        <v>http://dx.doi.org/10.5194/acp-16-7523-2016</v>
      </c>
      <c r="BG409" t="s">
        <v>74</v>
      </c>
      <c r="BH409" t="s">
        <v>74</v>
      </c>
      <c r="BI409">
        <v>7</v>
      </c>
      <c r="BJ409" t="s">
        <v>3244</v>
      </c>
      <c r="BK409" t="s">
        <v>264</v>
      </c>
      <c r="BL409" t="s">
        <v>3245</v>
      </c>
      <c r="BM409" t="s">
        <v>7913</v>
      </c>
      <c r="BN409" t="s">
        <v>74</v>
      </c>
      <c r="BO409" t="s">
        <v>2134</v>
      </c>
      <c r="BP409" t="s">
        <v>74</v>
      </c>
      <c r="BQ409" t="s">
        <v>74</v>
      </c>
      <c r="BR409" t="s">
        <v>100</v>
      </c>
      <c r="BS409" t="s">
        <v>7914</v>
      </c>
      <c r="BT409" t="str">
        <f>HYPERLINK("https%3A%2F%2Fwww.webofscience.com%2Fwos%2Fwoscc%2Ffull-record%2FWOS:000379417300002","View Full Record in Web of Science")</f>
        <v>View Full Record in Web of Science</v>
      </c>
    </row>
    <row r="410" spans="1:72" x14ac:dyDescent="0.15">
      <c r="A410" t="s">
        <v>72</v>
      </c>
      <c r="B410" t="s">
        <v>7915</v>
      </c>
      <c r="C410" t="s">
        <v>74</v>
      </c>
      <c r="D410" t="s">
        <v>74</v>
      </c>
      <c r="E410" t="s">
        <v>74</v>
      </c>
      <c r="F410" t="s">
        <v>7916</v>
      </c>
      <c r="G410" t="s">
        <v>74</v>
      </c>
      <c r="H410" t="s">
        <v>74</v>
      </c>
      <c r="I410" t="s">
        <v>7917</v>
      </c>
      <c r="J410" t="s">
        <v>3226</v>
      </c>
      <c r="K410" t="s">
        <v>74</v>
      </c>
      <c r="L410" t="s">
        <v>74</v>
      </c>
      <c r="M410" t="s">
        <v>200</v>
      </c>
      <c r="N410" t="s">
        <v>79</v>
      </c>
      <c r="O410" t="s">
        <v>74</v>
      </c>
      <c r="P410" t="s">
        <v>74</v>
      </c>
      <c r="Q410" t="s">
        <v>74</v>
      </c>
      <c r="R410" t="s">
        <v>74</v>
      </c>
      <c r="S410" t="s">
        <v>74</v>
      </c>
      <c r="T410" t="s">
        <v>74</v>
      </c>
      <c r="U410" t="s">
        <v>7918</v>
      </c>
      <c r="V410" t="s">
        <v>7919</v>
      </c>
      <c r="W410" t="s">
        <v>7920</v>
      </c>
      <c r="X410" t="s">
        <v>7921</v>
      </c>
      <c r="Y410" t="s">
        <v>7922</v>
      </c>
      <c r="Z410" t="s">
        <v>7923</v>
      </c>
      <c r="AA410" t="s">
        <v>7924</v>
      </c>
      <c r="AB410" t="s">
        <v>7925</v>
      </c>
      <c r="AC410" t="s">
        <v>7926</v>
      </c>
      <c r="AD410" t="s">
        <v>7927</v>
      </c>
      <c r="AE410" t="s">
        <v>7928</v>
      </c>
      <c r="AF410" t="s">
        <v>74</v>
      </c>
      <c r="AG410">
        <v>37</v>
      </c>
      <c r="AH410">
        <v>26</v>
      </c>
      <c r="AI410">
        <v>27</v>
      </c>
      <c r="AJ410">
        <v>2</v>
      </c>
      <c r="AK410">
        <v>13</v>
      </c>
      <c r="AL410" t="s">
        <v>358</v>
      </c>
      <c r="AM410" t="s">
        <v>359</v>
      </c>
      <c r="AN410" t="s">
        <v>3238</v>
      </c>
      <c r="AO410" t="s">
        <v>3239</v>
      </c>
      <c r="AP410" t="s">
        <v>3240</v>
      </c>
      <c r="AQ410" t="s">
        <v>74</v>
      </c>
      <c r="AR410" t="s">
        <v>3241</v>
      </c>
      <c r="AS410" t="s">
        <v>3242</v>
      </c>
      <c r="AT410" t="s">
        <v>74</v>
      </c>
      <c r="AU410">
        <v>2016</v>
      </c>
      <c r="AV410">
        <v>16</v>
      </c>
      <c r="AW410">
        <v>12</v>
      </c>
      <c r="AX410" t="s">
        <v>74</v>
      </c>
      <c r="AY410" t="s">
        <v>74</v>
      </c>
      <c r="AZ410" t="s">
        <v>74</v>
      </c>
      <c r="BA410" t="s">
        <v>74</v>
      </c>
      <c r="BB410">
        <v>8053</v>
      </c>
      <c r="BC410">
        <v>8069</v>
      </c>
      <c r="BD410" t="s">
        <v>74</v>
      </c>
      <c r="BE410" t="s">
        <v>7929</v>
      </c>
      <c r="BF410" t="str">
        <f>HYPERLINK("http://dx.doi.org/10.5194/acp-16-8053-2016","http://dx.doi.org/10.5194/acp-16-8053-2016")</f>
        <v>http://dx.doi.org/10.5194/acp-16-8053-2016</v>
      </c>
      <c r="BG410" t="s">
        <v>74</v>
      </c>
      <c r="BH410" t="s">
        <v>74</v>
      </c>
      <c r="BI410">
        <v>17</v>
      </c>
      <c r="BJ410" t="s">
        <v>3244</v>
      </c>
      <c r="BK410" t="s">
        <v>264</v>
      </c>
      <c r="BL410" t="s">
        <v>3245</v>
      </c>
      <c r="BM410" t="s">
        <v>7913</v>
      </c>
      <c r="BN410" t="s">
        <v>74</v>
      </c>
      <c r="BO410" t="s">
        <v>4816</v>
      </c>
      <c r="BP410" t="s">
        <v>74</v>
      </c>
      <c r="BQ410" t="s">
        <v>74</v>
      </c>
      <c r="BR410" t="s">
        <v>100</v>
      </c>
      <c r="BS410" t="s">
        <v>7930</v>
      </c>
      <c r="BT410" t="str">
        <f>HYPERLINK("https%3A%2F%2Fwww.webofscience.com%2Fwos%2Fwoscc%2Ffull-record%2FWOS:000379417300036","View Full Record in Web of Science")</f>
        <v>View Full Record in Web of Science</v>
      </c>
    </row>
    <row r="411" spans="1:72" x14ac:dyDescent="0.15">
      <c r="A411" t="s">
        <v>72</v>
      </c>
      <c r="B411" t="s">
        <v>7931</v>
      </c>
      <c r="C411" t="s">
        <v>74</v>
      </c>
      <c r="D411" t="s">
        <v>74</v>
      </c>
      <c r="E411" t="s">
        <v>74</v>
      </c>
      <c r="F411" t="s">
        <v>7932</v>
      </c>
      <c r="G411" t="s">
        <v>74</v>
      </c>
      <c r="H411" t="s">
        <v>74</v>
      </c>
      <c r="I411" t="s">
        <v>7933</v>
      </c>
      <c r="J411" t="s">
        <v>3226</v>
      </c>
      <c r="K411" t="s">
        <v>74</v>
      </c>
      <c r="L411" t="s">
        <v>74</v>
      </c>
      <c r="M411" t="s">
        <v>200</v>
      </c>
      <c r="N411" t="s">
        <v>79</v>
      </c>
      <c r="O411" t="s">
        <v>74</v>
      </c>
      <c r="P411" t="s">
        <v>74</v>
      </c>
      <c r="Q411" t="s">
        <v>74</v>
      </c>
      <c r="R411" t="s">
        <v>74</v>
      </c>
      <c r="S411" t="s">
        <v>74</v>
      </c>
      <c r="T411" t="s">
        <v>74</v>
      </c>
      <c r="U411" t="s">
        <v>7934</v>
      </c>
      <c r="V411" t="s">
        <v>7935</v>
      </c>
      <c r="W411" t="s">
        <v>7936</v>
      </c>
      <c r="X411" t="s">
        <v>7937</v>
      </c>
      <c r="Y411" t="s">
        <v>7938</v>
      </c>
      <c r="Z411" t="s">
        <v>7939</v>
      </c>
      <c r="AA411" t="s">
        <v>7940</v>
      </c>
      <c r="AB411" t="s">
        <v>7941</v>
      </c>
      <c r="AC411" t="s">
        <v>7942</v>
      </c>
      <c r="AD411" t="s">
        <v>7943</v>
      </c>
      <c r="AE411" t="s">
        <v>7944</v>
      </c>
      <c r="AF411" t="s">
        <v>74</v>
      </c>
      <c r="AG411">
        <v>70</v>
      </c>
      <c r="AH411">
        <v>45</v>
      </c>
      <c r="AI411">
        <v>49</v>
      </c>
      <c r="AJ411">
        <v>3</v>
      </c>
      <c r="AK411">
        <v>31</v>
      </c>
      <c r="AL411" t="s">
        <v>358</v>
      </c>
      <c r="AM411" t="s">
        <v>359</v>
      </c>
      <c r="AN411" t="s">
        <v>3238</v>
      </c>
      <c r="AO411" t="s">
        <v>3239</v>
      </c>
      <c r="AP411" t="s">
        <v>3240</v>
      </c>
      <c r="AQ411" t="s">
        <v>74</v>
      </c>
      <c r="AR411" t="s">
        <v>3241</v>
      </c>
      <c r="AS411" t="s">
        <v>3242</v>
      </c>
      <c r="AT411" t="s">
        <v>74</v>
      </c>
      <c r="AU411">
        <v>2016</v>
      </c>
      <c r="AV411">
        <v>16</v>
      </c>
      <c r="AW411">
        <v>13</v>
      </c>
      <c r="AX411" t="s">
        <v>74</v>
      </c>
      <c r="AY411" t="s">
        <v>74</v>
      </c>
      <c r="AZ411" t="s">
        <v>74</v>
      </c>
      <c r="BA411" t="s">
        <v>74</v>
      </c>
      <c r="BB411">
        <v>8521</v>
      </c>
      <c r="BC411">
        <v>8538</v>
      </c>
      <c r="BD411" t="s">
        <v>74</v>
      </c>
      <c r="BE411" t="s">
        <v>7945</v>
      </c>
      <c r="BF411" t="str">
        <f>HYPERLINK("http://dx.doi.org/10.5194/acp-16-8521-2016","http://dx.doi.org/10.5194/acp-16-8521-2016")</f>
        <v>http://dx.doi.org/10.5194/acp-16-8521-2016</v>
      </c>
      <c r="BG411" t="s">
        <v>74</v>
      </c>
      <c r="BH411" t="s">
        <v>74</v>
      </c>
      <c r="BI411">
        <v>18</v>
      </c>
      <c r="BJ411" t="s">
        <v>3244</v>
      </c>
      <c r="BK411" t="s">
        <v>264</v>
      </c>
      <c r="BL411" t="s">
        <v>3245</v>
      </c>
      <c r="BM411" t="s">
        <v>3339</v>
      </c>
      <c r="BN411" t="s">
        <v>74</v>
      </c>
      <c r="BO411" t="s">
        <v>2134</v>
      </c>
      <c r="BP411" t="s">
        <v>74</v>
      </c>
      <c r="BQ411" t="s">
        <v>74</v>
      </c>
      <c r="BR411" t="s">
        <v>100</v>
      </c>
      <c r="BS411" t="s">
        <v>7946</v>
      </c>
      <c r="BT411" t="str">
        <f>HYPERLINK("https%3A%2F%2Fwww.webofscience.com%2Fwos%2Fwoscc%2Ffull-record%2FWOS:000381091400030","View Full Record in Web of Science")</f>
        <v>View Full Record in Web of Science</v>
      </c>
    </row>
    <row r="412" spans="1:72" x14ac:dyDescent="0.15">
      <c r="A412" t="s">
        <v>72</v>
      </c>
      <c r="B412" t="s">
        <v>7947</v>
      </c>
      <c r="C412" t="s">
        <v>74</v>
      </c>
      <c r="D412" t="s">
        <v>74</v>
      </c>
      <c r="E412" t="s">
        <v>74</v>
      </c>
      <c r="F412" t="s">
        <v>7948</v>
      </c>
      <c r="G412" t="s">
        <v>74</v>
      </c>
      <c r="H412" t="s">
        <v>74</v>
      </c>
      <c r="I412" t="s">
        <v>7949</v>
      </c>
      <c r="J412" t="s">
        <v>7950</v>
      </c>
      <c r="K412" t="s">
        <v>74</v>
      </c>
      <c r="L412" t="s">
        <v>74</v>
      </c>
      <c r="M412" t="s">
        <v>200</v>
      </c>
      <c r="N412" t="s">
        <v>79</v>
      </c>
      <c r="O412" t="s">
        <v>74</v>
      </c>
      <c r="P412" t="s">
        <v>74</v>
      </c>
      <c r="Q412" t="s">
        <v>74</v>
      </c>
      <c r="R412" t="s">
        <v>74</v>
      </c>
      <c r="S412" t="s">
        <v>74</v>
      </c>
      <c r="T412" t="s">
        <v>74</v>
      </c>
      <c r="U412" t="s">
        <v>7951</v>
      </c>
      <c r="V412" t="s">
        <v>7952</v>
      </c>
      <c r="W412" t="s">
        <v>7953</v>
      </c>
      <c r="X412" t="s">
        <v>7954</v>
      </c>
      <c r="Y412" t="s">
        <v>7955</v>
      </c>
      <c r="Z412" t="s">
        <v>7956</v>
      </c>
      <c r="AA412" t="s">
        <v>7957</v>
      </c>
      <c r="AB412" t="s">
        <v>7958</v>
      </c>
      <c r="AC412" t="s">
        <v>7959</v>
      </c>
      <c r="AD412" t="s">
        <v>7960</v>
      </c>
      <c r="AE412" t="s">
        <v>7961</v>
      </c>
      <c r="AF412" t="s">
        <v>74</v>
      </c>
      <c r="AG412">
        <v>53</v>
      </c>
      <c r="AH412">
        <v>24</v>
      </c>
      <c r="AI412">
        <v>24</v>
      </c>
      <c r="AJ412">
        <v>0</v>
      </c>
      <c r="AK412">
        <v>15</v>
      </c>
      <c r="AL412" t="s">
        <v>358</v>
      </c>
      <c r="AM412" t="s">
        <v>359</v>
      </c>
      <c r="AN412" t="s">
        <v>3238</v>
      </c>
      <c r="AO412" t="s">
        <v>7962</v>
      </c>
      <c r="AP412" t="s">
        <v>7963</v>
      </c>
      <c r="AQ412" t="s">
        <v>74</v>
      </c>
      <c r="AR412" t="s">
        <v>7964</v>
      </c>
      <c r="AS412" t="s">
        <v>7965</v>
      </c>
      <c r="AT412" t="s">
        <v>74</v>
      </c>
      <c r="AU412">
        <v>2016</v>
      </c>
      <c r="AV412">
        <v>9</v>
      </c>
      <c r="AW412">
        <v>6</v>
      </c>
      <c r="AX412" t="s">
        <v>74</v>
      </c>
      <c r="AY412" t="s">
        <v>74</v>
      </c>
      <c r="AZ412" t="s">
        <v>74</v>
      </c>
      <c r="BA412" t="s">
        <v>74</v>
      </c>
      <c r="BB412">
        <v>2545</v>
      </c>
      <c r="BC412">
        <v>2565</v>
      </c>
      <c r="BD412" t="s">
        <v>74</v>
      </c>
      <c r="BE412" t="s">
        <v>7966</v>
      </c>
      <c r="BF412" t="str">
        <f>HYPERLINK("http://dx.doi.org/10.5194/amt-9-2545-2016","http://dx.doi.org/10.5194/amt-9-2545-2016")</f>
        <v>http://dx.doi.org/10.5194/amt-9-2545-2016</v>
      </c>
      <c r="BG412" t="s">
        <v>74</v>
      </c>
      <c r="BH412" t="s">
        <v>74</v>
      </c>
      <c r="BI412">
        <v>21</v>
      </c>
      <c r="BJ412" t="s">
        <v>1721</v>
      </c>
      <c r="BK412" t="s">
        <v>264</v>
      </c>
      <c r="BL412" t="s">
        <v>1721</v>
      </c>
      <c r="BM412" t="s">
        <v>7967</v>
      </c>
      <c r="BN412" t="s">
        <v>74</v>
      </c>
      <c r="BO412" t="s">
        <v>2134</v>
      </c>
      <c r="BP412" t="s">
        <v>74</v>
      </c>
      <c r="BQ412" t="s">
        <v>74</v>
      </c>
      <c r="BR412" t="s">
        <v>100</v>
      </c>
      <c r="BS412" t="s">
        <v>7968</v>
      </c>
      <c r="BT412" t="str">
        <f>HYPERLINK("https%3A%2F%2Fwww.webofscience.com%2Fwos%2Fwoscc%2Ffull-record%2FWOS:000379397100006","View Full Record in Web of Science")</f>
        <v>View Full Record in Web of Science</v>
      </c>
    </row>
    <row r="413" spans="1:72" x14ac:dyDescent="0.15">
      <c r="A413" t="s">
        <v>72</v>
      </c>
      <c r="B413" t="s">
        <v>7969</v>
      </c>
      <c r="C413" t="s">
        <v>74</v>
      </c>
      <c r="D413" t="s">
        <v>74</v>
      </c>
      <c r="E413" t="s">
        <v>74</v>
      </c>
      <c r="F413" t="s">
        <v>7970</v>
      </c>
      <c r="G413" t="s">
        <v>74</v>
      </c>
      <c r="H413" t="s">
        <v>74</v>
      </c>
      <c r="I413" t="s">
        <v>7971</v>
      </c>
      <c r="J413" t="s">
        <v>7950</v>
      </c>
      <c r="K413" t="s">
        <v>74</v>
      </c>
      <c r="L413" t="s">
        <v>74</v>
      </c>
      <c r="M413" t="s">
        <v>200</v>
      </c>
      <c r="N413" t="s">
        <v>79</v>
      </c>
      <c r="O413" t="s">
        <v>74</v>
      </c>
      <c r="P413" t="s">
        <v>74</v>
      </c>
      <c r="Q413" t="s">
        <v>74</v>
      </c>
      <c r="R413" t="s">
        <v>74</v>
      </c>
      <c r="S413" t="s">
        <v>74</v>
      </c>
      <c r="T413" t="s">
        <v>74</v>
      </c>
      <c r="U413" t="s">
        <v>7972</v>
      </c>
      <c r="V413" t="s">
        <v>7973</v>
      </c>
      <c r="W413" t="s">
        <v>7974</v>
      </c>
      <c r="X413" t="s">
        <v>7975</v>
      </c>
      <c r="Y413" t="s">
        <v>7976</v>
      </c>
      <c r="Z413" t="s">
        <v>7977</v>
      </c>
      <c r="AA413" t="s">
        <v>7978</v>
      </c>
      <c r="AB413" t="s">
        <v>7979</v>
      </c>
      <c r="AC413" t="s">
        <v>7980</v>
      </c>
      <c r="AD413" t="s">
        <v>7981</v>
      </c>
      <c r="AE413" t="s">
        <v>7982</v>
      </c>
      <c r="AF413" t="s">
        <v>74</v>
      </c>
      <c r="AG413">
        <v>49</v>
      </c>
      <c r="AH413">
        <v>46</v>
      </c>
      <c r="AI413">
        <v>49</v>
      </c>
      <c r="AJ413">
        <v>3</v>
      </c>
      <c r="AK413">
        <v>34</v>
      </c>
      <c r="AL413" t="s">
        <v>358</v>
      </c>
      <c r="AM413" t="s">
        <v>359</v>
      </c>
      <c r="AN413" t="s">
        <v>3238</v>
      </c>
      <c r="AO413" t="s">
        <v>7962</v>
      </c>
      <c r="AP413" t="s">
        <v>7963</v>
      </c>
      <c r="AQ413" t="s">
        <v>74</v>
      </c>
      <c r="AR413" t="s">
        <v>7964</v>
      </c>
      <c r="AS413" t="s">
        <v>7965</v>
      </c>
      <c r="AT413" t="s">
        <v>74</v>
      </c>
      <c r="AU413">
        <v>2016</v>
      </c>
      <c r="AV413">
        <v>9</v>
      </c>
      <c r="AW413">
        <v>7</v>
      </c>
      <c r="AX413" t="s">
        <v>74</v>
      </c>
      <c r="AY413" t="s">
        <v>74</v>
      </c>
      <c r="AZ413" t="s">
        <v>74</v>
      </c>
      <c r="BA413" t="s">
        <v>74</v>
      </c>
      <c r="BB413">
        <v>2781</v>
      </c>
      <c r="BC413">
        <v>2795</v>
      </c>
      <c r="BD413" t="s">
        <v>74</v>
      </c>
      <c r="BE413" t="s">
        <v>7983</v>
      </c>
      <c r="BF413" t="str">
        <f>HYPERLINK("http://dx.doi.org/10.5194/amt-9-2781-2016","http://dx.doi.org/10.5194/amt-9-2781-2016")</f>
        <v>http://dx.doi.org/10.5194/amt-9-2781-2016</v>
      </c>
      <c r="BG413" t="s">
        <v>74</v>
      </c>
      <c r="BH413" t="s">
        <v>74</v>
      </c>
      <c r="BI413">
        <v>15</v>
      </c>
      <c r="BJ413" t="s">
        <v>1721</v>
      </c>
      <c r="BK413" t="s">
        <v>264</v>
      </c>
      <c r="BL413" t="s">
        <v>1721</v>
      </c>
      <c r="BM413" t="s">
        <v>7984</v>
      </c>
      <c r="BN413" t="s">
        <v>74</v>
      </c>
      <c r="BO413" t="s">
        <v>7985</v>
      </c>
      <c r="BP413" t="s">
        <v>74</v>
      </c>
      <c r="BQ413" t="s">
        <v>74</v>
      </c>
      <c r="BR413" t="s">
        <v>100</v>
      </c>
      <c r="BS413" t="s">
        <v>7986</v>
      </c>
      <c r="BT413" t="str">
        <f>HYPERLINK("https%3A%2F%2Fwww.webofscience.com%2Fwos%2Fwoscc%2Ffull-record%2FWOS:000379417200002","View Full Record in Web of Science")</f>
        <v>View Full Record in Web of Science</v>
      </c>
    </row>
    <row r="414" spans="1:72" x14ac:dyDescent="0.15">
      <c r="A414" t="s">
        <v>72</v>
      </c>
      <c r="B414" t="s">
        <v>7987</v>
      </c>
      <c r="C414" t="s">
        <v>74</v>
      </c>
      <c r="D414" t="s">
        <v>74</v>
      </c>
      <c r="E414" t="s">
        <v>74</v>
      </c>
      <c r="F414" t="s">
        <v>7988</v>
      </c>
      <c r="G414" t="s">
        <v>74</v>
      </c>
      <c r="H414" t="s">
        <v>74</v>
      </c>
      <c r="I414" t="s">
        <v>7989</v>
      </c>
      <c r="J414" t="s">
        <v>7950</v>
      </c>
      <c r="K414" t="s">
        <v>74</v>
      </c>
      <c r="L414" t="s">
        <v>74</v>
      </c>
      <c r="M414" t="s">
        <v>200</v>
      </c>
      <c r="N414" t="s">
        <v>79</v>
      </c>
      <c r="O414" t="s">
        <v>74</v>
      </c>
      <c r="P414" t="s">
        <v>74</v>
      </c>
      <c r="Q414" t="s">
        <v>74</v>
      </c>
      <c r="R414" t="s">
        <v>74</v>
      </c>
      <c r="S414" t="s">
        <v>74</v>
      </c>
      <c r="T414" t="s">
        <v>74</v>
      </c>
      <c r="U414" t="s">
        <v>7990</v>
      </c>
      <c r="V414" t="s">
        <v>7991</v>
      </c>
      <c r="W414" t="s">
        <v>7992</v>
      </c>
      <c r="X414" t="s">
        <v>7993</v>
      </c>
      <c r="Y414" t="s">
        <v>7994</v>
      </c>
      <c r="Z414" t="s">
        <v>7995</v>
      </c>
      <c r="AA414" t="s">
        <v>7996</v>
      </c>
      <c r="AB414" t="s">
        <v>7997</v>
      </c>
      <c r="AC414" t="s">
        <v>7998</v>
      </c>
      <c r="AD414" t="s">
        <v>7999</v>
      </c>
      <c r="AE414" t="s">
        <v>8000</v>
      </c>
      <c r="AF414" t="s">
        <v>74</v>
      </c>
      <c r="AG414">
        <v>70</v>
      </c>
      <c r="AH414">
        <v>4</v>
      </c>
      <c r="AI414">
        <v>4</v>
      </c>
      <c r="AJ414">
        <v>0</v>
      </c>
      <c r="AK414">
        <v>8</v>
      </c>
      <c r="AL414" t="s">
        <v>358</v>
      </c>
      <c r="AM414" t="s">
        <v>359</v>
      </c>
      <c r="AN414" t="s">
        <v>3238</v>
      </c>
      <c r="AO414" t="s">
        <v>7962</v>
      </c>
      <c r="AP414" t="s">
        <v>7963</v>
      </c>
      <c r="AQ414" t="s">
        <v>74</v>
      </c>
      <c r="AR414" t="s">
        <v>7964</v>
      </c>
      <c r="AS414" t="s">
        <v>7965</v>
      </c>
      <c r="AT414" t="s">
        <v>74</v>
      </c>
      <c r="AU414">
        <v>2016</v>
      </c>
      <c r="AV414">
        <v>9</v>
      </c>
      <c r="AW414">
        <v>7</v>
      </c>
      <c r="AX414" t="s">
        <v>74</v>
      </c>
      <c r="AY414" t="s">
        <v>74</v>
      </c>
      <c r="AZ414" t="s">
        <v>74</v>
      </c>
      <c r="BA414" t="s">
        <v>74</v>
      </c>
      <c r="BB414">
        <v>3309</v>
      </c>
      <c r="BC414">
        <v>3323</v>
      </c>
      <c r="BD414" t="s">
        <v>74</v>
      </c>
      <c r="BE414" t="s">
        <v>8001</v>
      </c>
      <c r="BF414" t="str">
        <f>HYPERLINK("http://dx.doi.org/10.5194/amt-9-3309-2016","http://dx.doi.org/10.5194/amt-9-3309-2016")</f>
        <v>http://dx.doi.org/10.5194/amt-9-3309-2016</v>
      </c>
      <c r="BG414" t="s">
        <v>74</v>
      </c>
      <c r="BH414" t="s">
        <v>74</v>
      </c>
      <c r="BI414">
        <v>15</v>
      </c>
      <c r="BJ414" t="s">
        <v>1721</v>
      </c>
      <c r="BK414" t="s">
        <v>264</v>
      </c>
      <c r="BL414" t="s">
        <v>1721</v>
      </c>
      <c r="BM414" t="s">
        <v>8002</v>
      </c>
      <c r="BN414" t="s">
        <v>74</v>
      </c>
      <c r="BO414" t="s">
        <v>2134</v>
      </c>
      <c r="BP414" t="s">
        <v>74</v>
      </c>
      <c r="BQ414" t="s">
        <v>74</v>
      </c>
      <c r="BR414" t="s">
        <v>100</v>
      </c>
      <c r="BS414" t="s">
        <v>8003</v>
      </c>
      <c r="BT414" t="str">
        <f>HYPERLINK("https%3A%2F%2Fwww.webofscience.com%2Fwos%2Fwoscc%2Ffull-record%2FWOS:000381094100022","View Full Record in Web of Science")</f>
        <v>View Full Record in Web of Science</v>
      </c>
    </row>
    <row r="415" spans="1:72" x14ac:dyDescent="0.15">
      <c r="A415" t="s">
        <v>72</v>
      </c>
      <c r="B415" t="s">
        <v>8004</v>
      </c>
      <c r="C415" t="s">
        <v>74</v>
      </c>
      <c r="D415" t="s">
        <v>74</v>
      </c>
      <c r="E415" t="s">
        <v>74</v>
      </c>
      <c r="F415" t="s">
        <v>8005</v>
      </c>
      <c r="G415" t="s">
        <v>74</v>
      </c>
      <c r="H415" t="s">
        <v>74</v>
      </c>
      <c r="I415" t="s">
        <v>8006</v>
      </c>
      <c r="J415" t="s">
        <v>8007</v>
      </c>
      <c r="K415" t="s">
        <v>74</v>
      </c>
      <c r="L415" t="s">
        <v>74</v>
      </c>
      <c r="M415" t="s">
        <v>200</v>
      </c>
      <c r="N415" t="s">
        <v>79</v>
      </c>
      <c r="O415" t="s">
        <v>74</v>
      </c>
      <c r="P415" t="s">
        <v>74</v>
      </c>
      <c r="Q415" t="s">
        <v>74</v>
      </c>
      <c r="R415" t="s">
        <v>74</v>
      </c>
      <c r="S415" t="s">
        <v>74</v>
      </c>
      <c r="T415" t="s">
        <v>8008</v>
      </c>
      <c r="U415" t="s">
        <v>8009</v>
      </c>
      <c r="V415" t="s">
        <v>8010</v>
      </c>
      <c r="W415" t="s">
        <v>8011</v>
      </c>
      <c r="X415" t="s">
        <v>8012</v>
      </c>
      <c r="Y415" t="s">
        <v>8013</v>
      </c>
      <c r="Z415" t="s">
        <v>8014</v>
      </c>
      <c r="AA415" t="s">
        <v>8015</v>
      </c>
      <c r="AB415" t="s">
        <v>8016</v>
      </c>
      <c r="AC415" t="s">
        <v>8017</v>
      </c>
      <c r="AD415" t="s">
        <v>8018</v>
      </c>
      <c r="AE415" t="s">
        <v>8019</v>
      </c>
      <c r="AF415" t="s">
        <v>74</v>
      </c>
      <c r="AG415">
        <v>116</v>
      </c>
      <c r="AH415">
        <v>19</v>
      </c>
      <c r="AI415">
        <v>22</v>
      </c>
      <c r="AJ415">
        <v>2</v>
      </c>
      <c r="AK415">
        <v>45</v>
      </c>
      <c r="AL415" t="s">
        <v>380</v>
      </c>
      <c r="AM415" t="s">
        <v>381</v>
      </c>
      <c r="AN415" t="s">
        <v>382</v>
      </c>
      <c r="AO415" t="s">
        <v>8020</v>
      </c>
      <c r="AP415" t="s">
        <v>8021</v>
      </c>
      <c r="AQ415" t="s">
        <v>74</v>
      </c>
      <c r="AR415" t="s">
        <v>8022</v>
      </c>
      <c r="AS415" t="s">
        <v>8023</v>
      </c>
      <c r="AT415" t="s">
        <v>74</v>
      </c>
      <c r="AU415">
        <v>2016</v>
      </c>
      <c r="AV415">
        <v>64</v>
      </c>
      <c r="AW415">
        <v>5</v>
      </c>
      <c r="AX415" t="s">
        <v>74</v>
      </c>
      <c r="AY415" t="s">
        <v>74</v>
      </c>
      <c r="AZ415" t="s">
        <v>74</v>
      </c>
      <c r="BA415" t="s">
        <v>74</v>
      </c>
      <c r="BB415">
        <v>427</v>
      </c>
      <c r="BC415">
        <v>440</v>
      </c>
      <c r="BD415" t="s">
        <v>74</v>
      </c>
      <c r="BE415" t="s">
        <v>8024</v>
      </c>
      <c r="BF415" t="str">
        <f>HYPERLINK("http://dx.doi.org/10.1071/BT16032","http://dx.doi.org/10.1071/BT16032")</f>
        <v>http://dx.doi.org/10.1071/BT16032</v>
      </c>
      <c r="BG415" t="s">
        <v>74</v>
      </c>
      <c r="BH415" t="s">
        <v>74</v>
      </c>
      <c r="BI415">
        <v>14</v>
      </c>
      <c r="BJ415" t="s">
        <v>1276</v>
      </c>
      <c r="BK415" t="s">
        <v>710</v>
      </c>
      <c r="BL415" t="s">
        <v>1276</v>
      </c>
      <c r="BM415" t="s">
        <v>8025</v>
      </c>
      <c r="BN415" t="s">
        <v>74</v>
      </c>
      <c r="BO415" t="s">
        <v>74</v>
      </c>
      <c r="BP415" t="s">
        <v>74</v>
      </c>
      <c r="BQ415" t="s">
        <v>74</v>
      </c>
      <c r="BR415" t="s">
        <v>100</v>
      </c>
      <c r="BS415" t="s">
        <v>8026</v>
      </c>
      <c r="BT415" t="str">
        <f>HYPERLINK("https%3A%2F%2Fwww.webofscience.com%2Fwos%2Fwoscc%2Ffull-record%2FWOS:000383165400006","View Full Record in Web of Science")</f>
        <v>View Full Record in Web of Science</v>
      </c>
    </row>
    <row r="416" spans="1:72" x14ac:dyDescent="0.15">
      <c r="A416" t="s">
        <v>72</v>
      </c>
      <c r="B416" t="s">
        <v>8027</v>
      </c>
      <c r="C416" t="s">
        <v>74</v>
      </c>
      <c r="D416" t="s">
        <v>74</v>
      </c>
      <c r="E416" t="s">
        <v>74</v>
      </c>
      <c r="F416" t="s">
        <v>8028</v>
      </c>
      <c r="G416" t="s">
        <v>74</v>
      </c>
      <c r="H416" t="s">
        <v>74</v>
      </c>
      <c r="I416" t="s">
        <v>8029</v>
      </c>
      <c r="J416" t="s">
        <v>3502</v>
      </c>
      <c r="K416" t="s">
        <v>74</v>
      </c>
      <c r="L416" t="s">
        <v>74</v>
      </c>
      <c r="M416" t="s">
        <v>200</v>
      </c>
      <c r="N416" t="s">
        <v>79</v>
      </c>
      <c r="O416" t="s">
        <v>74</v>
      </c>
      <c r="P416" t="s">
        <v>74</v>
      </c>
      <c r="Q416" t="s">
        <v>74</v>
      </c>
      <c r="R416" t="s">
        <v>74</v>
      </c>
      <c r="S416" t="s">
        <v>74</v>
      </c>
      <c r="T416" t="s">
        <v>74</v>
      </c>
      <c r="U416" t="s">
        <v>8030</v>
      </c>
      <c r="V416" t="s">
        <v>8031</v>
      </c>
      <c r="W416" t="s">
        <v>8032</v>
      </c>
      <c r="X416" t="s">
        <v>8033</v>
      </c>
      <c r="Y416" t="s">
        <v>8034</v>
      </c>
      <c r="Z416" t="s">
        <v>8035</v>
      </c>
      <c r="AA416" t="s">
        <v>8036</v>
      </c>
      <c r="AB416" t="s">
        <v>8037</v>
      </c>
      <c r="AC416" t="s">
        <v>8038</v>
      </c>
      <c r="AD416" t="s">
        <v>8039</v>
      </c>
      <c r="AE416" t="s">
        <v>8040</v>
      </c>
      <c r="AF416" t="s">
        <v>74</v>
      </c>
      <c r="AG416">
        <v>73</v>
      </c>
      <c r="AH416">
        <v>30</v>
      </c>
      <c r="AI416">
        <v>30</v>
      </c>
      <c r="AJ416">
        <v>4</v>
      </c>
      <c r="AK416">
        <v>49</v>
      </c>
      <c r="AL416" t="s">
        <v>358</v>
      </c>
      <c r="AM416" t="s">
        <v>359</v>
      </c>
      <c r="AN416" t="s">
        <v>3238</v>
      </c>
      <c r="AO416" t="s">
        <v>3514</v>
      </c>
      <c r="AP416" t="s">
        <v>3515</v>
      </c>
      <c r="AQ416" t="s">
        <v>74</v>
      </c>
      <c r="AR416" t="s">
        <v>3502</v>
      </c>
      <c r="AS416" t="s">
        <v>3516</v>
      </c>
      <c r="AT416" t="s">
        <v>74</v>
      </c>
      <c r="AU416">
        <v>2016</v>
      </c>
      <c r="AV416">
        <v>13</v>
      </c>
      <c r="AW416">
        <v>3</v>
      </c>
      <c r="AX416" t="s">
        <v>74</v>
      </c>
      <c r="AY416" t="s">
        <v>74</v>
      </c>
      <c r="AZ416" t="s">
        <v>74</v>
      </c>
      <c r="BA416" t="s">
        <v>74</v>
      </c>
      <c r="BB416">
        <v>659</v>
      </c>
      <c r="BC416">
        <v>674</v>
      </c>
      <c r="BD416" t="s">
        <v>74</v>
      </c>
      <c r="BE416" t="s">
        <v>8041</v>
      </c>
      <c r="BF416" t="str">
        <f>HYPERLINK("http://dx.doi.org/10.5194/bg-13-659-2016","http://dx.doi.org/10.5194/bg-13-659-2016")</f>
        <v>http://dx.doi.org/10.5194/bg-13-659-2016</v>
      </c>
      <c r="BG416" t="s">
        <v>74</v>
      </c>
      <c r="BH416" t="s">
        <v>74</v>
      </c>
      <c r="BI416">
        <v>16</v>
      </c>
      <c r="BJ416" t="s">
        <v>2839</v>
      </c>
      <c r="BK416" t="s">
        <v>264</v>
      </c>
      <c r="BL416" t="s">
        <v>2840</v>
      </c>
      <c r="BM416" t="s">
        <v>8042</v>
      </c>
      <c r="BN416" t="s">
        <v>74</v>
      </c>
      <c r="BO416" t="s">
        <v>4816</v>
      </c>
      <c r="BP416" t="s">
        <v>74</v>
      </c>
      <c r="BQ416" t="s">
        <v>74</v>
      </c>
      <c r="BR416" t="s">
        <v>100</v>
      </c>
      <c r="BS416" t="s">
        <v>8043</v>
      </c>
      <c r="BT416" t="str">
        <f>HYPERLINK("https%3A%2F%2Fwww.webofscience.com%2Fwos%2Fwoscc%2Ffull-record%2FWOS:000370973900003","View Full Record in Web of Science")</f>
        <v>View Full Record in Web of Science</v>
      </c>
    </row>
    <row r="417" spans="1:72" x14ac:dyDescent="0.15">
      <c r="A417" t="s">
        <v>72</v>
      </c>
      <c r="B417" t="s">
        <v>8044</v>
      </c>
      <c r="C417" t="s">
        <v>74</v>
      </c>
      <c r="D417" t="s">
        <v>74</v>
      </c>
      <c r="E417" t="s">
        <v>74</v>
      </c>
      <c r="F417" t="s">
        <v>8045</v>
      </c>
      <c r="G417" t="s">
        <v>74</v>
      </c>
      <c r="H417" t="s">
        <v>74</v>
      </c>
      <c r="I417" t="s">
        <v>8046</v>
      </c>
      <c r="J417" t="s">
        <v>3502</v>
      </c>
      <c r="K417" t="s">
        <v>74</v>
      </c>
      <c r="L417" t="s">
        <v>74</v>
      </c>
      <c r="M417" t="s">
        <v>200</v>
      </c>
      <c r="N417" t="s">
        <v>79</v>
      </c>
      <c r="O417" t="s">
        <v>74</v>
      </c>
      <c r="P417" t="s">
        <v>74</v>
      </c>
      <c r="Q417" t="s">
        <v>74</v>
      </c>
      <c r="R417" t="s">
        <v>74</v>
      </c>
      <c r="S417" t="s">
        <v>74</v>
      </c>
      <c r="T417" t="s">
        <v>74</v>
      </c>
      <c r="U417" t="s">
        <v>8047</v>
      </c>
      <c r="V417" t="s">
        <v>8048</v>
      </c>
      <c r="W417" t="s">
        <v>8049</v>
      </c>
      <c r="X417" t="s">
        <v>8050</v>
      </c>
      <c r="Y417" t="s">
        <v>8051</v>
      </c>
      <c r="Z417" t="s">
        <v>8052</v>
      </c>
      <c r="AA417" t="s">
        <v>8053</v>
      </c>
      <c r="AB417" t="s">
        <v>8054</v>
      </c>
      <c r="AC417" t="s">
        <v>8055</v>
      </c>
      <c r="AD417" t="s">
        <v>8056</v>
      </c>
      <c r="AE417" t="s">
        <v>8057</v>
      </c>
      <c r="AF417" t="s">
        <v>74</v>
      </c>
      <c r="AG417">
        <v>52</v>
      </c>
      <c r="AH417">
        <v>36</v>
      </c>
      <c r="AI417">
        <v>38</v>
      </c>
      <c r="AJ417">
        <v>5</v>
      </c>
      <c r="AK417">
        <v>49</v>
      </c>
      <c r="AL417" t="s">
        <v>358</v>
      </c>
      <c r="AM417" t="s">
        <v>359</v>
      </c>
      <c r="AN417" t="s">
        <v>3238</v>
      </c>
      <c r="AO417" t="s">
        <v>3514</v>
      </c>
      <c r="AP417" t="s">
        <v>3515</v>
      </c>
      <c r="AQ417" t="s">
        <v>74</v>
      </c>
      <c r="AR417" t="s">
        <v>3502</v>
      </c>
      <c r="AS417" t="s">
        <v>3516</v>
      </c>
      <c r="AT417" t="s">
        <v>74</v>
      </c>
      <c r="AU417">
        <v>2016</v>
      </c>
      <c r="AV417">
        <v>13</v>
      </c>
      <c r="AW417">
        <v>4</v>
      </c>
      <c r="AX417" t="s">
        <v>74</v>
      </c>
      <c r="AY417" t="s">
        <v>74</v>
      </c>
      <c r="AZ417" t="s">
        <v>74</v>
      </c>
      <c r="BA417" t="s">
        <v>74</v>
      </c>
      <c r="BB417">
        <v>975</v>
      </c>
      <c r="BC417">
        <v>987</v>
      </c>
      <c r="BD417" t="s">
        <v>74</v>
      </c>
      <c r="BE417" t="s">
        <v>8058</v>
      </c>
      <c r="BF417" t="str">
        <f>HYPERLINK("http://dx.doi.org/10.5194/bg-13-975-2016","http://dx.doi.org/10.5194/bg-13-975-2016")</f>
        <v>http://dx.doi.org/10.5194/bg-13-975-2016</v>
      </c>
      <c r="BG417" t="s">
        <v>74</v>
      </c>
      <c r="BH417" t="s">
        <v>74</v>
      </c>
      <c r="BI417">
        <v>13</v>
      </c>
      <c r="BJ417" t="s">
        <v>2839</v>
      </c>
      <c r="BK417" t="s">
        <v>264</v>
      </c>
      <c r="BL417" t="s">
        <v>2840</v>
      </c>
      <c r="BM417" t="s">
        <v>8059</v>
      </c>
      <c r="BN417" t="s">
        <v>74</v>
      </c>
      <c r="BO417" t="s">
        <v>369</v>
      </c>
      <c r="BP417" t="s">
        <v>74</v>
      </c>
      <c r="BQ417" t="s">
        <v>74</v>
      </c>
      <c r="BR417" t="s">
        <v>100</v>
      </c>
      <c r="BS417" t="s">
        <v>8060</v>
      </c>
      <c r="BT417" t="str">
        <f>HYPERLINK("https%3A%2F%2Fwww.webofscience.com%2Fwos%2Fwoscc%2Ffull-record%2FWOS:000372082200007","View Full Record in Web of Science")</f>
        <v>View Full Record in Web of Science</v>
      </c>
    </row>
    <row r="418" spans="1:72" x14ac:dyDescent="0.15">
      <c r="A418" t="s">
        <v>72</v>
      </c>
      <c r="B418" t="s">
        <v>8061</v>
      </c>
      <c r="C418" t="s">
        <v>74</v>
      </c>
      <c r="D418" t="s">
        <v>74</v>
      </c>
      <c r="E418" t="s">
        <v>74</v>
      </c>
      <c r="F418" t="s">
        <v>8062</v>
      </c>
      <c r="G418" t="s">
        <v>74</v>
      </c>
      <c r="H418" t="s">
        <v>74</v>
      </c>
      <c r="I418" t="s">
        <v>8063</v>
      </c>
      <c r="J418" t="s">
        <v>3502</v>
      </c>
      <c r="K418" t="s">
        <v>74</v>
      </c>
      <c r="L418" t="s">
        <v>74</v>
      </c>
      <c r="M418" t="s">
        <v>200</v>
      </c>
      <c r="N418" t="s">
        <v>79</v>
      </c>
      <c r="O418" t="s">
        <v>74</v>
      </c>
      <c r="P418" t="s">
        <v>74</v>
      </c>
      <c r="Q418" t="s">
        <v>74</v>
      </c>
      <c r="R418" t="s">
        <v>74</v>
      </c>
      <c r="S418" t="s">
        <v>74</v>
      </c>
      <c r="T418" t="s">
        <v>74</v>
      </c>
      <c r="U418" t="s">
        <v>8064</v>
      </c>
      <c r="V418" t="s">
        <v>8065</v>
      </c>
      <c r="W418" t="s">
        <v>8066</v>
      </c>
      <c r="X418" t="s">
        <v>8067</v>
      </c>
      <c r="Y418" t="s">
        <v>8068</v>
      </c>
      <c r="Z418" t="s">
        <v>8069</v>
      </c>
      <c r="AA418" t="s">
        <v>8070</v>
      </c>
      <c r="AB418" t="s">
        <v>8071</v>
      </c>
      <c r="AC418" t="s">
        <v>8072</v>
      </c>
      <c r="AD418" t="s">
        <v>8073</v>
      </c>
      <c r="AE418" t="s">
        <v>8074</v>
      </c>
      <c r="AF418" t="s">
        <v>74</v>
      </c>
      <c r="AG418">
        <v>105</v>
      </c>
      <c r="AH418">
        <v>66</v>
      </c>
      <c r="AI418">
        <v>70</v>
      </c>
      <c r="AJ418">
        <v>4</v>
      </c>
      <c r="AK418">
        <v>60</v>
      </c>
      <c r="AL418" t="s">
        <v>358</v>
      </c>
      <c r="AM418" t="s">
        <v>359</v>
      </c>
      <c r="AN418" t="s">
        <v>3238</v>
      </c>
      <c r="AO418" t="s">
        <v>3514</v>
      </c>
      <c r="AP418" t="s">
        <v>3515</v>
      </c>
      <c r="AQ418" t="s">
        <v>74</v>
      </c>
      <c r="AR418" t="s">
        <v>3502</v>
      </c>
      <c r="AS418" t="s">
        <v>3516</v>
      </c>
      <c r="AT418" t="s">
        <v>74</v>
      </c>
      <c r="AU418">
        <v>2016</v>
      </c>
      <c r="AV418">
        <v>13</v>
      </c>
      <c r="AW418">
        <v>13</v>
      </c>
      <c r="AX418" t="s">
        <v>74</v>
      </c>
      <c r="AY418" t="s">
        <v>74</v>
      </c>
      <c r="AZ418" t="s">
        <v>74</v>
      </c>
      <c r="BA418" t="s">
        <v>74</v>
      </c>
      <c r="BB418">
        <v>3887</v>
      </c>
      <c r="BC418">
        <v>3900</v>
      </c>
      <c r="BD418" t="s">
        <v>74</v>
      </c>
      <c r="BE418" t="s">
        <v>8075</v>
      </c>
      <c r="BF418" t="str">
        <f>HYPERLINK("http://dx.doi.org/10.5194/bg-13-3887-2016","http://dx.doi.org/10.5194/bg-13-3887-2016")</f>
        <v>http://dx.doi.org/10.5194/bg-13-3887-2016</v>
      </c>
      <c r="BG418" t="s">
        <v>74</v>
      </c>
      <c r="BH418" t="s">
        <v>74</v>
      </c>
      <c r="BI418">
        <v>14</v>
      </c>
      <c r="BJ418" t="s">
        <v>2839</v>
      </c>
      <c r="BK418" t="s">
        <v>264</v>
      </c>
      <c r="BL418" t="s">
        <v>2840</v>
      </c>
      <c r="BM418" t="s">
        <v>8076</v>
      </c>
      <c r="BN418" t="s">
        <v>74</v>
      </c>
      <c r="BO418" t="s">
        <v>4816</v>
      </c>
      <c r="BP418" t="s">
        <v>74</v>
      </c>
      <c r="BQ418" t="s">
        <v>74</v>
      </c>
      <c r="BR418" t="s">
        <v>100</v>
      </c>
      <c r="BS418" t="s">
        <v>8077</v>
      </c>
      <c r="BT418" t="str">
        <f>HYPERLINK("https%3A%2F%2Fwww.webofscience.com%2Fwos%2Fwoscc%2Ffull-record%2FWOS:000381099900004","View Full Record in Web of Science")</f>
        <v>View Full Record in Web of Science</v>
      </c>
    </row>
    <row r="419" spans="1:72" x14ac:dyDescent="0.15">
      <c r="A419" t="s">
        <v>219</v>
      </c>
      <c r="B419" t="s">
        <v>8078</v>
      </c>
      <c r="C419" t="s">
        <v>74</v>
      </c>
      <c r="D419" t="s">
        <v>8079</v>
      </c>
      <c r="E419" t="s">
        <v>74</v>
      </c>
      <c r="F419" t="s">
        <v>8080</v>
      </c>
      <c r="G419" t="s">
        <v>74</v>
      </c>
      <c r="H419" t="s">
        <v>74</v>
      </c>
      <c r="I419" t="s">
        <v>8081</v>
      </c>
      <c r="J419" t="s">
        <v>8082</v>
      </c>
      <c r="K419" t="s">
        <v>74</v>
      </c>
      <c r="L419" t="s">
        <v>74</v>
      </c>
      <c r="M419" t="s">
        <v>200</v>
      </c>
      <c r="N419" t="s">
        <v>201</v>
      </c>
      <c r="O419" t="s">
        <v>74</v>
      </c>
      <c r="P419" t="s">
        <v>74</v>
      </c>
      <c r="Q419" t="s">
        <v>74</v>
      </c>
      <c r="R419" t="s">
        <v>74</v>
      </c>
      <c r="S419" t="s">
        <v>74</v>
      </c>
      <c r="T419" t="s">
        <v>8083</v>
      </c>
      <c r="U419" t="s">
        <v>8084</v>
      </c>
      <c r="V419" t="s">
        <v>8085</v>
      </c>
      <c r="W419" t="s">
        <v>8086</v>
      </c>
      <c r="X419" t="s">
        <v>8087</v>
      </c>
      <c r="Y419" t="s">
        <v>8088</v>
      </c>
      <c r="Z419" t="s">
        <v>74</v>
      </c>
      <c r="AA419" t="s">
        <v>8089</v>
      </c>
      <c r="AB419" t="s">
        <v>8090</v>
      </c>
      <c r="AC419" t="s">
        <v>74</v>
      </c>
      <c r="AD419" t="s">
        <v>74</v>
      </c>
      <c r="AE419" t="s">
        <v>74</v>
      </c>
      <c r="AF419" t="s">
        <v>74</v>
      </c>
      <c r="AG419">
        <v>99</v>
      </c>
      <c r="AH419">
        <v>3</v>
      </c>
      <c r="AI419">
        <v>3</v>
      </c>
      <c r="AJ419">
        <v>0</v>
      </c>
      <c r="AK419">
        <v>6</v>
      </c>
      <c r="AL419" t="s">
        <v>8091</v>
      </c>
      <c r="AM419" t="s">
        <v>8092</v>
      </c>
      <c r="AN419" t="s">
        <v>8093</v>
      </c>
      <c r="AO419" t="s">
        <v>74</v>
      </c>
      <c r="AP419" t="s">
        <v>74</v>
      </c>
      <c r="AQ419" t="s">
        <v>8094</v>
      </c>
      <c r="AR419" t="s">
        <v>74</v>
      </c>
      <c r="AS419" t="s">
        <v>74</v>
      </c>
      <c r="AT419" t="s">
        <v>74</v>
      </c>
      <c r="AU419">
        <v>2016</v>
      </c>
      <c r="AV419" t="s">
        <v>74</v>
      </c>
      <c r="AW419" t="s">
        <v>74</v>
      </c>
      <c r="AX419" t="s">
        <v>74</v>
      </c>
      <c r="AY419" t="s">
        <v>74</v>
      </c>
      <c r="AZ419" t="s">
        <v>74</v>
      </c>
      <c r="BA419" t="s">
        <v>74</v>
      </c>
      <c r="BB419">
        <v>16</v>
      </c>
      <c r="BC419">
        <v>35</v>
      </c>
      <c r="BD419" t="s">
        <v>74</v>
      </c>
      <c r="BE419" t="s">
        <v>74</v>
      </c>
      <c r="BF419" t="s">
        <v>74</v>
      </c>
      <c r="BG419" t="s">
        <v>8095</v>
      </c>
      <c r="BH419" t="s">
        <v>74</v>
      </c>
      <c r="BI419">
        <v>20</v>
      </c>
      <c r="BJ419" t="s">
        <v>7313</v>
      </c>
      <c r="BK419" t="s">
        <v>216</v>
      </c>
      <c r="BL419" t="s">
        <v>7314</v>
      </c>
      <c r="BM419" t="s">
        <v>8096</v>
      </c>
      <c r="BN419" t="s">
        <v>74</v>
      </c>
      <c r="BO419" t="s">
        <v>74</v>
      </c>
      <c r="BP419" t="s">
        <v>74</v>
      </c>
      <c r="BQ419" t="s">
        <v>74</v>
      </c>
      <c r="BR419" t="s">
        <v>100</v>
      </c>
      <c r="BS419" t="s">
        <v>8097</v>
      </c>
      <c r="BT419" t="str">
        <f>HYPERLINK("https%3A%2F%2Fwww.webofscience.com%2Fwos%2Fwoscc%2Ffull-record%2FWOS:000468388300004","View Full Record in Web of Science")</f>
        <v>View Full Record in Web of Science</v>
      </c>
    </row>
    <row r="420" spans="1:72" x14ac:dyDescent="0.15">
      <c r="A420" t="s">
        <v>219</v>
      </c>
      <c r="B420" t="s">
        <v>8098</v>
      </c>
      <c r="C420" t="s">
        <v>74</v>
      </c>
      <c r="D420" t="s">
        <v>8079</v>
      </c>
      <c r="E420" t="s">
        <v>74</v>
      </c>
      <c r="F420" t="s">
        <v>8099</v>
      </c>
      <c r="G420" t="s">
        <v>74</v>
      </c>
      <c r="H420" t="s">
        <v>74</v>
      </c>
      <c r="I420" t="s">
        <v>8100</v>
      </c>
      <c r="J420" t="s">
        <v>8082</v>
      </c>
      <c r="K420" t="s">
        <v>74</v>
      </c>
      <c r="L420" t="s">
        <v>74</v>
      </c>
      <c r="M420" t="s">
        <v>200</v>
      </c>
      <c r="N420" t="s">
        <v>201</v>
      </c>
      <c r="O420" t="s">
        <v>74</v>
      </c>
      <c r="P420" t="s">
        <v>74</v>
      </c>
      <c r="Q420" t="s">
        <v>74</v>
      </c>
      <c r="R420" t="s">
        <v>74</v>
      </c>
      <c r="S420" t="s">
        <v>74</v>
      </c>
      <c r="T420" t="s">
        <v>8101</v>
      </c>
      <c r="U420" t="s">
        <v>8102</v>
      </c>
      <c r="V420" t="s">
        <v>8103</v>
      </c>
      <c r="W420" t="s">
        <v>8104</v>
      </c>
      <c r="X420" t="s">
        <v>8105</v>
      </c>
      <c r="Y420" t="s">
        <v>8106</v>
      </c>
      <c r="Z420" t="s">
        <v>74</v>
      </c>
      <c r="AA420" t="s">
        <v>8107</v>
      </c>
      <c r="AB420" t="s">
        <v>8108</v>
      </c>
      <c r="AC420" t="s">
        <v>74</v>
      </c>
      <c r="AD420" t="s">
        <v>74</v>
      </c>
      <c r="AE420" t="s">
        <v>74</v>
      </c>
      <c r="AF420" t="s">
        <v>74</v>
      </c>
      <c r="AG420">
        <v>42</v>
      </c>
      <c r="AH420">
        <v>9</v>
      </c>
      <c r="AI420">
        <v>10</v>
      </c>
      <c r="AJ420">
        <v>0</v>
      </c>
      <c r="AK420">
        <v>1</v>
      </c>
      <c r="AL420" t="s">
        <v>8091</v>
      </c>
      <c r="AM420" t="s">
        <v>8092</v>
      </c>
      <c r="AN420" t="s">
        <v>8093</v>
      </c>
      <c r="AO420" t="s">
        <v>74</v>
      </c>
      <c r="AP420" t="s">
        <v>74</v>
      </c>
      <c r="AQ420" t="s">
        <v>8094</v>
      </c>
      <c r="AR420" t="s">
        <v>74</v>
      </c>
      <c r="AS420" t="s">
        <v>74</v>
      </c>
      <c r="AT420" t="s">
        <v>74</v>
      </c>
      <c r="AU420">
        <v>2016</v>
      </c>
      <c r="AV420" t="s">
        <v>74</v>
      </c>
      <c r="AW420" t="s">
        <v>74</v>
      </c>
      <c r="AX420" t="s">
        <v>74</v>
      </c>
      <c r="AY420" t="s">
        <v>74</v>
      </c>
      <c r="AZ420" t="s">
        <v>74</v>
      </c>
      <c r="BA420" t="s">
        <v>74</v>
      </c>
      <c r="BB420">
        <v>207</v>
      </c>
      <c r="BC420">
        <v>227</v>
      </c>
      <c r="BD420" t="s">
        <v>74</v>
      </c>
      <c r="BE420" t="s">
        <v>74</v>
      </c>
      <c r="BF420" t="s">
        <v>74</v>
      </c>
      <c r="BG420" t="s">
        <v>8095</v>
      </c>
      <c r="BH420" t="s">
        <v>74</v>
      </c>
      <c r="BI420">
        <v>21</v>
      </c>
      <c r="BJ420" t="s">
        <v>7313</v>
      </c>
      <c r="BK420" t="s">
        <v>216</v>
      </c>
      <c r="BL420" t="s">
        <v>7314</v>
      </c>
      <c r="BM420" t="s">
        <v>8096</v>
      </c>
      <c r="BN420" t="s">
        <v>74</v>
      </c>
      <c r="BO420" t="s">
        <v>74</v>
      </c>
      <c r="BP420" t="s">
        <v>74</v>
      </c>
      <c r="BQ420" t="s">
        <v>74</v>
      </c>
      <c r="BR420" t="s">
        <v>100</v>
      </c>
      <c r="BS420" t="s">
        <v>8109</v>
      </c>
      <c r="BT420" t="str">
        <f>HYPERLINK("https%3A%2F%2Fwww.webofscience.com%2Fwos%2Fwoscc%2Ffull-record%2FWOS:000468388300012","View Full Record in Web of Science")</f>
        <v>View Full Record in Web of Science</v>
      </c>
    </row>
    <row r="421" spans="1:72" x14ac:dyDescent="0.15">
      <c r="A421" t="s">
        <v>219</v>
      </c>
      <c r="B421" t="s">
        <v>8110</v>
      </c>
      <c r="C421" t="s">
        <v>74</v>
      </c>
      <c r="D421" t="s">
        <v>8079</v>
      </c>
      <c r="E421" t="s">
        <v>74</v>
      </c>
      <c r="F421" t="s">
        <v>8111</v>
      </c>
      <c r="G421" t="s">
        <v>74</v>
      </c>
      <c r="H421" t="s">
        <v>74</v>
      </c>
      <c r="I421" t="s">
        <v>8112</v>
      </c>
      <c r="J421" t="s">
        <v>8082</v>
      </c>
      <c r="K421" t="s">
        <v>74</v>
      </c>
      <c r="L421" t="s">
        <v>74</v>
      </c>
      <c r="M421" t="s">
        <v>200</v>
      </c>
      <c r="N421" t="s">
        <v>201</v>
      </c>
      <c r="O421" t="s">
        <v>74</v>
      </c>
      <c r="P421" t="s">
        <v>74</v>
      </c>
      <c r="Q421" t="s">
        <v>74</v>
      </c>
      <c r="R421" t="s">
        <v>74</v>
      </c>
      <c r="S421" t="s">
        <v>74</v>
      </c>
      <c r="T421" t="s">
        <v>8113</v>
      </c>
      <c r="U421" t="s">
        <v>8114</v>
      </c>
      <c r="V421" t="s">
        <v>8115</v>
      </c>
      <c r="W421" t="s">
        <v>8116</v>
      </c>
      <c r="X421" t="s">
        <v>8117</v>
      </c>
      <c r="Y421" t="s">
        <v>8088</v>
      </c>
      <c r="Z421" t="s">
        <v>74</v>
      </c>
      <c r="AA421" t="s">
        <v>74</v>
      </c>
      <c r="AB421" t="s">
        <v>8118</v>
      </c>
      <c r="AC421" t="s">
        <v>74</v>
      </c>
      <c r="AD421" t="s">
        <v>74</v>
      </c>
      <c r="AE421" t="s">
        <v>74</v>
      </c>
      <c r="AF421" t="s">
        <v>74</v>
      </c>
      <c r="AG421">
        <v>16</v>
      </c>
      <c r="AH421">
        <v>9</v>
      </c>
      <c r="AI421">
        <v>9</v>
      </c>
      <c r="AJ421">
        <v>0</v>
      </c>
      <c r="AK421">
        <v>3</v>
      </c>
      <c r="AL421" t="s">
        <v>8091</v>
      </c>
      <c r="AM421" t="s">
        <v>8092</v>
      </c>
      <c r="AN421" t="s">
        <v>8093</v>
      </c>
      <c r="AO421" t="s">
        <v>74</v>
      </c>
      <c r="AP421" t="s">
        <v>74</v>
      </c>
      <c r="AQ421" t="s">
        <v>8094</v>
      </c>
      <c r="AR421" t="s">
        <v>74</v>
      </c>
      <c r="AS421" t="s">
        <v>74</v>
      </c>
      <c r="AT421" t="s">
        <v>74</v>
      </c>
      <c r="AU421">
        <v>2016</v>
      </c>
      <c r="AV421" t="s">
        <v>74</v>
      </c>
      <c r="AW421" t="s">
        <v>74</v>
      </c>
      <c r="AX421" t="s">
        <v>74</v>
      </c>
      <c r="AY421" t="s">
        <v>74</v>
      </c>
      <c r="AZ421" t="s">
        <v>74</v>
      </c>
      <c r="BA421" t="s">
        <v>74</v>
      </c>
      <c r="BB421">
        <v>338</v>
      </c>
      <c r="BC421">
        <v>367</v>
      </c>
      <c r="BD421" t="s">
        <v>74</v>
      </c>
      <c r="BE421" t="s">
        <v>74</v>
      </c>
      <c r="BF421" t="s">
        <v>74</v>
      </c>
      <c r="BG421" t="s">
        <v>8095</v>
      </c>
      <c r="BH421" t="s">
        <v>74</v>
      </c>
      <c r="BI421">
        <v>30</v>
      </c>
      <c r="BJ421" t="s">
        <v>7313</v>
      </c>
      <c r="BK421" t="s">
        <v>216</v>
      </c>
      <c r="BL421" t="s">
        <v>7314</v>
      </c>
      <c r="BM421" t="s">
        <v>8096</v>
      </c>
      <c r="BN421" t="s">
        <v>74</v>
      </c>
      <c r="BO421" t="s">
        <v>74</v>
      </c>
      <c r="BP421" t="s">
        <v>74</v>
      </c>
      <c r="BQ421" t="s">
        <v>74</v>
      </c>
      <c r="BR421" t="s">
        <v>100</v>
      </c>
      <c r="BS421" t="s">
        <v>8119</v>
      </c>
      <c r="BT421" t="str">
        <f>HYPERLINK("https%3A%2F%2Fwww.webofscience.com%2Fwos%2Fwoscc%2Ffull-record%2FWOS:000468388300017","View Full Record in Web of Science")</f>
        <v>View Full Record in Web of Science</v>
      </c>
    </row>
    <row r="422" spans="1:72" x14ac:dyDescent="0.15">
      <c r="A422" t="s">
        <v>193</v>
      </c>
      <c r="B422" t="s">
        <v>388</v>
      </c>
      <c r="C422" t="s">
        <v>74</v>
      </c>
      <c r="D422" t="s">
        <v>388</v>
      </c>
      <c r="E422" t="s">
        <v>74</v>
      </c>
      <c r="F422" t="s">
        <v>8120</v>
      </c>
      <c r="G422" t="s">
        <v>74</v>
      </c>
      <c r="H422" t="s">
        <v>74</v>
      </c>
      <c r="I422" t="s">
        <v>8121</v>
      </c>
      <c r="J422" t="s">
        <v>390</v>
      </c>
      <c r="K422" t="s">
        <v>391</v>
      </c>
      <c r="L422" t="s">
        <v>74</v>
      </c>
      <c r="M422" t="s">
        <v>200</v>
      </c>
      <c r="N422" t="s">
        <v>7694</v>
      </c>
      <c r="O422" t="s">
        <v>74</v>
      </c>
      <c r="P422" t="s">
        <v>74</v>
      </c>
      <c r="Q422" t="s">
        <v>74</v>
      </c>
      <c r="R422" t="s">
        <v>74</v>
      </c>
      <c r="S422" t="s">
        <v>74</v>
      </c>
      <c r="T422" t="s">
        <v>8122</v>
      </c>
      <c r="U422" t="s">
        <v>8123</v>
      </c>
      <c r="V422" t="s">
        <v>8124</v>
      </c>
      <c r="W422" t="s">
        <v>8125</v>
      </c>
      <c r="X422" t="s">
        <v>8126</v>
      </c>
      <c r="Y422" t="s">
        <v>8127</v>
      </c>
      <c r="Z422" t="s">
        <v>8128</v>
      </c>
      <c r="AA422" t="s">
        <v>74</v>
      </c>
      <c r="AB422" t="s">
        <v>74</v>
      </c>
      <c r="AC422" t="s">
        <v>74</v>
      </c>
      <c r="AD422" t="s">
        <v>74</v>
      </c>
      <c r="AE422" t="s">
        <v>74</v>
      </c>
      <c r="AF422" t="s">
        <v>74</v>
      </c>
      <c r="AG422">
        <v>75</v>
      </c>
      <c r="AH422">
        <v>10</v>
      </c>
      <c r="AI422">
        <v>12</v>
      </c>
      <c r="AJ422">
        <v>1</v>
      </c>
      <c r="AK422">
        <v>14</v>
      </c>
      <c r="AL422" t="s">
        <v>393</v>
      </c>
      <c r="AM422" t="s">
        <v>394</v>
      </c>
      <c r="AN422" t="s">
        <v>395</v>
      </c>
      <c r="AO422" t="s">
        <v>396</v>
      </c>
      <c r="AP422" t="s">
        <v>74</v>
      </c>
      <c r="AQ422" t="s">
        <v>397</v>
      </c>
      <c r="AR422" t="s">
        <v>398</v>
      </c>
      <c r="AS422" t="s">
        <v>74</v>
      </c>
      <c r="AT422" t="s">
        <v>74</v>
      </c>
      <c r="AU422">
        <v>2016</v>
      </c>
      <c r="AV422" t="s">
        <v>74</v>
      </c>
      <c r="AW422" t="s">
        <v>74</v>
      </c>
      <c r="AX422" t="s">
        <v>74</v>
      </c>
      <c r="AY422" t="s">
        <v>74</v>
      </c>
      <c r="AZ422" t="s">
        <v>74</v>
      </c>
      <c r="BA422" t="s">
        <v>74</v>
      </c>
      <c r="BB422">
        <v>1</v>
      </c>
      <c r="BC422">
        <v>19</v>
      </c>
      <c r="BD422" t="s">
        <v>74</v>
      </c>
      <c r="BE422" t="s">
        <v>8129</v>
      </c>
      <c r="BF422" t="str">
        <f>HYPERLINK("http://dx.doi.org/10.1007/978-3-319-29279-3_1","http://dx.doi.org/10.1007/978-3-319-29279-3_1")</f>
        <v>http://dx.doi.org/10.1007/978-3-319-29279-3_1</v>
      </c>
      <c r="BG422" t="s">
        <v>399</v>
      </c>
      <c r="BH422" t="s">
        <v>74</v>
      </c>
      <c r="BI422">
        <v>19</v>
      </c>
      <c r="BJ422" t="s">
        <v>400</v>
      </c>
      <c r="BK422" t="s">
        <v>216</v>
      </c>
      <c r="BL422" t="s">
        <v>401</v>
      </c>
      <c r="BM422" t="s">
        <v>402</v>
      </c>
      <c r="BN422" t="s">
        <v>74</v>
      </c>
      <c r="BO422" t="s">
        <v>74</v>
      </c>
      <c r="BP422" t="s">
        <v>74</v>
      </c>
      <c r="BQ422" t="s">
        <v>74</v>
      </c>
      <c r="BR422" t="s">
        <v>100</v>
      </c>
      <c r="BS422" t="s">
        <v>8130</v>
      </c>
      <c r="BT422" t="str">
        <f>HYPERLINK("https%3A%2F%2Fwww.webofscience.com%2Fwos%2Fwoscc%2Ffull-record%2FWOS:000401843300002","View Full Record in Web of Science")</f>
        <v>View Full Record in Web of Science</v>
      </c>
    </row>
    <row r="423" spans="1:72" x14ac:dyDescent="0.15">
      <c r="A423" t="s">
        <v>193</v>
      </c>
      <c r="B423" t="s">
        <v>8131</v>
      </c>
      <c r="C423" t="s">
        <v>74</v>
      </c>
      <c r="D423" t="s">
        <v>388</v>
      </c>
      <c r="E423" t="s">
        <v>74</v>
      </c>
      <c r="F423" t="s">
        <v>8132</v>
      </c>
      <c r="G423" t="s">
        <v>74</v>
      </c>
      <c r="H423" t="s">
        <v>74</v>
      </c>
      <c r="I423" t="s">
        <v>8133</v>
      </c>
      <c r="J423" t="s">
        <v>390</v>
      </c>
      <c r="K423" t="s">
        <v>391</v>
      </c>
      <c r="L423" t="s">
        <v>74</v>
      </c>
      <c r="M423" t="s">
        <v>200</v>
      </c>
      <c r="N423" t="s">
        <v>7694</v>
      </c>
      <c r="O423" t="s">
        <v>74</v>
      </c>
      <c r="P423" t="s">
        <v>74</v>
      </c>
      <c r="Q423" t="s">
        <v>74</v>
      </c>
      <c r="R423" t="s">
        <v>74</v>
      </c>
      <c r="S423" t="s">
        <v>74</v>
      </c>
      <c r="T423" t="s">
        <v>74</v>
      </c>
      <c r="U423" t="s">
        <v>74</v>
      </c>
      <c r="V423" t="s">
        <v>74</v>
      </c>
      <c r="W423" t="s">
        <v>74</v>
      </c>
      <c r="X423" t="s">
        <v>74</v>
      </c>
      <c r="Y423" t="s">
        <v>74</v>
      </c>
      <c r="Z423" t="s">
        <v>74</v>
      </c>
      <c r="AA423" t="s">
        <v>74</v>
      </c>
      <c r="AB423" t="s">
        <v>74</v>
      </c>
      <c r="AC423" t="s">
        <v>74</v>
      </c>
      <c r="AD423" t="s">
        <v>74</v>
      </c>
      <c r="AE423" t="s">
        <v>74</v>
      </c>
      <c r="AF423" t="s">
        <v>74</v>
      </c>
      <c r="AG423">
        <v>0</v>
      </c>
      <c r="AH423">
        <v>0</v>
      </c>
      <c r="AI423">
        <v>0</v>
      </c>
      <c r="AJ423">
        <v>0</v>
      </c>
      <c r="AK423">
        <v>1</v>
      </c>
      <c r="AL423" t="s">
        <v>393</v>
      </c>
      <c r="AM423" t="s">
        <v>394</v>
      </c>
      <c r="AN423" t="s">
        <v>395</v>
      </c>
      <c r="AO423" t="s">
        <v>396</v>
      </c>
      <c r="AP423" t="s">
        <v>74</v>
      </c>
      <c r="AQ423" t="s">
        <v>397</v>
      </c>
      <c r="AR423" t="s">
        <v>398</v>
      </c>
      <c r="AS423" t="s">
        <v>74</v>
      </c>
      <c r="AT423" t="s">
        <v>74</v>
      </c>
      <c r="AU423">
        <v>2016</v>
      </c>
      <c r="AV423" t="s">
        <v>74</v>
      </c>
      <c r="AW423" t="s">
        <v>74</v>
      </c>
      <c r="AX423" t="s">
        <v>74</v>
      </c>
      <c r="AY423" t="s">
        <v>74</v>
      </c>
      <c r="AZ423" t="s">
        <v>74</v>
      </c>
      <c r="BA423" t="s">
        <v>74</v>
      </c>
      <c r="BB423" t="s">
        <v>8134</v>
      </c>
      <c r="BC423" t="s">
        <v>8135</v>
      </c>
      <c r="BD423" t="s">
        <v>74</v>
      </c>
      <c r="BE423" t="s">
        <v>74</v>
      </c>
      <c r="BF423" t="s">
        <v>74</v>
      </c>
      <c r="BG423" t="s">
        <v>399</v>
      </c>
      <c r="BH423" t="s">
        <v>74</v>
      </c>
      <c r="BI423">
        <v>3</v>
      </c>
      <c r="BJ423" t="s">
        <v>400</v>
      </c>
      <c r="BK423" t="s">
        <v>216</v>
      </c>
      <c r="BL423" t="s">
        <v>401</v>
      </c>
      <c r="BM423" t="s">
        <v>402</v>
      </c>
      <c r="BN423" t="s">
        <v>74</v>
      </c>
      <c r="BO423" t="s">
        <v>403</v>
      </c>
      <c r="BP423" t="s">
        <v>74</v>
      </c>
      <c r="BQ423" t="s">
        <v>74</v>
      </c>
      <c r="BR423" t="s">
        <v>100</v>
      </c>
      <c r="BS423" t="s">
        <v>8136</v>
      </c>
      <c r="BT423" t="str">
        <f>HYPERLINK("https%3A%2F%2Fwww.webofscience.com%2Fwos%2Fwoscc%2Ffull-record%2FWOS:000401843300001","View Full Record in Web of Science")</f>
        <v>View Full Record in Web of Science</v>
      </c>
    </row>
    <row r="424" spans="1:72" x14ac:dyDescent="0.15">
      <c r="A424" t="s">
        <v>193</v>
      </c>
      <c r="B424" t="s">
        <v>8137</v>
      </c>
      <c r="C424" t="s">
        <v>74</v>
      </c>
      <c r="D424" t="s">
        <v>388</v>
      </c>
      <c r="E424" t="s">
        <v>74</v>
      </c>
      <c r="F424" t="s">
        <v>8138</v>
      </c>
      <c r="G424" t="s">
        <v>74</v>
      </c>
      <c r="H424" t="s">
        <v>74</v>
      </c>
      <c r="I424" t="s">
        <v>8139</v>
      </c>
      <c r="J424" t="s">
        <v>390</v>
      </c>
      <c r="K424" t="s">
        <v>391</v>
      </c>
      <c r="L424" t="s">
        <v>74</v>
      </c>
      <c r="M424" t="s">
        <v>200</v>
      </c>
      <c r="N424" t="s">
        <v>201</v>
      </c>
      <c r="O424" t="s">
        <v>74</v>
      </c>
      <c r="P424" t="s">
        <v>74</v>
      </c>
      <c r="Q424" t="s">
        <v>74</v>
      </c>
      <c r="R424" t="s">
        <v>74</v>
      </c>
      <c r="S424" t="s">
        <v>74</v>
      </c>
      <c r="T424" t="s">
        <v>8140</v>
      </c>
      <c r="U424" t="s">
        <v>8141</v>
      </c>
      <c r="V424" t="s">
        <v>8142</v>
      </c>
      <c r="W424" t="s">
        <v>8143</v>
      </c>
      <c r="X424" t="s">
        <v>8144</v>
      </c>
      <c r="Y424" t="s">
        <v>8127</v>
      </c>
      <c r="Z424" t="s">
        <v>8145</v>
      </c>
      <c r="AA424" t="s">
        <v>74</v>
      </c>
      <c r="AB424" t="s">
        <v>74</v>
      </c>
      <c r="AC424" t="s">
        <v>472</v>
      </c>
      <c r="AD424" t="s">
        <v>429</v>
      </c>
      <c r="AE424" t="s">
        <v>74</v>
      </c>
      <c r="AF424" t="s">
        <v>74</v>
      </c>
      <c r="AG424">
        <v>375</v>
      </c>
      <c r="AH424">
        <v>87</v>
      </c>
      <c r="AI424">
        <v>94</v>
      </c>
      <c r="AJ424">
        <v>0</v>
      </c>
      <c r="AK424">
        <v>14</v>
      </c>
      <c r="AL424" t="s">
        <v>393</v>
      </c>
      <c r="AM424" t="s">
        <v>394</v>
      </c>
      <c r="AN424" t="s">
        <v>395</v>
      </c>
      <c r="AO424" t="s">
        <v>396</v>
      </c>
      <c r="AP424" t="s">
        <v>74</v>
      </c>
      <c r="AQ424" t="s">
        <v>397</v>
      </c>
      <c r="AR424" t="s">
        <v>398</v>
      </c>
      <c r="AS424" t="s">
        <v>74</v>
      </c>
      <c r="AT424" t="s">
        <v>74</v>
      </c>
      <c r="AU424">
        <v>2016</v>
      </c>
      <c r="AV424" t="s">
        <v>74</v>
      </c>
      <c r="AW424" t="s">
        <v>74</v>
      </c>
      <c r="AX424" t="s">
        <v>74</v>
      </c>
      <c r="AY424" t="s">
        <v>74</v>
      </c>
      <c r="AZ424" t="s">
        <v>74</v>
      </c>
      <c r="BA424" t="s">
        <v>74</v>
      </c>
      <c r="BB424">
        <v>21</v>
      </c>
      <c r="BC424">
        <v>100</v>
      </c>
      <c r="BD424" t="s">
        <v>74</v>
      </c>
      <c r="BE424" t="s">
        <v>8146</v>
      </c>
      <c r="BF424" t="str">
        <f>HYPERLINK("http://dx.doi.org/10.1007/978-3-319-29279-3_2","http://dx.doi.org/10.1007/978-3-319-29279-3_2")</f>
        <v>http://dx.doi.org/10.1007/978-3-319-29279-3_2</v>
      </c>
      <c r="BG424" t="s">
        <v>399</v>
      </c>
      <c r="BH424" t="s">
        <v>74</v>
      </c>
      <c r="BI424">
        <v>80</v>
      </c>
      <c r="BJ424" t="s">
        <v>400</v>
      </c>
      <c r="BK424" t="s">
        <v>216</v>
      </c>
      <c r="BL424" t="s">
        <v>401</v>
      </c>
      <c r="BM424" t="s">
        <v>402</v>
      </c>
      <c r="BN424" t="s">
        <v>74</v>
      </c>
      <c r="BO424" t="s">
        <v>74</v>
      </c>
      <c r="BP424" t="s">
        <v>74</v>
      </c>
      <c r="BQ424" t="s">
        <v>74</v>
      </c>
      <c r="BR424" t="s">
        <v>100</v>
      </c>
      <c r="BS424" t="s">
        <v>8147</v>
      </c>
      <c r="BT424" t="str">
        <f>HYPERLINK("https%3A%2F%2Fwww.webofscience.com%2Fwos%2Fwoscc%2Ffull-record%2FWOS:000401843300003","View Full Record in Web of Science")</f>
        <v>View Full Record in Web of Science</v>
      </c>
    </row>
    <row r="425" spans="1:72" x14ac:dyDescent="0.15">
      <c r="A425" t="s">
        <v>193</v>
      </c>
      <c r="B425" t="s">
        <v>8148</v>
      </c>
      <c r="C425" t="s">
        <v>74</v>
      </c>
      <c r="D425" t="s">
        <v>388</v>
      </c>
      <c r="E425" t="s">
        <v>74</v>
      </c>
      <c r="F425" t="s">
        <v>8149</v>
      </c>
      <c r="G425" t="s">
        <v>74</v>
      </c>
      <c r="H425" t="s">
        <v>74</v>
      </c>
      <c r="I425" t="s">
        <v>8150</v>
      </c>
      <c r="J425" t="s">
        <v>390</v>
      </c>
      <c r="K425" t="s">
        <v>391</v>
      </c>
      <c r="L425" t="s">
        <v>74</v>
      </c>
      <c r="M425" t="s">
        <v>200</v>
      </c>
      <c r="N425" t="s">
        <v>201</v>
      </c>
      <c r="O425" t="s">
        <v>74</v>
      </c>
      <c r="P425" t="s">
        <v>74</v>
      </c>
      <c r="Q425" t="s">
        <v>74</v>
      </c>
      <c r="R425" t="s">
        <v>74</v>
      </c>
      <c r="S425" t="s">
        <v>74</v>
      </c>
      <c r="T425" t="s">
        <v>8151</v>
      </c>
      <c r="U425" t="s">
        <v>8152</v>
      </c>
      <c r="V425" t="s">
        <v>8153</v>
      </c>
      <c r="W425" t="s">
        <v>8154</v>
      </c>
      <c r="X425" t="s">
        <v>8155</v>
      </c>
      <c r="Y425" t="s">
        <v>8156</v>
      </c>
      <c r="Z425" t="s">
        <v>8157</v>
      </c>
      <c r="AA425" t="s">
        <v>74</v>
      </c>
      <c r="AB425" t="s">
        <v>74</v>
      </c>
      <c r="AC425" t="s">
        <v>74</v>
      </c>
      <c r="AD425" t="s">
        <v>74</v>
      </c>
      <c r="AE425" t="s">
        <v>74</v>
      </c>
      <c r="AF425" t="s">
        <v>74</v>
      </c>
      <c r="AG425">
        <v>135</v>
      </c>
      <c r="AH425">
        <v>21</v>
      </c>
      <c r="AI425">
        <v>22</v>
      </c>
      <c r="AJ425">
        <v>0</v>
      </c>
      <c r="AK425">
        <v>6</v>
      </c>
      <c r="AL425" t="s">
        <v>393</v>
      </c>
      <c r="AM425" t="s">
        <v>394</v>
      </c>
      <c r="AN425" t="s">
        <v>395</v>
      </c>
      <c r="AO425" t="s">
        <v>396</v>
      </c>
      <c r="AP425" t="s">
        <v>74</v>
      </c>
      <c r="AQ425" t="s">
        <v>397</v>
      </c>
      <c r="AR425" t="s">
        <v>398</v>
      </c>
      <c r="AS425" t="s">
        <v>74</v>
      </c>
      <c r="AT425" t="s">
        <v>74</v>
      </c>
      <c r="AU425">
        <v>2016</v>
      </c>
      <c r="AV425" t="s">
        <v>74</v>
      </c>
      <c r="AW425" t="s">
        <v>74</v>
      </c>
      <c r="AX425" t="s">
        <v>74</v>
      </c>
      <c r="AY425" t="s">
        <v>74</v>
      </c>
      <c r="AZ425" t="s">
        <v>74</v>
      </c>
      <c r="BA425" t="s">
        <v>74</v>
      </c>
      <c r="BB425">
        <v>145</v>
      </c>
      <c r="BC425">
        <v>174</v>
      </c>
      <c r="BD425" t="s">
        <v>74</v>
      </c>
      <c r="BE425" t="s">
        <v>8158</v>
      </c>
      <c r="BF425" t="str">
        <f>HYPERLINK("http://dx.doi.org/10.1007/978-3-319-29279-3_4","http://dx.doi.org/10.1007/978-3-319-29279-3_4")</f>
        <v>http://dx.doi.org/10.1007/978-3-319-29279-3_4</v>
      </c>
      <c r="BG425" t="s">
        <v>399</v>
      </c>
      <c r="BH425" t="s">
        <v>74</v>
      </c>
      <c r="BI425">
        <v>30</v>
      </c>
      <c r="BJ425" t="s">
        <v>400</v>
      </c>
      <c r="BK425" t="s">
        <v>216</v>
      </c>
      <c r="BL425" t="s">
        <v>401</v>
      </c>
      <c r="BM425" t="s">
        <v>402</v>
      </c>
      <c r="BN425" t="s">
        <v>74</v>
      </c>
      <c r="BO425" t="s">
        <v>403</v>
      </c>
      <c r="BP425" t="s">
        <v>74</v>
      </c>
      <c r="BQ425" t="s">
        <v>74</v>
      </c>
      <c r="BR425" t="s">
        <v>100</v>
      </c>
      <c r="BS425" t="s">
        <v>8159</v>
      </c>
      <c r="BT425" t="str">
        <f>HYPERLINK("https%3A%2F%2Fwww.webofscience.com%2Fwos%2Fwoscc%2Ffull-record%2FWOS:000401843300005","View Full Record in Web of Science")</f>
        <v>View Full Record in Web of Science</v>
      </c>
    </row>
    <row r="426" spans="1:72" x14ac:dyDescent="0.15">
      <c r="A426" t="s">
        <v>193</v>
      </c>
      <c r="B426" t="s">
        <v>8160</v>
      </c>
      <c r="C426" t="s">
        <v>74</v>
      </c>
      <c r="D426" t="s">
        <v>388</v>
      </c>
      <c r="E426" t="s">
        <v>74</v>
      </c>
      <c r="F426" t="s">
        <v>8161</v>
      </c>
      <c r="G426" t="s">
        <v>74</v>
      </c>
      <c r="H426" t="s">
        <v>74</v>
      </c>
      <c r="I426" t="s">
        <v>8162</v>
      </c>
      <c r="J426" t="s">
        <v>390</v>
      </c>
      <c r="K426" t="s">
        <v>391</v>
      </c>
      <c r="L426" t="s">
        <v>74</v>
      </c>
      <c r="M426" t="s">
        <v>200</v>
      </c>
      <c r="N426" t="s">
        <v>201</v>
      </c>
      <c r="O426" t="s">
        <v>74</v>
      </c>
      <c r="P426" t="s">
        <v>74</v>
      </c>
      <c r="Q426" t="s">
        <v>74</v>
      </c>
      <c r="R426" t="s">
        <v>74</v>
      </c>
      <c r="S426" t="s">
        <v>74</v>
      </c>
      <c r="T426" t="s">
        <v>8163</v>
      </c>
      <c r="U426" t="s">
        <v>8164</v>
      </c>
      <c r="V426" t="s">
        <v>8165</v>
      </c>
      <c r="W426" t="s">
        <v>8166</v>
      </c>
      <c r="X426" t="s">
        <v>468</v>
      </c>
      <c r="Y426" t="s">
        <v>8167</v>
      </c>
      <c r="Z426" t="s">
        <v>8168</v>
      </c>
      <c r="AA426" t="s">
        <v>8169</v>
      </c>
      <c r="AB426" t="s">
        <v>74</v>
      </c>
      <c r="AC426" t="s">
        <v>472</v>
      </c>
      <c r="AD426" t="s">
        <v>429</v>
      </c>
      <c r="AE426" t="s">
        <v>74</v>
      </c>
      <c r="AF426" t="s">
        <v>74</v>
      </c>
      <c r="AG426">
        <v>164</v>
      </c>
      <c r="AH426">
        <v>43</v>
      </c>
      <c r="AI426">
        <v>48</v>
      </c>
      <c r="AJ426">
        <v>0</v>
      </c>
      <c r="AK426">
        <v>16</v>
      </c>
      <c r="AL426" t="s">
        <v>393</v>
      </c>
      <c r="AM426" t="s">
        <v>394</v>
      </c>
      <c r="AN426" t="s">
        <v>395</v>
      </c>
      <c r="AO426" t="s">
        <v>396</v>
      </c>
      <c r="AP426" t="s">
        <v>74</v>
      </c>
      <c r="AQ426" t="s">
        <v>397</v>
      </c>
      <c r="AR426" t="s">
        <v>398</v>
      </c>
      <c r="AS426" t="s">
        <v>74</v>
      </c>
      <c r="AT426" t="s">
        <v>74</v>
      </c>
      <c r="AU426">
        <v>2016</v>
      </c>
      <c r="AV426" t="s">
        <v>74</v>
      </c>
      <c r="AW426" t="s">
        <v>74</v>
      </c>
      <c r="AX426" t="s">
        <v>74</v>
      </c>
      <c r="AY426" t="s">
        <v>74</v>
      </c>
      <c r="AZ426" t="s">
        <v>74</v>
      </c>
      <c r="BA426" t="s">
        <v>74</v>
      </c>
      <c r="BB426">
        <v>279</v>
      </c>
      <c r="BC426">
        <v>319</v>
      </c>
      <c r="BD426" t="s">
        <v>74</v>
      </c>
      <c r="BE426" t="s">
        <v>8170</v>
      </c>
      <c r="BF426" t="str">
        <f>HYPERLINK("http://dx.doi.org/10.1007/978-3-319-29279-3_8","http://dx.doi.org/10.1007/978-3-319-29279-3_8")</f>
        <v>http://dx.doi.org/10.1007/978-3-319-29279-3_8</v>
      </c>
      <c r="BG426" t="s">
        <v>399</v>
      </c>
      <c r="BH426" t="s">
        <v>74</v>
      </c>
      <c r="BI426">
        <v>41</v>
      </c>
      <c r="BJ426" t="s">
        <v>400</v>
      </c>
      <c r="BK426" t="s">
        <v>216</v>
      </c>
      <c r="BL426" t="s">
        <v>401</v>
      </c>
      <c r="BM426" t="s">
        <v>402</v>
      </c>
      <c r="BN426" t="s">
        <v>74</v>
      </c>
      <c r="BO426" t="s">
        <v>74</v>
      </c>
      <c r="BP426" t="s">
        <v>74</v>
      </c>
      <c r="BQ426" t="s">
        <v>74</v>
      </c>
      <c r="BR426" t="s">
        <v>100</v>
      </c>
      <c r="BS426" t="s">
        <v>8171</v>
      </c>
      <c r="BT426" t="str">
        <f>HYPERLINK("https%3A%2F%2Fwww.webofscience.com%2Fwos%2Fwoscc%2Ffull-record%2FWOS:000401843300009","View Full Record in Web of Science")</f>
        <v>View Full Record in Web of Science</v>
      </c>
    </row>
    <row r="427" spans="1:72" x14ac:dyDescent="0.15">
      <c r="A427" t="s">
        <v>193</v>
      </c>
      <c r="B427" t="s">
        <v>8172</v>
      </c>
      <c r="C427" t="s">
        <v>74</v>
      </c>
      <c r="D427" t="s">
        <v>388</v>
      </c>
      <c r="E427" t="s">
        <v>74</v>
      </c>
      <c r="F427" t="s">
        <v>8173</v>
      </c>
      <c r="G427" t="s">
        <v>74</v>
      </c>
      <c r="H427" t="s">
        <v>74</v>
      </c>
      <c r="I427" t="s">
        <v>8174</v>
      </c>
      <c r="J427" t="s">
        <v>390</v>
      </c>
      <c r="K427" t="s">
        <v>391</v>
      </c>
      <c r="L427" t="s">
        <v>74</v>
      </c>
      <c r="M427" t="s">
        <v>200</v>
      </c>
      <c r="N427" t="s">
        <v>201</v>
      </c>
      <c r="O427" t="s">
        <v>74</v>
      </c>
      <c r="P427" t="s">
        <v>74</v>
      </c>
      <c r="Q427" t="s">
        <v>74</v>
      </c>
      <c r="R427" t="s">
        <v>74</v>
      </c>
      <c r="S427" t="s">
        <v>74</v>
      </c>
      <c r="T427" t="s">
        <v>8175</v>
      </c>
      <c r="U427" t="s">
        <v>8176</v>
      </c>
      <c r="V427" t="s">
        <v>8177</v>
      </c>
      <c r="W427" t="s">
        <v>8178</v>
      </c>
      <c r="X427" t="s">
        <v>3480</v>
      </c>
      <c r="Y427" t="s">
        <v>8179</v>
      </c>
      <c r="Z427" t="s">
        <v>8180</v>
      </c>
      <c r="AA427" t="s">
        <v>74</v>
      </c>
      <c r="AB427" t="s">
        <v>74</v>
      </c>
      <c r="AC427" t="s">
        <v>74</v>
      </c>
      <c r="AD427" t="s">
        <v>74</v>
      </c>
      <c r="AE427" t="s">
        <v>74</v>
      </c>
      <c r="AF427" t="s">
        <v>74</v>
      </c>
      <c r="AG427">
        <v>136</v>
      </c>
      <c r="AH427">
        <v>91</v>
      </c>
      <c r="AI427">
        <v>101</v>
      </c>
      <c r="AJ427">
        <v>0</v>
      </c>
      <c r="AK427">
        <v>15</v>
      </c>
      <c r="AL427" t="s">
        <v>393</v>
      </c>
      <c r="AM427" t="s">
        <v>394</v>
      </c>
      <c r="AN427" t="s">
        <v>395</v>
      </c>
      <c r="AO427" t="s">
        <v>396</v>
      </c>
      <c r="AP427" t="s">
        <v>74</v>
      </c>
      <c r="AQ427" t="s">
        <v>397</v>
      </c>
      <c r="AR427" t="s">
        <v>398</v>
      </c>
      <c r="AS427" t="s">
        <v>74</v>
      </c>
      <c r="AT427" t="s">
        <v>74</v>
      </c>
      <c r="AU427">
        <v>2016</v>
      </c>
      <c r="AV427" t="s">
        <v>74</v>
      </c>
      <c r="AW427" t="s">
        <v>74</v>
      </c>
      <c r="AX427" t="s">
        <v>74</v>
      </c>
      <c r="AY427" t="s">
        <v>74</v>
      </c>
      <c r="AZ427" t="s">
        <v>74</v>
      </c>
      <c r="BA427" t="s">
        <v>74</v>
      </c>
      <c r="BB427">
        <v>387</v>
      </c>
      <c r="BC427">
        <v>421</v>
      </c>
      <c r="BD427" t="s">
        <v>74</v>
      </c>
      <c r="BE427" t="s">
        <v>8181</v>
      </c>
      <c r="BF427" t="str">
        <f>HYPERLINK("http://dx.doi.org/10.1007/978-3-319-29279-3_11","http://dx.doi.org/10.1007/978-3-319-29279-3_11")</f>
        <v>http://dx.doi.org/10.1007/978-3-319-29279-3_11</v>
      </c>
      <c r="BG427" t="s">
        <v>399</v>
      </c>
      <c r="BH427" t="s">
        <v>74</v>
      </c>
      <c r="BI427">
        <v>35</v>
      </c>
      <c r="BJ427" t="s">
        <v>400</v>
      </c>
      <c r="BK427" t="s">
        <v>216</v>
      </c>
      <c r="BL427" t="s">
        <v>401</v>
      </c>
      <c r="BM427" t="s">
        <v>402</v>
      </c>
      <c r="BN427" t="s">
        <v>74</v>
      </c>
      <c r="BO427" t="s">
        <v>74</v>
      </c>
      <c r="BP427" t="s">
        <v>74</v>
      </c>
      <c r="BQ427" t="s">
        <v>74</v>
      </c>
      <c r="BR427" t="s">
        <v>100</v>
      </c>
      <c r="BS427" t="s">
        <v>8182</v>
      </c>
      <c r="BT427" t="str">
        <f>HYPERLINK("https%3A%2F%2Fwww.webofscience.com%2Fwos%2Fwoscc%2Ffull-record%2FWOS:000401843300012","View Full Record in Web of Science")</f>
        <v>View Full Record in Web of Science</v>
      </c>
    </row>
    <row r="428" spans="1:72" x14ac:dyDescent="0.15">
      <c r="A428" t="s">
        <v>193</v>
      </c>
      <c r="B428" t="s">
        <v>8183</v>
      </c>
      <c r="C428" t="s">
        <v>74</v>
      </c>
      <c r="D428" t="s">
        <v>8184</v>
      </c>
      <c r="E428" t="s">
        <v>74</v>
      </c>
      <c r="F428" t="s">
        <v>8185</v>
      </c>
      <c r="G428" t="s">
        <v>74</v>
      </c>
      <c r="H428" t="s">
        <v>74</v>
      </c>
      <c r="I428" t="s">
        <v>8186</v>
      </c>
      <c r="J428" t="s">
        <v>8187</v>
      </c>
      <c r="K428" t="s">
        <v>8188</v>
      </c>
      <c r="L428" t="s">
        <v>74</v>
      </c>
      <c r="M428" t="s">
        <v>200</v>
      </c>
      <c r="N428" t="s">
        <v>201</v>
      </c>
      <c r="O428" t="s">
        <v>74</v>
      </c>
      <c r="P428" t="s">
        <v>74</v>
      </c>
      <c r="Q428" t="s">
        <v>74</v>
      </c>
      <c r="R428" t="s">
        <v>74</v>
      </c>
      <c r="S428" t="s">
        <v>74</v>
      </c>
      <c r="T428" t="s">
        <v>74</v>
      </c>
      <c r="U428" t="s">
        <v>8189</v>
      </c>
      <c r="V428" t="s">
        <v>74</v>
      </c>
      <c r="W428" t="s">
        <v>8190</v>
      </c>
      <c r="X428" t="s">
        <v>8191</v>
      </c>
      <c r="Y428" t="s">
        <v>8192</v>
      </c>
      <c r="Z428" t="s">
        <v>8193</v>
      </c>
      <c r="AA428" t="s">
        <v>74</v>
      </c>
      <c r="AB428" t="s">
        <v>74</v>
      </c>
      <c r="AC428" t="s">
        <v>74</v>
      </c>
      <c r="AD428" t="s">
        <v>74</v>
      </c>
      <c r="AE428" t="s">
        <v>74</v>
      </c>
      <c r="AF428" t="s">
        <v>74</v>
      </c>
      <c r="AG428">
        <v>77</v>
      </c>
      <c r="AH428">
        <v>12</v>
      </c>
      <c r="AI428">
        <v>16</v>
      </c>
      <c r="AJ428">
        <v>1</v>
      </c>
      <c r="AK428">
        <v>7</v>
      </c>
      <c r="AL428" t="s">
        <v>393</v>
      </c>
      <c r="AM428" t="s">
        <v>394</v>
      </c>
      <c r="AN428" t="s">
        <v>395</v>
      </c>
      <c r="AO428" t="s">
        <v>8194</v>
      </c>
      <c r="AP428" t="s">
        <v>8195</v>
      </c>
      <c r="AQ428" t="s">
        <v>8196</v>
      </c>
      <c r="AR428" t="s">
        <v>8197</v>
      </c>
      <c r="AS428" t="s">
        <v>74</v>
      </c>
      <c r="AT428" t="s">
        <v>74</v>
      </c>
      <c r="AU428">
        <v>2016</v>
      </c>
      <c r="AV428">
        <v>1</v>
      </c>
      <c r="AW428" t="s">
        <v>74</v>
      </c>
      <c r="AX428" t="s">
        <v>74</v>
      </c>
      <c r="AY428" t="s">
        <v>74</v>
      </c>
      <c r="AZ428" t="s">
        <v>74</v>
      </c>
      <c r="BA428" t="s">
        <v>74</v>
      </c>
      <c r="BB428">
        <v>83</v>
      </c>
      <c r="BC428">
        <v>115</v>
      </c>
      <c r="BD428" t="s">
        <v>74</v>
      </c>
      <c r="BE428" t="s">
        <v>8198</v>
      </c>
      <c r="BF428" t="str">
        <f>HYPERLINK("http://dx.doi.org/10.1007/978-3-319-13521-2_3","http://dx.doi.org/10.1007/978-3-319-13521-2_3")</f>
        <v>http://dx.doi.org/10.1007/978-3-319-13521-2_3</v>
      </c>
      <c r="BG428" t="s">
        <v>8199</v>
      </c>
      <c r="BH428" t="s">
        <v>74</v>
      </c>
      <c r="BI428">
        <v>33</v>
      </c>
      <c r="BJ428" t="s">
        <v>8200</v>
      </c>
      <c r="BK428" t="s">
        <v>216</v>
      </c>
      <c r="BL428" t="s">
        <v>8200</v>
      </c>
      <c r="BM428" t="s">
        <v>8201</v>
      </c>
      <c r="BN428" t="s">
        <v>74</v>
      </c>
      <c r="BO428" t="s">
        <v>74</v>
      </c>
      <c r="BP428" t="s">
        <v>74</v>
      </c>
      <c r="BQ428" t="s">
        <v>74</v>
      </c>
      <c r="BR428" t="s">
        <v>100</v>
      </c>
      <c r="BS428" t="s">
        <v>8202</v>
      </c>
      <c r="BT428" t="str">
        <f>HYPERLINK("https%3A%2F%2Fwww.webofscience.com%2Fwos%2Fwoscc%2Ffull-record%2FWOS:000425685600005","View Full Record in Web of Science")</f>
        <v>View Full Record in Web of Science</v>
      </c>
    </row>
    <row r="429" spans="1:72" x14ac:dyDescent="0.15">
      <c r="A429" t="s">
        <v>193</v>
      </c>
      <c r="B429" t="s">
        <v>8203</v>
      </c>
      <c r="C429" t="s">
        <v>8204</v>
      </c>
      <c r="D429" t="s">
        <v>74</v>
      </c>
      <c r="E429" t="s">
        <v>74</v>
      </c>
      <c r="F429" t="s">
        <v>8205</v>
      </c>
      <c r="G429" t="s">
        <v>8204</v>
      </c>
      <c r="H429" t="s">
        <v>74</v>
      </c>
      <c r="I429" t="s">
        <v>8206</v>
      </c>
      <c r="J429" t="s">
        <v>8207</v>
      </c>
      <c r="K429" t="s">
        <v>2178</v>
      </c>
      <c r="L429" t="s">
        <v>74</v>
      </c>
      <c r="M429" t="s">
        <v>200</v>
      </c>
      <c r="N429" t="s">
        <v>201</v>
      </c>
      <c r="O429" t="s">
        <v>74</v>
      </c>
      <c r="P429" t="s">
        <v>74</v>
      </c>
      <c r="Q429" t="s">
        <v>74</v>
      </c>
      <c r="R429" t="s">
        <v>74</v>
      </c>
      <c r="S429" t="s">
        <v>74</v>
      </c>
      <c r="T429" t="s">
        <v>8208</v>
      </c>
      <c r="U429" t="s">
        <v>8209</v>
      </c>
      <c r="V429" t="s">
        <v>8210</v>
      </c>
      <c r="W429" t="s">
        <v>74</v>
      </c>
      <c r="X429" t="s">
        <v>74</v>
      </c>
      <c r="Y429" t="s">
        <v>74</v>
      </c>
      <c r="Z429" t="s">
        <v>74</v>
      </c>
      <c r="AA429" t="s">
        <v>74</v>
      </c>
      <c r="AB429" t="s">
        <v>74</v>
      </c>
      <c r="AC429" t="s">
        <v>74</v>
      </c>
      <c r="AD429" t="s">
        <v>74</v>
      </c>
      <c r="AE429" t="s">
        <v>74</v>
      </c>
      <c r="AF429" t="s">
        <v>74</v>
      </c>
      <c r="AG429">
        <v>150</v>
      </c>
      <c r="AH429">
        <v>23</v>
      </c>
      <c r="AI429">
        <v>28</v>
      </c>
      <c r="AJ429">
        <v>0</v>
      </c>
      <c r="AK429">
        <v>11</v>
      </c>
      <c r="AL429" t="s">
        <v>3560</v>
      </c>
      <c r="AM429" t="s">
        <v>4093</v>
      </c>
      <c r="AN429" t="s">
        <v>4094</v>
      </c>
      <c r="AO429" t="s">
        <v>2186</v>
      </c>
      <c r="AP429" t="s">
        <v>2187</v>
      </c>
      <c r="AQ429" t="s">
        <v>8211</v>
      </c>
      <c r="AR429" t="s">
        <v>2189</v>
      </c>
      <c r="AS429" t="s">
        <v>74</v>
      </c>
      <c r="AT429" t="s">
        <v>74</v>
      </c>
      <c r="AU429">
        <v>2016</v>
      </c>
      <c r="AV429" t="s">
        <v>74</v>
      </c>
      <c r="AW429" t="s">
        <v>74</v>
      </c>
      <c r="AX429" t="s">
        <v>74</v>
      </c>
      <c r="AY429" t="s">
        <v>74</v>
      </c>
      <c r="AZ429" t="s">
        <v>74</v>
      </c>
      <c r="BA429" t="s">
        <v>74</v>
      </c>
      <c r="BB429">
        <v>77</v>
      </c>
      <c r="BC429">
        <v>124</v>
      </c>
      <c r="BD429" t="s">
        <v>74</v>
      </c>
      <c r="BE429" t="s">
        <v>8212</v>
      </c>
      <c r="BF429" t="str">
        <f>HYPERLINK("http://dx.doi.org/10.1007/978-94-017-7420-8_3","http://dx.doi.org/10.1007/978-94-017-7420-8_3")</f>
        <v>http://dx.doi.org/10.1007/978-94-017-7420-8_3</v>
      </c>
      <c r="BG429" t="s">
        <v>8213</v>
      </c>
      <c r="BH429" t="s">
        <v>74</v>
      </c>
      <c r="BI429">
        <v>48</v>
      </c>
      <c r="BJ429" t="s">
        <v>8214</v>
      </c>
      <c r="BK429" t="s">
        <v>216</v>
      </c>
      <c r="BL429" t="s">
        <v>8214</v>
      </c>
      <c r="BM429" t="s">
        <v>8215</v>
      </c>
      <c r="BN429" t="s">
        <v>74</v>
      </c>
      <c r="BO429" t="s">
        <v>74</v>
      </c>
      <c r="BP429" t="s">
        <v>74</v>
      </c>
      <c r="BQ429" t="s">
        <v>74</v>
      </c>
      <c r="BR429" t="s">
        <v>100</v>
      </c>
      <c r="BS429" t="s">
        <v>8216</v>
      </c>
      <c r="BT429" t="str">
        <f>HYPERLINK("https%3A%2F%2Fwww.webofscience.com%2Fwos%2Fwoscc%2Ffull-record%2FWOS:000371325100004","View Full Record in Web of Science")</f>
        <v>View Full Record in Web of Science</v>
      </c>
    </row>
    <row r="430" spans="1:72" x14ac:dyDescent="0.15">
      <c r="A430" t="s">
        <v>72</v>
      </c>
      <c r="B430" t="s">
        <v>8217</v>
      </c>
      <c r="C430" t="s">
        <v>74</v>
      </c>
      <c r="D430" t="s">
        <v>74</v>
      </c>
      <c r="E430" t="s">
        <v>74</v>
      </c>
      <c r="F430" t="s">
        <v>8218</v>
      </c>
      <c r="G430" t="s">
        <v>74</v>
      </c>
      <c r="H430" t="s">
        <v>74</v>
      </c>
      <c r="I430" t="s">
        <v>8219</v>
      </c>
      <c r="J430" t="s">
        <v>8220</v>
      </c>
      <c r="K430" t="s">
        <v>74</v>
      </c>
      <c r="L430" t="s">
        <v>74</v>
      </c>
      <c r="M430" t="s">
        <v>200</v>
      </c>
      <c r="N430" t="s">
        <v>79</v>
      </c>
      <c r="O430" t="s">
        <v>74</v>
      </c>
      <c r="P430" t="s">
        <v>74</v>
      </c>
      <c r="Q430" t="s">
        <v>74</v>
      </c>
      <c r="R430" t="s">
        <v>74</v>
      </c>
      <c r="S430" t="s">
        <v>74</v>
      </c>
      <c r="T430" t="s">
        <v>74</v>
      </c>
      <c r="U430" t="s">
        <v>8221</v>
      </c>
      <c r="V430" t="s">
        <v>8222</v>
      </c>
      <c r="W430" t="s">
        <v>8223</v>
      </c>
      <c r="X430" t="s">
        <v>8224</v>
      </c>
      <c r="Y430" t="s">
        <v>8225</v>
      </c>
      <c r="Z430" t="s">
        <v>8226</v>
      </c>
      <c r="AA430" t="s">
        <v>8227</v>
      </c>
      <c r="AB430" t="s">
        <v>8228</v>
      </c>
      <c r="AC430" t="s">
        <v>8229</v>
      </c>
      <c r="AD430" t="s">
        <v>8230</v>
      </c>
      <c r="AE430" t="s">
        <v>8231</v>
      </c>
      <c r="AF430" t="s">
        <v>74</v>
      </c>
      <c r="AG430">
        <v>34</v>
      </c>
      <c r="AH430">
        <v>220</v>
      </c>
      <c r="AI430">
        <v>231</v>
      </c>
      <c r="AJ430">
        <v>12</v>
      </c>
      <c r="AK430">
        <v>85</v>
      </c>
      <c r="AL430" t="s">
        <v>6662</v>
      </c>
      <c r="AM430" t="s">
        <v>6663</v>
      </c>
      <c r="AN430" t="s">
        <v>6664</v>
      </c>
      <c r="AO430" t="s">
        <v>8232</v>
      </c>
      <c r="AP430" t="s">
        <v>8233</v>
      </c>
      <c r="AQ430" t="s">
        <v>74</v>
      </c>
      <c r="AR430" t="s">
        <v>8234</v>
      </c>
      <c r="AS430" t="s">
        <v>8235</v>
      </c>
      <c r="AT430" t="s">
        <v>315</v>
      </c>
      <c r="AU430">
        <v>2016</v>
      </c>
      <c r="AV430">
        <v>97</v>
      </c>
      <c r="AW430">
        <v>1</v>
      </c>
      <c r="AX430" t="s">
        <v>74</v>
      </c>
      <c r="AY430" t="s">
        <v>74</v>
      </c>
      <c r="AZ430" t="s">
        <v>74</v>
      </c>
      <c r="BA430" t="s">
        <v>74</v>
      </c>
      <c r="BB430">
        <v>111</v>
      </c>
      <c r="BC430">
        <v>121</v>
      </c>
      <c r="BD430" t="s">
        <v>74</v>
      </c>
      <c r="BE430" t="s">
        <v>8236</v>
      </c>
      <c r="BF430" t="str">
        <f>HYPERLINK("http://dx.doi.org/10.1175/BAMS-D-14-00018.1","http://dx.doi.org/10.1175/BAMS-D-14-00018.1")</f>
        <v>http://dx.doi.org/10.1175/BAMS-D-14-00018.1</v>
      </c>
      <c r="BG430" t="s">
        <v>74</v>
      </c>
      <c r="BH430" t="s">
        <v>74</v>
      </c>
      <c r="BI430">
        <v>11</v>
      </c>
      <c r="BJ430" t="s">
        <v>1721</v>
      </c>
      <c r="BK430" t="s">
        <v>264</v>
      </c>
      <c r="BL430" t="s">
        <v>1721</v>
      </c>
      <c r="BM430" t="s">
        <v>8237</v>
      </c>
      <c r="BN430" t="s">
        <v>74</v>
      </c>
      <c r="BO430" t="s">
        <v>8238</v>
      </c>
      <c r="BP430" t="s">
        <v>7861</v>
      </c>
      <c r="BQ430" t="s">
        <v>7862</v>
      </c>
      <c r="BR430" t="s">
        <v>100</v>
      </c>
      <c r="BS430" t="s">
        <v>8239</v>
      </c>
      <c r="BT430" t="str">
        <f>HYPERLINK("https%3A%2F%2Fwww.webofscience.com%2Fwos%2Fwoscc%2Ffull-record%2FWOS:000370066500002","View Full Record in Web of Science")</f>
        <v>View Full Record in Web of Science</v>
      </c>
    </row>
    <row r="431" spans="1:72" x14ac:dyDescent="0.15">
      <c r="A431" t="s">
        <v>72</v>
      </c>
      <c r="B431" t="s">
        <v>8240</v>
      </c>
      <c r="C431" t="s">
        <v>74</v>
      </c>
      <c r="D431" t="s">
        <v>74</v>
      </c>
      <c r="E431" t="s">
        <v>74</v>
      </c>
      <c r="F431" t="s">
        <v>8241</v>
      </c>
      <c r="G431" t="s">
        <v>74</v>
      </c>
      <c r="H431" t="s">
        <v>74</v>
      </c>
      <c r="I431" t="s">
        <v>8242</v>
      </c>
      <c r="J431" t="s">
        <v>1879</v>
      </c>
      <c r="K431" t="s">
        <v>74</v>
      </c>
      <c r="L431" t="s">
        <v>74</v>
      </c>
      <c r="M431" t="s">
        <v>200</v>
      </c>
      <c r="N431" t="s">
        <v>79</v>
      </c>
      <c r="O431" t="s">
        <v>74</v>
      </c>
      <c r="P431" t="s">
        <v>74</v>
      </c>
      <c r="Q431" t="s">
        <v>74</v>
      </c>
      <c r="R431" t="s">
        <v>74</v>
      </c>
      <c r="S431" t="s">
        <v>74</v>
      </c>
      <c r="T431" t="s">
        <v>74</v>
      </c>
      <c r="U431" t="s">
        <v>8243</v>
      </c>
      <c r="V431" t="s">
        <v>8244</v>
      </c>
      <c r="W431" t="s">
        <v>8245</v>
      </c>
      <c r="X431" t="s">
        <v>8246</v>
      </c>
      <c r="Y431" t="s">
        <v>8247</v>
      </c>
      <c r="Z431" t="s">
        <v>8248</v>
      </c>
      <c r="AA431" t="s">
        <v>8249</v>
      </c>
      <c r="AB431" t="s">
        <v>8250</v>
      </c>
      <c r="AC431" t="s">
        <v>8251</v>
      </c>
      <c r="AD431" t="s">
        <v>8252</v>
      </c>
      <c r="AE431" t="s">
        <v>8253</v>
      </c>
      <c r="AF431" t="s">
        <v>74</v>
      </c>
      <c r="AG431">
        <v>37</v>
      </c>
      <c r="AH431">
        <v>24</v>
      </c>
      <c r="AI431">
        <v>26</v>
      </c>
      <c r="AJ431">
        <v>0</v>
      </c>
      <c r="AK431">
        <v>29</v>
      </c>
      <c r="AL431" t="s">
        <v>1890</v>
      </c>
      <c r="AM431" t="s">
        <v>1891</v>
      </c>
      <c r="AN431" t="s">
        <v>1892</v>
      </c>
      <c r="AO431" t="s">
        <v>1893</v>
      </c>
      <c r="AP431" t="s">
        <v>74</v>
      </c>
      <c r="AQ431" t="s">
        <v>74</v>
      </c>
      <c r="AR431" t="s">
        <v>1894</v>
      </c>
      <c r="AS431" t="s">
        <v>1895</v>
      </c>
      <c r="AT431" t="s">
        <v>74</v>
      </c>
      <c r="AU431">
        <v>2016</v>
      </c>
      <c r="AV431">
        <v>23</v>
      </c>
      <c r="AW431" t="s">
        <v>74</v>
      </c>
      <c r="AX431" t="s">
        <v>74</v>
      </c>
      <c r="AY431" t="s">
        <v>74</v>
      </c>
      <c r="AZ431" t="s">
        <v>74</v>
      </c>
      <c r="BA431" t="s">
        <v>74</v>
      </c>
      <c r="BB431">
        <v>1</v>
      </c>
      <c r="BC431">
        <v>16</v>
      </c>
      <c r="BD431" t="s">
        <v>74</v>
      </c>
      <c r="BE431" t="s">
        <v>74</v>
      </c>
      <c r="BF431" t="s">
        <v>74</v>
      </c>
      <c r="BG431" t="s">
        <v>74</v>
      </c>
      <c r="BH431" t="s">
        <v>74</v>
      </c>
      <c r="BI431">
        <v>16</v>
      </c>
      <c r="BJ431" t="s">
        <v>263</v>
      </c>
      <c r="BK431" t="s">
        <v>264</v>
      </c>
      <c r="BL431" t="s">
        <v>263</v>
      </c>
      <c r="BM431" t="s">
        <v>1896</v>
      </c>
      <c r="BN431" t="s">
        <v>74</v>
      </c>
      <c r="BO431" t="s">
        <v>74</v>
      </c>
      <c r="BP431" t="s">
        <v>74</v>
      </c>
      <c r="BQ431" t="s">
        <v>74</v>
      </c>
      <c r="BR431" t="s">
        <v>100</v>
      </c>
      <c r="BS431" t="s">
        <v>8254</v>
      </c>
      <c r="BT431" t="str">
        <f>HYPERLINK("https%3A%2F%2Fwww.webofscience.com%2Fwos%2Fwoscc%2Ffull-record%2FWOS:000389894300001","View Full Record in Web of Science")</f>
        <v>View Full Record in Web of Science</v>
      </c>
    </row>
    <row r="432" spans="1:72" x14ac:dyDescent="0.15">
      <c r="A432" t="s">
        <v>72</v>
      </c>
      <c r="B432" t="s">
        <v>8255</v>
      </c>
      <c r="C432" t="s">
        <v>74</v>
      </c>
      <c r="D432" t="s">
        <v>74</v>
      </c>
      <c r="E432" t="s">
        <v>74</v>
      </c>
      <c r="F432" t="s">
        <v>8256</v>
      </c>
      <c r="G432" t="s">
        <v>74</v>
      </c>
      <c r="H432" t="s">
        <v>74</v>
      </c>
      <c r="I432" t="s">
        <v>8257</v>
      </c>
      <c r="J432" t="s">
        <v>1879</v>
      </c>
      <c r="K432" t="s">
        <v>74</v>
      </c>
      <c r="L432" t="s">
        <v>74</v>
      </c>
      <c r="M432" t="s">
        <v>200</v>
      </c>
      <c r="N432" t="s">
        <v>79</v>
      </c>
      <c r="O432" t="s">
        <v>74</v>
      </c>
      <c r="P432" t="s">
        <v>74</v>
      </c>
      <c r="Q432" t="s">
        <v>74</v>
      </c>
      <c r="R432" t="s">
        <v>74</v>
      </c>
      <c r="S432" t="s">
        <v>74</v>
      </c>
      <c r="T432" t="s">
        <v>74</v>
      </c>
      <c r="U432" t="s">
        <v>74</v>
      </c>
      <c r="V432" t="s">
        <v>8258</v>
      </c>
      <c r="W432" t="s">
        <v>8259</v>
      </c>
      <c r="X432" t="s">
        <v>8260</v>
      </c>
      <c r="Y432" t="s">
        <v>8261</v>
      </c>
      <c r="Z432" t="s">
        <v>8262</v>
      </c>
      <c r="AA432" t="s">
        <v>8263</v>
      </c>
      <c r="AB432" t="s">
        <v>74</v>
      </c>
      <c r="AC432" t="s">
        <v>74</v>
      </c>
      <c r="AD432" t="s">
        <v>74</v>
      </c>
      <c r="AE432" t="s">
        <v>74</v>
      </c>
      <c r="AF432" t="s">
        <v>74</v>
      </c>
      <c r="AG432">
        <v>58</v>
      </c>
      <c r="AH432">
        <v>41</v>
      </c>
      <c r="AI432">
        <v>43</v>
      </c>
      <c r="AJ432">
        <v>0</v>
      </c>
      <c r="AK432">
        <v>11</v>
      </c>
      <c r="AL432" t="s">
        <v>1890</v>
      </c>
      <c r="AM432" t="s">
        <v>1891</v>
      </c>
      <c r="AN432" t="s">
        <v>1892</v>
      </c>
      <c r="AO432" t="s">
        <v>1893</v>
      </c>
      <c r="AP432" t="s">
        <v>74</v>
      </c>
      <c r="AQ432" t="s">
        <v>74</v>
      </c>
      <c r="AR432" t="s">
        <v>1894</v>
      </c>
      <c r="AS432" t="s">
        <v>1895</v>
      </c>
      <c r="AT432" t="s">
        <v>74</v>
      </c>
      <c r="AU432">
        <v>2016</v>
      </c>
      <c r="AV432">
        <v>23</v>
      </c>
      <c r="AW432" t="s">
        <v>74</v>
      </c>
      <c r="AX432" t="s">
        <v>74</v>
      </c>
      <c r="AY432" t="s">
        <v>74</v>
      </c>
      <c r="AZ432" t="s">
        <v>74</v>
      </c>
      <c r="BA432" t="s">
        <v>74</v>
      </c>
      <c r="BB432">
        <v>31</v>
      </c>
      <c r="BC432">
        <v>51</v>
      </c>
      <c r="BD432" t="s">
        <v>74</v>
      </c>
      <c r="BE432" t="s">
        <v>74</v>
      </c>
      <c r="BF432" t="s">
        <v>74</v>
      </c>
      <c r="BG432" t="s">
        <v>74</v>
      </c>
      <c r="BH432" t="s">
        <v>74</v>
      </c>
      <c r="BI432">
        <v>21</v>
      </c>
      <c r="BJ432" t="s">
        <v>263</v>
      </c>
      <c r="BK432" t="s">
        <v>264</v>
      </c>
      <c r="BL432" t="s">
        <v>263</v>
      </c>
      <c r="BM432" t="s">
        <v>8264</v>
      </c>
      <c r="BN432" t="s">
        <v>74</v>
      </c>
      <c r="BO432" t="s">
        <v>74</v>
      </c>
      <c r="BP432" t="s">
        <v>74</v>
      </c>
      <c r="BQ432" t="s">
        <v>74</v>
      </c>
      <c r="BR432" t="s">
        <v>100</v>
      </c>
      <c r="BS432" t="s">
        <v>8265</v>
      </c>
      <c r="BT432" t="str">
        <f>HYPERLINK("https%3A%2F%2Fwww.webofscience.com%2Fwos%2Fwoscc%2Ffull-record%2FWOS:000432155800001","View Full Record in Web of Science")</f>
        <v>View Full Record in Web of Science</v>
      </c>
    </row>
    <row r="433" spans="1:72" x14ac:dyDescent="0.15">
      <c r="A433" t="s">
        <v>72</v>
      </c>
      <c r="B433" t="s">
        <v>8266</v>
      </c>
      <c r="C433" t="s">
        <v>74</v>
      </c>
      <c r="D433" t="s">
        <v>74</v>
      </c>
      <c r="E433" t="s">
        <v>74</v>
      </c>
      <c r="F433" t="s">
        <v>8267</v>
      </c>
      <c r="G433" t="s">
        <v>74</v>
      </c>
      <c r="H433" t="s">
        <v>74</v>
      </c>
      <c r="I433" t="s">
        <v>8268</v>
      </c>
      <c r="J433" t="s">
        <v>8269</v>
      </c>
      <c r="K433" t="s">
        <v>74</v>
      </c>
      <c r="L433" t="s">
        <v>74</v>
      </c>
      <c r="M433" t="s">
        <v>200</v>
      </c>
      <c r="N433" t="s">
        <v>79</v>
      </c>
      <c r="O433" t="s">
        <v>74</v>
      </c>
      <c r="P433" t="s">
        <v>74</v>
      </c>
      <c r="Q433" t="s">
        <v>74</v>
      </c>
      <c r="R433" t="s">
        <v>74</v>
      </c>
      <c r="S433" t="s">
        <v>74</v>
      </c>
      <c r="T433" t="s">
        <v>8270</v>
      </c>
      <c r="U433" t="s">
        <v>8271</v>
      </c>
      <c r="V433" t="s">
        <v>8272</v>
      </c>
      <c r="W433" t="s">
        <v>8273</v>
      </c>
      <c r="X433" t="s">
        <v>468</v>
      </c>
      <c r="Y433" t="s">
        <v>8274</v>
      </c>
      <c r="Z433" t="s">
        <v>8275</v>
      </c>
      <c r="AA433" t="s">
        <v>8276</v>
      </c>
      <c r="AB433" t="s">
        <v>8277</v>
      </c>
      <c r="AC433" t="s">
        <v>8278</v>
      </c>
      <c r="AD433" t="s">
        <v>8279</v>
      </c>
      <c r="AE433" t="s">
        <v>8280</v>
      </c>
      <c r="AF433" t="s">
        <v>74</v>
      </c>
      <c r="AG433">
        <v>54</v>
      </c>
      <c r="AH433">
        <v>10</v>
      </c>
      <c r="AI433">
        <v>11</v>
      </c>
      <c r="AJ433">
        <v>1</v>
      </c>
      <c r="AK433">
        <v>21</v>
      </c>
      <c r="AL433" t="s">
        <v>3560</v>
      </c>
      <c r="AM433" t="s">
        <v>4093</v>
      </c>
      <c r="AN433" t="s">
        <v>6706</v>
      </c>
      <c r="AO433" t="s">
        <v>8281</v>
      </c>
      <c r="AP433" t="s">
        <v>8282</v>
      </c>
      <c r="AQ433" t="s">
        <v>74</v>
      </c>
      <c r="AR433" t="s">
        <v>8283</v>
      </c>
      <c r="AS433" t="s">
        <v>8284</v>
      </c>
      <c r="AT433" t="s">
        <v>315</v>
      </c>
      <c r="AU433">
        <v>2016</v>
      </c>
      <c r="AV433">
        <v>21</v>
      </c>
      <c r="AW433">
        <v>1</v>
      </c>
      <c r="AX433" t="s">
        <v>74</v>
      </c>
      <c r="AY433" t="s">
        <v>74</v>
      </c>
      <c r="AZ433" t="s">
        <v>74</v>
      </c>
      <c r="BA433" t="s">
        <v>74</v>
      </c>
      <c r="BB433">
        <v>75</v>
      </c>
      <c r="BC433">
        <v>85</v>
      </c>
      <c r="BD433" t="s">
        <v>74</v>
      </c>
      <c r="BE433" t="s">
        <v>8285</v>
      </c>
      <c r="BF433" t="str">
        <f>HYPERLINK("http://dx.doi.org/10.1007/s12192-015-0640-x","http://dx.doi.org/10.1007/s12192-015-0640-x")</f>
        <v>http://dx.doi.org/10.1007/s12192-015-0640-x</v>
      </c>
      <c r="BG433" t="s">
        <v>74</v>
      </c>
      <c r="BH433" t="s">
        <v>74</v>
      </c>
      <c r="BI433">
        <v>11</v>
      </c>
      <c r="BJ433" t="s">
        <v>8286</v>
      </c>
      <c r="BK433" t="s">
        <v>264</v>
      </c>
      <c r="BL433" t="s">
        <v>8286</v>
      </c>
      <c r="BM433" t="s">
        <v>8287</v>
      </c>
      <c r="BN433">
        <v>26364303</v>
      </c>
      <c r="BO433" t="s">
        <v>7721</v>
      </c>
      <c r="BP433" t="s">
        <v>74</v>
      </c>
      <c r="BQ433" t="s">
        <v>74</v>
      </c>
      <c r="BR433" t="s">
        <v>100</v>
      </c>
      <c r="BS433" t="s">
        <v>8288</v>
      </c>
      <c r="BT433" t="str">
        <f>HYPERLINK("https%3A%2F%2Fwww.webofscience.com%2Fwos%2Fwoscc%2Ffull-record%2FWOS:000366634800008","View Full Record in Web of Science")</f>
        <v>View Full Record in Web of Science</v>
      </c>
    </row>
    <row r="434" spans="1:72" x14ac:dyDescent="0.15">
      <c r="A434" t="s">
        <v>72</v>
      </c>
      <c r="B434" t="s">
        <v>8289</v>
      </c>
      <c r="C434" t="s">
        <v>74</v>
      </c>
      <c r="D434" t="s">
        <v>74</v>
      </c>
      <c r="E434" t="s">
        <v>74</v>
      </c>
      <c r="F434" t="s">
        <v>8290</v>
      </c>
      <c r="G434" t="s">
        <v>74</v>
      </c>
      <c r="H434" t="s">
        <v>74</v>
      </c>
      <c r="I434" t="s">
        <v>8291</v>
      </c>
      <c r="J434" t="s">
        <v>5003</v>
      </c>
      <c r="K434" t="s">
        <v>74</v>
      </c>
      <c r="L434" t="s">
        <v>74</v>
      </c>
      <c r="M434" t="s">
        <v>200</v>
      </c>
      <c r="N434" t="s">
        <v>79</v>
      </c>
      <c r="O434" t="s">
        <v>74</v>
      </c>
      <c r="P434" t="s">
        <v>74</v>
      </c>
      <c r="Q434" t="s">
        <v>74</v>
      </c>
      <c r="R434" t="s">
        <v>74</v>
      </c>
      <c r="S434" t="s">
        <v>74</v>
      </c>
      <c r="T434" t="s">
        <v>74</v>
      </c>
      <c r="U434" t="s">
        <v>8292</v>
      </c>
      <c r="V434" t="s">
        <v>8293</v>
      </c>
      <c r="W434" t="s">
        <v>8294</v>
      </c>
      <c r="X434" t="s">
        <v>8295</v>
      </c>
      <c r="Y434" t="s">
        <v>8296</v>
      </c>
      <c r="Z434" t="s">
        <v>8297</v>
      </c>
      <c r="AA434" t="s">
        <v>8298</v>
      </c>
      <c r="AB434" t="s">
        <v>8299</v>
      </c>
      <c r="AC434" t="s">
        <v>8300</v>
      </c>
      <c r="AD434" t="s">
        <v>8301</v>
      </c>
      <c r="AE434" t="s">
        <v>8302</v>
      </c>
      <c r="AF434" t="s">
        <v>74</v>
      </c>
      <c r="AG434">
        <v>90</v>
      </c>
      <c r="AH434">
        <v>35</v>
      </c>
      <c r="AI434">
        <v>37</v>
      </c>
      <c r="AJ434">
        <v>1</v>
      </c>
      <c r="AK434">
        <v>22</v>
      </c>
      <c r="AL434" t="s">
        <v>358</v>
      </c>
      <c r="AM434" t="s">
        <v>359</v>
      </c>
      <c r="AN434" t="s">
        <v>3238</v>
      </c>
      <c r="AO434" t="s">
        <v>5015</v>
      </c>
      <c r="AP434" t="s">
        <v>5016</v>
      </c>
      <c r="AQ434" t="s">
        <v>74</v>
      </c>
      <c r="AR434" t="s">
        <v>5017</v>
      </c>
      <c r="AS434" t="s">
        <v>5018</v>
      </c>
      <c r="AT434" t="s">
        <v>74</v>
      </c>
      <c r="AU434">
        <v>2016</v>
      </c>
      <c r="AV434">
        <v>12</v>
      </c>
      <c r="AW434">
        <v>2</v>
      </c>
      <c r="AX434" t="s">
        <v>74</v>
      </c>
      <c r="AY434" t="s">
        <v>74</v>
      </c>
      <c r="AZ434" t="s">
        <v>74</v>
      </c>
      <c r="BA434" t="s">
        <v>74</v>
      </c>
      <c r="BB434">
        <v>189</v>
      </c>
      <c r="BC434">
        <v>200</v>
      </c>
      <c r="BD434" t="s">
        <v>74</v>
      </c>
      <c r="BE434" t="s">
        <v>8303</v>
      </c>
      <c r="BF434" t="str">
        <f>HYPERLINK("http://dx.doi.org/10.5194/cp-12-189-2016","http://dx.doi.org/10.5194/cp-12-189-2016")</f>
        <v>http://dx.doi.org/10.5194/cp-12-189-2016</v>
      </c>
      <c r="BG434" t="s">
        <v>74</v>
      </c>
      <c r="BH434" t="s">
        <v>74</v>
      </c>
      <c r="BI434">
        <v>12</v>
      </c>
      <c r="BJ434" t="s">
        <v>4328</v>
      </c>
      <c r="BK434" t="s">
        <v>264</v>
      </c>
      <c r="BL434" t="s">
        <v>4329</v>
      </c>
      <c r="BM434" t="s">
        <v>5689</v>
      </c>
      <c r="BN434" t="s">
        <v>74</v>
      </c>
      <c r="BO434" t="s">
        <v>2134</v>
      </c>
      <c r="BP434" t="s">
        <v>74</v>
      </c>
      <c r="BQ434" t="s">
        <v>74</v>
      </c>
      <c r="BR434" t="s">
        <v>100</v>
      </c>
      <c r="BS434" t="s">
        <v>8304</v>
      </c>
      <c r="BT434" t="str">
        <f>HYPERLINK("https%3A%2F%2Fwww.webofscience.com%2Fwos%2Fwoscc%2Ffull-record%2FWOS:000371625400002","View Full Record in Web of Science")</f>
        <v>View Full Record in Web of Science</v>
      </c>
    </row>
    <row r="435" spans="1:72" x14ac:dyDescent="0.15">
      <c r="A435" t="s">
        <v>72</v>
      </c>
      <c r="B435" t="s">
        <v>8305</v>
      </c>
      <c r="C435" t="s">
        <v>74</v>
      </c>
      <c r="D435" t="s">
        <v>74</v>
      </c>
      <c r="E435" t="s">
        <v>74</v>
      </c>
      <c r="F435" t="s">
        <v>8306</v>
      </c>
      <c r="G435" t="s">
        <v>74</v>
      </c>
      <c r="H435" t="s">
        <v>74</v>
      </c>
      <c r="I435" t="s">
        <v>8307</v>
      </c>
      <c r="J435" t="s">
        <v>5003</v>
      </c>
      <c r="K435" t="s">
        <v>74</v>
      </c>
      <c r="L435" t="s">
        <v>74</v>
      </c>
      <c r="M435" t="s">
        <v>200</v>
      </c>
      <c r="N435" t="s">
        <v>79</v>
      </c>
      <c r="O435" t="s">
        <v>74</v>
      </c>
      <c r="P435" t="s">
        <v>74</v>
      </c>
      <c r="Q435" t="s">
        <v>74</v>
      </c>
      <c r="R435" t="s">
        <v>74</v>
      </c>
      <c r="S435" t="s">
        <v>74</v>
      </c>
      <c r="T435" t="s">
        <v>74</v>
      </c>
      <c r="U435" t="s">
        <v>8308</v>
      </c>
      <c r="V435" t="s">
        <v>8309</v>
      </c>
      <c r="W435" t="s">
        <v>8310</v>
      </c>
      <c r="X435" t="s">
        <v>8311</v>
      </c>
      <c r="Y435" t="s">
        <v>8312</v>
      </c>
      <c r="Z435" t="s">
        <v>8313</v>
      </c>
      <c r="AA435" t="s">
        <v>8314</v>
      </c>
      <c r="AB435" t="s">
        <v>8315</v>
      </c>
      <c r="AC435" t="s">
        <v>8316</v>
      </c>
      <c r="AD435" t="s">
        <v>8317</v>
      </c>
      <c r="AE435" t="s">
        <v>8318</v>
      </c>
      <c r="AF435" t="s">
        <v>74</v>
      </c>
      <c r="AG435">
        <v>115</v>
      </c>
      <c r="AH435">
        <v>48</v>
      </c>
      <c r="AI435">
        <v>51</v>
      </c>
      <c r="AJ435">
        <v>0</v>
      </c>
      <c r="AK435">
        <v>28</v>
      </c>
      <c r="AL435" t="s">
        <v>358</v>
      </c>
      <c r="AM435" t="s">
        <v>359</v>
      </c>
      <c r="AN435" t="s">
        <v>3238</v>
      </c>
      <c r="AO435" t="s">
        <v>5015</v>
      </c>
      <c r="AP435" t="s">
        <v>5016</v>
      </c>
      <c r="AQ435" t="s">
        <v>74</v>
      </c>
      <c r="AR435" t="s">
        <v>5017</v>
      </c>
      <c r="AS435" t="s">
        <v>5018</v>
      </c>
      <c r="AT435" t="s">
        <v>74</v>
      </c>
      <c r="AU435">
        <v>2016</v>
      </c>
      <c r="AV435">
        <v>12</v>
      </c>
      <c r="AW435">
        <v>2</v>
      </c>
      <c r="AX435" t="s">
        <v>74</v>
      </c>
      <c r="AY435" t="s">
        <v>74</v>
      </c>
      <c r="AZ435" t="s">
        <v>74</v>
      </c>
      <c r="BA435" t="s">
        <v>74</v>
      </c>
      <c r="BB435">
        <v>439</v>
      </c>
      <c r="BC435">
        <v>454</v>
      </c>
      <c r="BD435" t="s">
        <v>74</v>
      </c>
      <c r="BE435" t="s">
        <v>8319</v>
      </c>
      <c r="BF435" t="str">
        <f>HYPERLINK("http://dx.doi.org/10.5194/cp-12-439-2016","http://dx.doi.org/10.5194/cp-12-439-2016")</f>
        <v>http://dx.doi.org/10.5194/cp-12-439-2016</v>
      </c>
      <c r="BG435" t="s">
        <v>74</v>
      </c>
      <c r="BH435" t="s">
        <v>74</v>
      </c>
      <c r="BI435">
        <v>16</v>
      </c>
      <c r="BJ435" t="s">
        <v>4328</v>
      </c>
      <c r="BK435" t="s">
        <v>264</v>
      </c>
      <c r="BL435" t="s">
        <v>4329</v>
      </c>
      <c r="BM435" t="s">
        <v>5689</v>
      </c>
      <c r="BN435" t="s">
        <v>74</v>
      </c>
      <c r="BO435" t="s">
        <v>2134</v>
      </c>
      <c r="BP435" t="s">
        <v>74</v>
      </c>
      <c r="BQ435" t="s">
        <v>74</v>
      </c>
      <c r="BR435" t="s">
        <v>100</v>
      </c>
      <c r="BS435" t="s">
        <v>8320</v>
      </c>
      <c r="BT435" t="str">
        <f>HYPERLINK("https%3A%2F%2Fwww.webofscience.com%2Fwos%2Fwoscc%2Ffull-record%2FWOS:000371625400015","View Full Record in Web of Science")</f>
        <v>View Full Record in Web of Science</v>
      </c>
    </row>
    <row r="436" spans="1:72" x14ac:dyDescent="0.15">
      <c r="A436" t="s">
        <v>72</v>
      </c>
      <c r="B436" t="s">
        <v>8321</v>
      </c>
      <c r="C436" t="s">
        <v>74</v>
      </c>
      <c r="D436" t="s">
        <v>74</v>
      </c>
      <c r="E436" t="s">
        <v>74</v>
      </c>
      <c r="F436" t="s">
        <v>8322</v>
      </c>
      <c r="G436" t="s">
        <v>74</v>
      </c>
      <c r="H436" t="s">
        <v>74</v>
      </c>
      <c r="I436" t="s">
        <v>8323</v>
      </c>
      <c r="J436" t="s">
        <v>5003</v>
      </c>
      <c r="K436" t="s">
        <v>74</v>
      </c>
      <c r="L436" t="s">
        <v>74</v>
      </c>
      <c r="M436" t="s">
        <v>200</v>
      </c>
      <c r="N436" t="s">
        <v>79</v>
      </c>
      <c r="O436" t="s">
        <v>74</v>
      </c>
      <c r="P436" t="s">
        <v>74</v>
      </c>
      <c r="Q436" t="s">
        <v>74</v>
      </c>
      <c r="R436" t="s">
        <v>74</v>
      </c>
      <c r="S436" t="s">
        <v>74</v>
      </c>
      <c r="T436" t="s">
        <v>74</v>
      </c>
      <c r="U436" t="s">
        <v>8324</v>
      </c>
      <c r="V436" t="s">
        <v>8325</v>
      </c>
      <c r="W436" t="s">
        <v>8326</v>
      </c>
      <c r="X436" t="s">
        <v>8327</v>
      </c>
      <c r="Y436" t="s">
        <v>8328</v>
      </c>
      <c r="Z436" t="s">
        <v>8329</v>
      </c>
      <c r="AA436" t="s">
        <v>8330</v>
      </c>
      <c r="AB436" t="s">
        <v>8331</v>
      </c>
      <c r="AC436" t="s">
        <v>8332</v>
      </c>
      <c r="AD436" t="s">
        <v>8333</v>
      </c>
      <c r="AE436" t="s">
        <v>8334</v>
      </c>
      <c r="AF436" t="s">
        <v>74</v>
      </c>
      <c r="AG436">
        <v>71</v>
      </c>
      <c r="AH436">
        <v>21</v>
      </c>
      <c r="AI436">
        <v>22</v>
      </c>
      <c r="AJ436">
        <v>0</v>
      </c>
      <c r="AK436">
        <v>14</v>
      </c>
      <c r="AL436" t="s">
        <v>358</v>
      </c>
      <c r="AM436" t="s">
        <v>359</v>
      </c>
      <c r="AN436" t="s">
        <v>3238</v>
      </c>
      <c r="AO436" t="s">
        <v>5015</v>
      </c>
      <c r="AP436" t="s">
        <v>5016</v>
      </c>
      <c r="AQ436" t="s">
        <v>74</v>
      </c>
      <c r="AR436" t="s">
        <v>5017</v>
      </c>
      <c r="AS436" t="s">
        <v>5018</v>
      </c>
      <c r="AT436" t="s">
        <v>74</v>
      </c>
      <c r="AU436">
        <v>2016</v>
      </c>
      <c r="AV436">
        <v>12</v>
      </c>
      <c r="AW436">
        <v>3</v>
      </c>
      <c r="AX436" t="s">
        <v>74</v>
      </c>
      <c r="AY436" t="s">
        <v>74</v>
      </c>
      <c r="AZ436" t="s">
        <v>74</v>
      </c>
      <c r="BA436" t="s">
        <v>74</v>
      </c>
      <c r="BB436">
        <v>595</v>
      </c>
      <c r="BC436">
        <v>610</v>
      </c>
      <c r="BD436" t="s">
        <v>74</v>
      </c>
      <c r="BE436" t="s">
        <v>8335</v>
      </c>
      <c r="BF436" t="str">
        <f>HYPERLINK("http://dx.doi.org/10.5194/cp-12-595-2016","http://dx.doi.org/10.5194/cp-12-595-2016")</f>
        <v>http://dx.doi.org/10.5194/cp-12-595-2016</v>
      </c>
      <c r="BG436" t="s">
        <v>74</v>
      </c>
      <c r="BH436" t="s">
        <v>74</v>
      </c>
      <c r="BI436">
        <v>16</v>
      </c>
      <c r="BJ436" t="s">
        <v>4328</v>
      </c>
      <c r="BK436" t="s">
        <v>264</v>
      </c>
      <c r="BL436" t="s">
        <v>4329</v>
      </c>
      <c r="BM436" t="s">
        <v>8336</v>
      </c>
      <c r="BN436" t="s">
        <v>74</v>
      </c>
      <c r="BO436" t="s">
        <v>4373</v>
      </c>
      <c r="BP436" t="s">
        <v>74</v>
      </c>
      <c r="BQ436" t="s">
        <v>74</v>
      </c>
      <c r="BR436" t="s">
        <v>100</v>
      </c>
      <c r="BS436" t="s">
        <v>8337</v>
      </c>
      <c r="BT436" t="str">
        <f>HYPERLINK("https%3A%2F%2Fwww.webofscience.com%2Fwos%2Fwoscc%2Ffull-record%2FWOS:000376072300001","View Full Record in Web of Science")</f>
        <v>View Full Record in Web of Science</v>
      </c>
    </row>
    <row r="437" spans="1:72" x14ac:dyDescent="0.15">
      <c r="A437" t="s">
        <v>72</v>
      </c>
      <c r="B437" t="s">
        <v>8338</v>
      </c>
      <c r="C437" t="s">
        <v>74</v>
      </c>
      <c r="D437" t="s">
        <v>74</v>
      </c>
      <c r="E437" t="s">
        <v>74</v>
      </c>
      <c r="F437" t="s">
        <v>8339</v>
      </c>
      <c r="G437" t="s">
        <v>74</v>
      </c>
      <c r="H437" t="s">
        <v>74</v>
      </c>
      <c r="I437" t="s">
        <v>8340</v>
      </c>
      <c r="J437" t="s">
        <v>5003</v>
      </c>
      <c r="K437" t="s">
        <v>74</v>
      </c>
      <c r="L437" t="s">
        <v>74</v>
      </c>
      <c r="M437" t="s">
        <v>200</v>
      </c>
      <c r="N437" t="s">
        <v>79</v>
      </c>
      <c r="O437" t="s">
        <v>74</v>
      </c>
      <c r="P437" t="s">
        <v>74</v>
      </c>
      <c r="Q437" t="s">
        <v>74</v>
      </c>
      <c r="R437" t="s">
        <v>74</v>
      </c>
      <c r="S437" t="s">
        <v>74</v>
      </c>
      <c r="T437" t="s">
        <v>74</v>
      </c>
      <c r="U437" t="s">
        <v>8341</v>
      </c>
      <c r="V437" t="s">
        <v>8342</v>
      </c>
      <c r="W437" t="s">
        <v>8343</v>
      </c>
      <c r="X437" t="s">
        <v>8344</v>
      </c>
      <c r="Y437" t="s">
        <v>8345</v>
      </c>
      <c r="Z437" t="s">
        <v>8346</v>
      </c>
      <c r="AA437" t="s">
        <v>8347</v>
      </c>
      <c r="AB437" t="s">
        <v>8348</v>
      </c>
      <c r="AC437" t="s">
        <v>8349</v>
      </c>
      <c r="AD437" t="s">
        <v>8350</v>
      </c>
      <c r="AE437" t="s">
        <v>8351</v>
      </c>
      <c r="AF437" t="s">
        <v>74</v>
      </c>
      <c r="AG437">
        <v>43</v>
      </c>
      <c r="AH437">
        <v>122</v>
      </c>
      <c r="AI437">
        <v>132</v>
      </c>
      <c r="AJ437">
        <v>0</v>
      </c>
      <c r="AK437">
        <v>24</v>
      </c>
      <c r="AL437" t="s">
        <v>358</v>
      </c>
      <c r="AM437" t="s">
        <v>359</v>
      </c>
      <c r="AN437" t="s">
        <v>3238</v>
      </c>
      <c r="AO437" t="s">
        <v>5015</v>
      </c>
      <c r="AP437" t="s">
        <v>5016</v>
      </c>
      <c r="AQ437" t="s">
        <v>74</v>
      </c>
      <c r="AR437" t="s">
        <v>5017</v>
      </c>
      <c r="AS437" t="s">
        <v>5018</v>
      </c>
      <c r="AT437" t="s">
        <v>74</v>
      </c>
      <c r="AU437">
        <v>2016</v>
      </c>
      <c r="AV437">
        <v>12</v>
      </c>
      <c r="AW437">
        <v>3</v>
      </c>
      <c r="AX437" t="s">
        <v>74</v>
      </c>
      <c r="AY437" t="s">
        <v>74</v>
      </c>
      <c r="AZ437" t="s">
        <v>74</v>
      </c>
      <c r="BA437" t="s">
        <v>74</v>
      </c>
      <c r="BB437">
        <v>663</v>
      </c>
      <c r="BC437">
        <v>675</v>
      </c>
      <c r="BD437" t="s">
        <v>74</v>
      </c>
      <c r="BE437" t="s">
        <v>8352</v>
      </c>
      <c r="BF437" t="str">
        <f>HYPERLINK("http://dx.doi.org/10.5194/cp-12-663-2016","http://dx.doi.org/10.5194/cp-12-663-2016")</f>
        <v>http://dx.doi.org/10.5194/cp-12-663-2016</v>
      </c>
      <c r="BG437" t="s">
        <v>74</v>
      </c>
      <c r="BH437" t="s">
        <v>74</v>
      </c>
      <c r="BI437">
        <v>13</v>
      </c>
      <c r="BJ437" t="s">
        <v>4328</v>
      </c>
      <c r="BK437" t="s">
        <v>264</v>
      </c>
      <c r="BL437" t="s">
        <v>4329</v>
      </c>
      <c r="BM437" t="s">
        <v>8336</v>
      </c>
      <c r="BN437" t="s">
        <v>74</v>
      </c>
      <c r="BO437" t="s">
        <v>4816</v>
      </c>
      <c r="BP437" t="s">
        <v>74</v>
      </c>
      <c r="BQ437" t="s">
        <v>74</v>
      </c>
      <c r="BR437" t="s">
        <v>100</v>
      </c>
      <c r="BS437" t="s">
        <v>8353</v>
      </c>
      <c r="BT437" t="str">
        <f>HYPERLINK("https%3A%2F%2Fwww.webofscience.com%2Fwos%2Fwoscc%2Ffull-record%2FWOS:000376072300005","View Full Record in Web of Science")</f>
        <v>View Full Record in Web of Science</v>
      </c>
    </row>
    <row r="438" spans="1:72" x14ac:dyDescent="0.15">
      <c r="A438" t="s">
        <v>72</v>
      </c>
      <c r="B438" t="s">
        <v>8354</v>
      </c>
      <c r="C438" t="s">
        <v>74</v>
      </c>
      <c r="D438" t="s">
        <v>74</v>
      </c>
      <c r="E438" t="s">
        <v>74</v>
      </c>
      <c r="F438" t="s">
        <v>8355</v>
      </c>
      <c r="G438" t="s">
        <v>74</v>
      </c>
      <c r="H438" t="s">
        <v>74</v>
      </c>
      <c r="I438" t="s">
        <v>8356</v>
      </c>
      <c r="J438" t="s">
        <v>5003</v>
      </c>
      <c r="K438" t="s">
        <v>74</v>
      </c>
      <c r="L438" t="s">
        <v>74</v>
      </c>
      <c r="M438" t="s">
        <v>200</v>
      </c>
      <c r="N438" t="s">
        <v>79</v>
      </c>
      <c r="O438" t="s">
        <v>74</v>
      </c>
      <c r="P438" t="s">
        <v>74</v>
      </c>
      <c r="Q438" t="s">
        <v>74</v>
      </c>
      <c r="R438" t="s">
        <v>74</v>
      </c>
      <c r="S438" t="s">
        <v>74</v>
      </c>
      <c r="T438" t="s">
        <v>74</v>
      </c>
      <c r="U438" t="s">
        <v>8357</v>
      </c>
      <c r="V438" t="s">
        <v>8358</v>
      </c>
      <c r="W438" t="s">
        <v>8359</v>
      </c>
      <c r="X438" t="s">
        <v>8360</v>
      </c>
      <c r="Y438" t="s">
        <v>8361</v>
      </c>
      <c r="Z438" t="s">
        <v>8362</v>
      </c>
      <c r="AA438" t="s">
        <v>8363</v>
      </c>
      <c r="AB438" t="s">
        <v>8364</v>
      </c>
      <c r="AC438" t="s">
        <v>8365</v>
      </c>
      <c r="AD438" t="s">
        <v>8366</v>
      </c>
      <c r="AE438" t="s">
        <v>8367</v>
      </c>
      <c r="AF438" t="s">
        <v>74</v>
      </c>
      <c r="AG438">
        <v>77</v>
      </c>
      <c r="AH438">
        <v>11</v>
      </c>
      <c r="AI438">
        <v>14</v>
      </c>
      <c r="AJ438">
        <v>0</v>
      </c>
      <c r="AK438">
        <v>20</v>
      </c>
      <c r="AL438" t="s">
        <v>358</v>
      </c>
      <c r="AM438" t="s">
        <v>359</v>
      </c>
      <c r="AN438" t="s">
        <v>3238</v>
      </c>
      <c r="AO438" t="s">
        <v>5015</v>
      </c>
      <c r="AP438" t="s">
        <v>5016</v>
      </c>
      <c r="AQ438" t="s">
        <v>74</v>
      </c>
      <c r="AR438" t="s">
        <v>5017</v>
      </c>
      <c r="AS438" t="s">
        <v>5018</v>
      </c>
      <c r="AT438" t="s">
        <v>74</v>
      </c>
      <c r="AU438">
        <v>2016</v>
      </c>
      <c r="AV438">
        <v>12</v>
      </c>
      <c r="AW438">
        <v>3</v>
      </c>
      <c r="AX438" t="s">
        <v>74</v>
      </c>
      <c r="AY438" t="s">
        <v>74</v>
      </c>
      <c r="AZ438" t="s">
        <v>74</v>
      </c>
      <c r="BA438" t="s">
        <v>74</v>
      </c>
      <c r="BB438">
        <v>729</v>
      </c>
      <c r="BC438">
        <v>748</v>
      </c>
      <c r="BD438" t="s">
        <v>74</v>
      </c>
      <c r="BE438" t="s">
        <v>8368</v>
      </c>
      <c r="BF438" t="str">
        <f>HYPERLINK("http://dx.doi.org/10.5194/cp-12-729-2016","http://dx.doi.org/10.5194/cp-12-729-2016")</f>
        <v>http://dx.doi.org/10.5194/cp-12-729-2016</v>
      </c>
      <c r="BG438" t="s">
        <v>74</v>
      </c>
      <c r="BH438" t="s">
        <v>74</v>
      </c>
      <c r="BI438">
        <v>20</v>
      </c>
      <c r="BJ438" t="s">
        <v>4328</v>
      </c>
      <c r="BK438" t="s">
        <v>264</v>
      </c>
      <c r="BL438" t="s">
        <v>4329</v>
      </c>
      <c r="BM438" t="s">
        <v>8336</v>
      </c>
      <c r="BN438" t="s">
        <v>74</v>
      </c>
      <c r="BO438" t="s">
        <v>4816</v>
      </c>
      <c r="BP438" t="s">
        <v>74</v>
      </c>
      <c r="BQ438" t="s">
        <v>74</v>
      </c>
      <c r="BR438" t="s">
        <v>100</v>
      </c>
      <c r="BS438" t="s">
        <v>8369</v>
      </c>
      <c r="BT438" t="str">
        <f>HYPERLINK("https%3A%2F%2Fwww.webofscience.com%2Fwos%2Fwoscc%2Ffull-record%2FWOS:000376072300009","View Full Record in Web of Science")</f>
        <v>View Full Record in Web of Science</v>
      </c>
    </row>
    <row r="439" spans="1:72" x14ac:dyDescent="0.15">
      <c r="A439" t="s">
        <v>72</v>
      </c>
      <c r="B439" t="s">
        <v>8370</v>
      </c>
      <c r="C439" t="s">
        <v>74</v>
      </c>
      <c r="D439" t="s">
        <v>74</v>
      </c>
      <c r="E439" t="s">
        <v>74</v>
      </c>
      <c r="F439" t="s">
        <v>8371</v>
      </c>
      <c r="G439" t="s">
        <v>74</v>
      </c>
      <c r="H439" t="s">
        <v>74</v>
      </c>
      <c r="I439" t="s">
        <v>8372</v>
      </c>
      <c r="J439" t="s">
        <v>5003</v>
      </c>
      <c r="K439" t="s">
        <v>74</v>
      </c>
      <c r="L439" t="s">
        <v>74</v>
      </c>
      <c r="M439" t="s">
        <v>200</v>
      </c>
      <c r="N439" t="s">
        <v>79</v>
      </c>
      <c r="O439" t="s">
        <v>74</v>
      </c>
      <c r="P439" t="s">
        <v>74</v>
      </c>
      <c r="Q439" t="s">
        <v>74</v>
      </c>
      <c r="R439" t="s">
        <v>74</v>
      </c>
      <c r="S439" t="s">
        <v>74</v>
      </c>
      <c r="T439" t="s">
        <v>74</v>
      </c>
      <c r="U439" t="s">
        <v>8373</v>
      </c>
      <c r="V439" t="s">
        <v>8374</v>
      </c>
      <c r="W439" t="s">
        <v>8375</v>
      </c>
      <c r="X439" t="s">
        <v>8376</v>
      </c>
      <c r="Y439" t="s">
        <v>8377</v>
      </c>
      <c r="Z439" t="s">
        <v>8378</v>
      </c>
      <c r="AA439" t="s">
        <v>8379</v>
      </c>
      <c r="AB439" t="s">
        <v>8380</v>
      </c>
      <c r="AC439" t="s">
        <v>8381</v>
      </c>
      <c r="AD439" t="s">
        <v>8382</v>
      </c>
      <c r="AE439" t="s">
        <v>8383</v>
      </c>
      <c r="AF439" t="s">
        <v>74</v>
      </c>
      <c r="AG439">
        <v>87</v>
      </c>
      <c r="AH439">
        <v>129</v>
      </c>
      <c r="AI439">
        <v>145</v>
      </c>
      <c r="AJ439">
        <v>2</v>
      </c>
      <c r="AK439">
        <v>76</v>
      </c>
      <c r="AL439" t="s">
        <v>358</v>
      </c>
      <c r="AM439" t="s">
        <v>359</v>
      </c>
      <c r="AN439" t="s">
        <v>3238</v>
      </c>
      <c r="AO439" t="s">
        <v>5015</v>
      </c>
      <c r="AP439" t="s">
        <v>5016</v>
      </c>
      <c r="AQ439" t="s">
        <v>74</v>
      </c>
      <c r="AR439" t="s">
        <v>5017</v>
      </c>
      <c r="AS439" t="s">
        <v>5018</v>
      </c>
      <c r="AT439" t="s">
        <v>74</v>
      </c>
      <c r="AU439">
        <v>2016</v>
      </c>
      <c r="AV439">
        <v>12</v>
      </c>
      <c r="AW439">
        <v>3</v>
      </c>
      <c r="AX439" t="s">
        <v>74</v>
      </c>
      <c r="AY439" t="s">
        <v>74</v>
      </c>
      <c r="AZ439" t="s">
        <v>74</v>
      </c>
      <c r="BA439" t="s">
        <v>74</v>
      </c>
      <c r="BB439">
        <v>769</v>
      </c>
      <c r="BC439">
        <v>786</v>
      </c>
      <c r="BD439" t="s">
        <v>74</v>
      </c>
      <c r="BE439" t="s">
        <v>8384</v>
      </c>
      <c r="BF439" t="str">
        <f>HYPERLINK("http://dx.doi.org/10.5194/cp-12-769-2016","http://dx.doi.org/10.5194/cp-12-769-2016")</f>
        <v>http://dx.doi.org/10.5194/cp-12-769-2016</v>
      </c>
      <c r="BG439" t="s">
        <v>74</v>
      </c>
      <c r="BH439" t="s">
        <v>74</v>
      </c>
      <c r="BI439">
        <v>18</v>
      </c>
      <c r="BJ439" t="s">
        <v>4328</v>
      </c>
      <c r="BK439" t="s">
        <v>264</v>
      </c>
      <c r="BL439" t="s">
        <v>4329</v>
      </c>
      <c r="BM439" t="s">
        <v>8336</v>
      </c>
      <c r="BN439" t="s">
        <v>74</v>
      </c>
      <c r="BO439" t="s">
        <v>4448</v>
      </c>
      <c r="BP439" t="s">
        <v>74</v>
      </c>
      <c r="BQ439" t="s">
        <v>74</v>
      </c>
      <c r="BR439" t="s">
        <v>100</v>
      </c>
      <c r="BS439" t="s">
        <v>8385</v>
      </c>
      <c r="BT439" t="str">
        <f>HYPERLINK("https%3A%2F%2Fwww.webofscience.com%2Fwos%2Fwoscc%2Ffull-record%2FWOS:000376072300011","View Full Record in Web of Science")</f>
        <v>View Full Record in Web of Science</v>
      </c>
    </row>
    <row r="440" spans="1:72" x14ac:dyDescent="0.15">
      <c r="A440" t="s">
        <v>72</v>
      </c>
      <c r="B440" t="s">
        <v>8386</v>
      </c>
      <c r="C440" t="s">
        <v>74</v>
      </c>
      <c r="D440" t="s">
        <v>74</v>
      </c>
      <c r="E440" t="s">
        <v>74</v>
      </c>
      <c r="F440" t="s">
        <v>8387</v>
      </c>
      <c r="G440" t="s">
        <v>74</v>
      </c>
      <c r="H440" t="s">
        <v>74</v>
      </c>
      <c r="I440" t="s">
        <v>8388</v>
      </c>
      <c r="J440" t="s">
        <v>5003</v>
      </c>
      <c r="K440" t="s">
        <v>74</v>
      </c>
      <c r="L440" t="s">
        <v>74</v>
      </c>
      <c r="M440" t="s">
        <v>200</v>
      </c>
      <c r="N440" t="s">
        <v>79</v>
      </c>
      <c r="O440" t="s">
        <v>74</v>
      </c>
      <c r="P440" t="s">
        <v>74</v>
      </c>
      <c r="Q440" t="s">
        <v>74</v>
      </c>
      <c r="R440" t="s">
        <v>74</v>
      </c>
      <c r="S440" t="s">
        <v>74</v>
      </c>
      <c r="T440" t="s">
        <v>74</v>
      </c>
      <c r="U440" t="s">
        <v>8389</v>
      </c>
      <c r="V440" t="s">
        <v>8390</v>
      </c>
      <c r="W440" t="s">
        <v>8391</v>
      </c>
      <c r="X440" t="s">
        <v>8392</v>
      </c>
      <c r="Y440" t="s">
        <v>8393</v>
      </c>
      <c r="Z440" t="s">
        <v>8394</v>
      </c>
      <c r="AA440" t="s">
        <v>8395</v>
      </c>
      <c r="AB440" t="s">
        <v>8396</v>
      </c>
      <c r="AC440" t="s">
        <v>8397</v>
      </c>
      <c r="AD440" t="s">
        <v>8398</v>
      </c>
      <c r="AE440" t="s">
        <v>8399</v>
      </c>
      <c r="AF440" t="s">
        <v>74</v>
      </c>
      <c r="AG440">
        <v>146</v>
      </c>
      <c r="AH440">
        <v>140</v>
      </c>
      <c r="AI440">
        <v>152</v>
      </c>
      <c r="AJ440">
        <v>3</v>
      </c>
      <c r="AK440">
        <v>51</v>
      </c>
      <c r="AL440" t="s">
        <v>358</v>
      </c>
      <c r="AM440" t="s">
        <v>359</v>
      </c>
      <c r="AN440" t="s">
        <v>3238</v>
      </c>
      <c r="AO440" t="s">
        <v>5015</v>
      </c>
      <c r="AP440" t="s">
        <v>5016</v>
      </c>
      <c r="AQ440" t="s">
        <v>74</v>
      </c>
      <c r="AR440" t="s">
        <v>5017</v>
      </c>
      <c r="AS440" t="s">
        <v>5018</v>
      </c>
      <c r="AT440" t="s">
        <v>74</v>
      </c>
      <c r="AU440">
        <v>2016</v>
      </c>
      <c r="AV440">
        <v>12</v>
      </c>
      <c r="AW440">
        <v>7</v>
      </c>
      <c r="AX440" t="s">
        <v>74</v>
      </c>
      <c r="AY440" t="s">
        <v>74</v>
      </c>
      <c r="AZ440" t="s">
        <v>74</v>
      </c>
      <c r="BA440" t="s">
        <v>74</v>
      </c>
      <c r="BB440">
        <v>1519</v>
      </c>
      <c r="BC440">
        <v>1538</v>
      </c>
      <c r="BD440" t="s">
        <v>74</v>
      </c>
      <c r="BE440" t="s">
        <v>8400</v>
      </c>
      <c r="BF440" t="str">
        <f>HYPERLINK("http://dx.doi.org/10.5194/cp-12-1519-2016","http://dx.doi.org/10.5194/cp-12-1519-2016")</f>
        <v>http://dx.doi.org/10.5194/cp-12-1519-2016</v>
      </c>
      <c r="BG440" t="s">
        <v>74</v>
      </c>
      <c r="BH440" t="s">
        <v>74</v>
      </c>
      <c r="BI440">
        <v>20</v>
      </c>
      <c r="BJ440" t="s">
        <v>4328</v>
      </c>
      <c r="BK440" t="s">
        <v>264</v>
      </c>
      <c r="BL440" t="s">
        <v>4329</v>
      </c>
      <c r="BM440" t="s">
        <v>8401</v>
      </c>
      <c r="BN440" t="s">
        <v>74</v>
      </c>
      <c r="BO440" t="s">
        <v>4373</v>
      </c>
      <c r="BP440" t="s">
        <v>74</v>
      </c>
      <c r="BQ440" t="s">
        <v>74</v>
      </c>
      <c r="BR440" t="s">
        <v>100</v>
      </c>
      <c r="BS440" t="s">
        <v>8402</v>
      </c>
      <c r="BT440" t="str">
        <f>HYPERLINK("https%3A%2F%2Fwww.webofscience.com%2Fwos%2Fwoscc%2Ffull-record%2FWOS:000381275100003","View Full Record in Web of Science")</f>
        <v>View Full Record in Web of Science</v>
      </c>
    </row>
    <row r="441" spans="1:72" x14ac:dyDescent="0.15">
      <c r="A441" t="s">
        <v>72</v>
      </c>
      <c r="B441" t="s">
        <v>8403</v>
      </c>
      <c r="C441" t="s">
        <v>74</v>
      </c>
      <c r="D441" t="s">
        <v>74</v>
      </c>
      <c r="E441" t="s">
        <v>74</v>
      </c>
      <c r="F441" t="s">
        <v>8404</v>
      </c>
      <c r="G441" t="s">
        <v>74</v>
      </c>
      <c r="H441" t="s">
        <v>74</v>
      </c>
      <c r="I441" t="s">
        <v>8405</v>
      </c>
      <c r="J441" t="s">
        <v>5003</v>
      </c>
      <c r="K441" t="s">
        <v>74</v>
      </c>
      <c r="L441" t="s">
        <v>74</v>
      </c>
      <c r="M441" t="s">
        <v>200</v>
      </c>
      <c r="N441" t="s">
        <v>79</v>
      </c>
      <c r="O441" t="s">
        <v>74</v>
      </c>
      <c r="P441" t="s">
        <v>74</v>
      </c>
      <c r="Q441" t="s">
        <v>74</v>
      </c>
      <c r="R441" t="s">
        <v>74</v>
      </c>
      <c r="S441" t="s">
        <v>74</v>
      </c>
      <c r="T441" t="s">
        <v>74</v>
      </c>
      <c r="U441" t="s">
        <v>8406</v>
      </c>
      <c r="V441" t="s">
        <v>8407</v>
      </c>
      <c r="W441" t="s">
        <v>8408</v>
      </c>
      <c r="X441" t="s">
        <v>8409</v>
      </c>
      <c r="Y441" t="s">
        <v>8410</v>
      </c>
      <c r="Z441" t="s">
        <v>8411</v>
      </c>
      <c r="AA441" t="s">
        <v>8412</v>
      </c>
      <c r="AB441" t="s">
        <v>8413</v>
      </c>
      <c r="AC441" t="s">
        <v>8414</v>
      </c>
      <c r="AD441" t="s">
        <v>8415</v>
      </c>
      <c r="AE441" t="s">
        <v>8416</v>
      </c>
      <c r="AF441" t="s">
        <v>74</v>
      </c>
      <c r="AG441">
        <v>48</v>
      </c>
      <c r="AH441">
        <v>40</v>
      </c>
      <c r="AI441">
        <v>43</v>
      </c>
      <c r="AJ441">
        <v>0</v>
      </c>
      <c r="AK441">
        <v>4</v>
      </c>
      <c r="AL441" t="s">
        <v>358</v>
      </c>
      <c r="AM441" t="s">
        <v>359</v>
      </c>
      <c r="AN441" t="s">
        <v>3238</v>
      </c>
      <c r="AO441" t="s">
        <v>5015</v>
      </c>
      <c r="AP441" t="s">
        <v>5016</v>
      </c>
      <c r="AQ441" t="s">
        <v>74</v>
      </c>
      <c r="AR441" t="s">
        <v>5017</v>
      </c>
      <c r="AS441" t="s">
        <v>5018</v>
      </c>
      <c r="AT441" t="s">
        <v>74</v>
      </c>
      <c r="AU441">
        <v>2016</v>
      </c>
      <c r="AV441">
        <v>12</v>
      </c>
      <c r="AW441">
        <v>7</v>
      </c>
      <c r="AX441" t="s">
        <v>74</v>
      </c>
      <c r="AY441" t="s">
        <v>74</v>
      </c>
      <c r="AZ441" t="s">
        <v>74</v>
      </c>
      <c r="BA441" t="s">
        <v>74</v>
      </c>
      <c r="BB441">
        <v>1565</v>
      </c>
      <c r="BC441">
        <v>1581</v>
      </c>
      <c r="BD441" t="s">
        <v>74</v>
      </c>
      <c r="BE441" t="s">
        <v>8417</v>
      </c>
      <c r="BF441" t="str">
        <f>HYPERLINK("http://dx.doi.org/10.5194/cp-12-1565-2016","http://dx.doi.org/10.5194/cp-12-1565-2016")</f>
        <v>http://dx.doi.org/10.5194/cp-12-1565-2016</v>
      </c>
      <c r="BG441" t="s">
        <v>74</v>
      </c>
      <c r="BH441" t="s">
        <v>74</v>
      </c>
      <c r="BI441">
        <v>17</v>
      </c>
      <c r="BJ441" t="s">
        <v>4328</v>
      </c>
      <c r="BK441" t="s">
        <v>264</v>
      </c>
      <c r="BL441" t="s">
        <v>4329</v>
      </c>
      <c r="BM441" t="s">
        <v>8401</v>
      </c>
      <c r="BN441" t="s">
        <v>74</v>
      </c>
      <c r="BO441" t="s">
        <v>2134</v>
      </c>
      <c r="BP441" t="s">
        <v>74</v>
      </c>
      <c r="BQ441" t="s">
        <v>74</v>
      </c>
      <c r="BR441" t="s">
        <v>100</v>
      </c>
      <c r="BS441" t="s">
        <v>8418</v>
      </c>
      <c r="BT441" t="str">
        <f>HYPERLINK("https%3A%2F%2Fwww.webofscience.com%2Fwos%2Fwoscc%2Ffull-record%2FWOS:000381275100006","View Full Record in Web of Science")</f>
        <v>View Full Record in Web of Science</v>
      </c>
    </row>
    <row r="442" spans="1:72" x14ac:dyDescent="0.15">
      <c r="A442" t="s">
        <v>72</v>
      </c>
      <c r="B442" t="s">
        <v>8419</v>
      </c>
      <c r="C442" t="s">
        <v>74</v>
      </c>
      <c r="D442" t="s">
        <v>74</v>
      </c>
      <c r="E442" t="s">
        <v>74</v>
      </c>
      <c r="F442" t="s">
        <v>8420</v>
      </c>
      <c r="G442" t="s">
        <v>74</v>
      </c>
      <c r="H442" t="s">
        <v>74</v>
      </c>
      <c r="I442" t="s">
        <v>8421</v>
      </c>
      <c r="J442" t="s">
        <v>8422</v>
      </c>
      <c r="K442" t="s">
        <v>74</v>
      </c>
      <c r="L442" t="s">
        <v>74</v>
      </c>
      <c r="M442" t="s">
        <v>200</v>
      </c>
      <c r="N442" t="s">
        <v>79</v>
      </c>
      <c r="O442" t="s">
        <v>74</v>
      </c>
      <c r="P442" t="s">
        <v>74</v>
      </c>
      <c r="Q442" t="s">
        <v>74</v>
      </c>
      <c r="R442" t="s">
        <v>74</v>
      </c>
      <c r="S442" t="s">
        <v>74</v>
      </c>
      <c r="T442" t="s">
        <v>8423</v>
      </c>
      <c r="U442" t="s">
        <v>74</v>
      </c>
      <c r="V442" t="s">
        <v>8424</v>
      </c>
      <c r="W442" t="s">
        <v>8425</v>
      </c>
      <c r="X442" t="s">
        <v>8426</v>
      </c>
      <c r="Y442" t="s">
        <v>8427</v>
      </c>
      <c r="Z442" t="s">
        <v>8428</v>
      </c>
      <c r="AA442" t="s">
        <v>74</v>
      </c>
      <c r="AB442" t="s">
        <v>8429</v>
      </c>
      <c r="AC442" t="s">
        <v>8430</v>
      </c>
      <c r="AD442" t="s">
        <v>8431</v>
      </c>
      <c r="AE442" t="s">
        <v>8432</v>
      </c>
      <c r="AF442" t="s">
        <v>74</v>
      </c>
      <c r="AG442">
        <v>55</v>
      </c>
      <c r="AH442">
        <v>10</v>
      </c>
      <c r="AI442">
        <v>10</v>
      </c>
      <c r="AJ442">
        <v>1</v>
      </c>
      <c r="AK442">
        <v>9</v>
      </c>
      <c r="AL442" t="s">
        <v>1385</v>
      </c>
      <c r="AM442" t="s">
        <v>1386</v>
      </c>
      <c r="AN442" t="s">
        <v>1387</v>
      </c>
      <c r="AO442" t="s">
        <v>8433</v>
      </c>
      <c r="AP442" t="s">
        <v>74</v>
      </c>
      <c r="AQ442" t="s">
        <v>74</v>
      </c>
      <c r="AR442" t="s">
        <v>8434</v>
      </c>
      <c r="AS442" t="s">
        <v>8435</v>
      </c>
      <c r="AT442" t="s">
        <v>74</v>
      </c>
      <c r="AU442">
        <v>2016</v>
      </c>
      <c r="AV442">
        <v>4</v>
      </c>
      <c r="AW442" t="s">
        <v>74</v>
      </c>
      <c r="AX442" t="s">
        <v>74</v>
      </c>
      <c r="AY442" t="s">
        <v>74</v>
      </c>
      <c r="AZ442" t="s">
        <v>74</v>
      </c>
      <c r="BA442" t="s">
        <v>74</v>
      </c>
      <c r="BB442" t="s">
        <v>74</v>
      </c>
      <c r="BC442" t="s">
        <v>74</v>
      </c>
      <c r="BD442" t="s">
        <v>8436</v>
      </c>
      <c r="BE442" t="s">
        <v>8437</v>
      </c>
      <c r="BF442" t="str">
        <f>HYPERLINK("http://dx.doi.org/10.1093/conphys/cow036","http://dx.doi.org/10.1093/conphys/cow036")</f>
        <v>http://dx.doi.org/10.1093/conphys/cow036</v>
      </c>
      <c r="BG442" t="s">
        <v>74</v>
      </c>
      <c r="BH442" t="s">
        <v>74</v>
      </c>
      <c r="BI442">
        <v>13</v>
      </c>
      <c r="BJ442" t="s">
        <v>8438</v>
      </c>
      <c r="BK442" t="s">
        <v>264</v>
      </c>
      <c r="BL442" t="s">
        <v>8439</v>
      </c>
      <c r="BM442" t="s">
        <v>8440</v>
      </c>
      <c r="BN442" t="s">
        <v>74</v>
      </c>
      <c r="BO442" t="s">
        <v>8441</v>
      </c>
      <c r="BP442" t="s">
        <v>74</v>
      </c>
      <c r="BQ442" t="s">
        <v>74</v>
      </c>
      <c r="BR442" t="s">
        <v>100</v>
      </c>
      <c r="BS442" t="s">
        <v>8442</v>
      </c>
      <c r="BT442" t="str">
        <f>HYPERLINK("https%3A%2F%2Fwww.webofscience.com%2Fwos%2Fwoscc%2Ffull-record%2FWOS:000490955500009","View Full Record in Web of Science")</f>
        <v>View Full Record in Web of Science</v>
      </c>
    </row>
    <row r="443" spans="1:72" x14ac:dyDescent="0.15">
      <c r="A443" t="s">
        <v>72</v>
      </c>
      <c r="B443" t="s">
        <v>8443</v>
      </c>
      <c r="C443" t="s">
        <v>74</v>
      </c>
      <c r="D443" t="s">
        <v>74</v>
      </c>
      <c r="E443" t="s">
        <v>74</v>
      </c>
      <c r="F443" t="s">
        <v>8444</v>
      </c>
      <c r="G443" t="s">
        <v>74</v>
      </c>
      <c r="H443" t="s">
        <v>74</v>
      </c>
      <c r="I443" t="s">
        <v>8445</v>
      </c>
      <c r="J443" t="s">
        <v>3961</v>
      </c>
      <c r="K443" t="s">
        <v>74</v>
      </c>
      <c r="L443" t="s">
        <v>74</v>
      </c>
      <c r="M443" t="s">
        <v>200</v>
      </c>
      <c r="N443" t="s">
        <v>79</v>
      </c>
      <c r="O443" t="s">
        <v>74</v>
      </c>
      <c r="P443" t="s">
        <v>74</v>
      </c>
      <c r="Q443" t="s">
        <v>74</v>
      </c>
      <c r="R443" t="s">
        <v>74</v>
      </c>
      <c r="S443" t="s">
        <v>74</v>
      </c>
      <c r="T443" t="s">
        <v>74</v>
      </c>
      <c r="U443" t="s">
        <v>8446</v>
      </c>
      <c r="V443" t="s">
        <v>8447</v>
      </c>
      <c r="W443" t="s">
        <v>8448</v>
      </c>
      <c r="X443" t="s">
        <v>8449</v>
      </c>
      <c r="Y443" t="s">
        <v>8450</v>
      </c>
      <c r="Z443" t="s">
        <v>8451</v>
      </c>
      <c r="AA443" t="s">
        <v>8452</v>
      </c>
      <c r="AB443" t="s">
        <v>8453</v>
      </c>
      <c r="AC443" t="s">
        <v>8454</v>
      </c>
      <c r="AD443" t="s">
        <v>8455</v>
      </c>
      <c r="AE443" t="s">
        <v>8456</v>
      </c>
      <c r="AF443" t="s">
        <v>74</v>
      </c>
      <c r="AG443">
        <v>61</v>
      </c>
      <c r="AH443">
        <v>86</v>
      </c>
      <c r="AI443">
        <v>95</v>
      </c>
      <c r="AJ443">
        <v>1</v>
      </c>
      <c r="AK443">
        <v>18</v>
      </c>
      <c r="AL443" t="s">
        <v>358</v>
      </c>
      <c r="AM443" t="s">
        <v>359</v>
      </c>
      <c r="AN443" t="s">
        <v>3238</v>
      </c>
      <c r="AO443" t="s">
        <v>3973</v>
      </c>
      <c r="AP443" t="s">
        <v>3974</v>
      </c>
      <c r="AQ443" t="s">
        <v>74</v>
      </c>
      <c r="AR443" t="s">
        <v>3961</v>
      </c>
      <c r="AS443" t="s">
        <v>3975</v>
      </c>
      <c r="AT443" t="s">
        <v>74</v>
      </c>
      <c r="AU443">
        <v>2016</v>
      </c>
      <c r="AV443">
        <v>10</v>
      </c>
      <c r="AW443">
        <v>1</v>
      </c>
      <c r="AX443" t="s">
        <v>74</v>
      </c>
      <c r="AY443" t="s">
        <v>74</v>
      </c>
      <c r="AZ443" t="s">
        <v>74</v>
      </c>
      <c r="BA443" t="s">
        <v>74</v>
      </c>
      <c r="BB443">
        <v>271</v>
      </c>
      <c r="BC443">
        <v>285</v>
      </c>
      <c r="BD443" t="s">
        <v>74</v>
      </c>
      <c r="BE443" t="s">
        <v>8457</v>
      </c>
      <c r="BF443" t="str">
        <f>HYPERLINK("http://dx.doi.org/10.5194/tc-10-271-2016","http://dx.doi.org/10.5194/tc-10-271-2016")</f>
        <v>http://dx.doi.org/10.5194/tc-10-271-2016</v>
      </c>
      <c r="BG443" t="s">
        <v>74</v>
      </c>
      <c r="BH443" t="s">
        <v>74</v>
      </c>
      <c r="BI443">
        <v>15</v>
      </c>
      <c r="BJ443" t="s">
        <v>2247</v>
      </c>
      <c r="BK443" t="s">
        <v>264</v>
      </c>
      <c r="BL443" t="s">
        <v>2248</v>
      </c>
      <c r="BM443" t="s">
        <v>4447</v>
      </c>
      <c r="BN443" t="s">
        <v>74</v>
      </c>
      <c r="BO443" t="s">
        <v>4816</v>
      </c>
      <c r="BP443" t="s">
        <v>74</v>
      </c>
      <c r="BQ443" t="s">
        <v>74</v>
      </c>
      <c r="BR443" t="s">
        <v>100</v>
      </c>
      <c r="BS443" t="s">
        <v>8458</v>
      </c>
      <c r="BT443" t="str">
        <f>HYPERLINK("https%3A%2F%2Fwww.webofscience.com%2Fwos%2Fwoscc%2Ffull-record%2FWOS:000377602600017","View Full Record in Web of Science")</f>
        <v>View Full Record in Web of Science</v>
      </c>
    </row>
    <row r="444" spans="1:72" x14ac:dyDescent="0.15">
      <c r="A444" t="s">
        <v>72</v>
      </c>
      <c r="B444" t="s">
        <v>8459</v>
      </c>
      <c r="C444" t="s">
        <v>74</v>
      </c>
      <c r="D444" t="s">
        <v>74</v>
      </c>
      <c r="E444" t="s">
        <v>74</v>
      </c>
      <c r="F444" t="s">
        <v>8460</v>
      </c>
      <c r="G444" t="s">
        <v>74</v>
      </c>
      <c r="H444" t="s">
        <v>74</v>
      </c>
      <c r="I444" t="s">
        <v>8461</v>
      </c>
      <c r="J444" t="s">
        <v>3961</v>
      </c>
      <c r="K444" t="s">
        <v>74</v>
      </c>
      <c r="L444" t="s">
        <v>74</v>
      </c>
      <c r="M444" t="s">
        <v>200</v>
      </c>
      <c r="N444" t="s">
        <v>79</v>
      </c>
      <c r="O444" t="s">
        <v>74</v>
      </c>
      <c r="P444" t="s">
        <v>74</v>
      </c>
      <c r="Q444" t="s">
        <v>74</v>
      </c>
      <c r="R444" t="s">
        <v>74</v>
      </c>
      <c r="S444" t="s">
        <v>74</v>
      </c>
      <c r="T444" t="s">
        <v>74</v>
      </c>
      <c r="U444" t="s">
        <v>8462</v>
      </c>
      <c r="V444" t="s">
        <v>8463</v>
      </c>
      <c r="W444" t="s">
        <v>8464</v>
      </c>
      <c r="X444" t="s">
        <v>8465</v>
      </c>
      <c r="Y444" t="s">
        <v>8466</v>
      </c>
      <c r="Z444" t="s">
        <v>8467</v>
      </c>
      <c r="AA444" t="s">
        <v>8468</v>
      </c>
      <c r="AB444" t="s">
        <v>8469</v>
      </c>
      <c r="AC444" t="s">
        <v>8470</v>
      </c>
      <c r="AD444" t="s">
        <v>8470</v>
      </c>
      <c r="AE444" t="s">
        <v>8471</v>
      </c>
      <c r="AF444" t="s">
        <v>74</v>
      </c>
      <c r="AG444">
        <v>51</v>
      </c>
      <c r="AH444">
        <v>49</v>
      </c>
      <c r="AI444">
        <v>55</v>
      </c>
      <c r="AJ444">
        <v>0</v>
      </c>
      <c r="AK444">
        <v>10</v>
      </c>
      <c r="AL444" t="s">
        <v>358</v>
      </c>
      <c r="AM444" t="s">
        <v>359</v>
      </c>
      <c r="AN444" t="s">
        <v>3238</v>
      </c>
      <c r="AO444" t="s">
        <v>3973</v>
      </c>
      <c r="AP444" t="s">
        <v>3974</v>
      </c>
      <c r="AQ444" t="s">
        <v>74</v>
      </c>
      <c r="AR444" t="s">
        <v>3961</v>
      </c>
      <c r="AS444" t="s">
        <v>3975</v>
      </c>
      <c r="AT444" t="s">
        <v>74</v>
      </c>
      <c r="AU444">
        <v>2016</v>
      </c>
      <c r="AV444">
        <v>10</v>
      </c>
      <c r="AW444">
        <v>2</v>
      </c>
      <c r="AX444" t="s">
        <v>74</v>
      </c>
      <c r="AY444" t="s">
        <v>74</v>
      </c>
      <c r="AZ444" t="s">
        <v>74</v>
      </c>
      <c r="BA444" t="s">
        <v>74</v>
      </c>
      <c r="BB444">
        <v>497</v>
      </c>
      <c r="BC444">
        <v>510</v>
      </c>
      <c r="BD444" t="s">
        <v>74</v>
      </c>
      <c r="BE444" t="s">
        <v>8472</v>
      </c>
      <c r="BF444" t="str">
        <f>HYPERLINK("http://dx.doi.org/10.5194/tc-10-497-2016","http://dx.doi.org/10.5194/tc-10-497-2016")</f>
        <v>http://dx.doi.org/10.5194/tc-10-497-2016</v>
      </c>
      <c r="BG444" t="s">
        <v>74</v>
      </c>
      <c r="BH444" t="s">
        <v>74</v>
      </c>
      <c r="BI444">
        <v>14</v>
      </c>
      <c r="BJ444" t="s">
        <v>2247</v>
      </c>
      <c r="BK444" t="s">
        <v>264</v>
      </c>
      <c r="BL444" t="s">
        <v>2248</v>
      </c>
      <c r="BM444" t="s">
        <v>3977</v>
      </c>
      <c r="BN444" t="s">
        <v>74</v>
      </c>
      <c r="BO444" t="s">
        <v>2134</v>
      </c>
      <c r="BP444" t="s">
        <v>74</v>
      </c>
      <c r="BQ444" t="s">
        <v>74</v>
      </c>
      <c r="BR444" t="s">
        <v>100</v>
      </c>
      <c r="BS444" t="s">
        <v>8473</v>
      </c>
      <c r="BT444" t="str">
        <f>HYPERLINK("https%3A%2F%2Fwww.webofscience.com%2Fwos%2Fwoscc%2Ffull-record%2FWOS:000379411800002","View Full Record in Web of Science")</f>
        <v>View Full Record in Web of Science</v>
      </c>
    </row>
    <row r="445" spans="1:72" x14ac:dyDescent="0.15">
      <c r="A445" t="s">
        <v>72</v>
      </c>
      <c r="B445" t="s">
        <v>8474</v>
      </c>
      <c r="C445" t="s">
        <v>74</v>
      </c>
      <c r="D445" t="s">
        <v>74</v>
      </c>
      <c r="E445" t="s">
        <v>74</v>
      </c>
      <c r="F445" t="s">
        <v>8475</v>
      </c>
      <c r="G445" t="s">
        <v>74</v>
      </c>
      <c r="H445" t="s">
        <v>74</v>
      </c>
      <c r="I445" t="s">
        <v>8476</v>
      </c>
      <c r="J445" t="s">
        <v>3961</v>
      </c>
      <c r="K445" t="s">
        <v>74</v>
      </c>
      <c r="L445" t="s">
        <v>74</v>
      </c>
      <c r="M445" t="s">
        <v>200</v>
      </c>
      <c r="N445" t="s">
        <v>79</v>
      </c>
      <c r="O445" t="s">
        <v>74</v>
      </c>
      <c r="P445" t="s">
        <v>74</v>
      </c>
      <c r="Q445" t="s">
        <v>74</v>
      </c>
      <c r="R445" t="s">
        <v>74</v>
      </c>
      <c r="S445" t="s">
        <v>74</v>
      </c>
      <c r="T445" t="s">
        <v>74</v>
      </c>
      <c r="U445" t="s">
        <v>8477</v>
      </c>
      <c r="V445" t="s">
        <v>8478</v>
      </c>
      <c r="W445" t="s">
        <v>8479</v>
      </c>
      <c r="X445" t="s">
        <v>8480</v>
      </c>
      <c r="Y445" t="s">
        <v>8481</v>
      </c>
      <c r="Z445" t="s">
        <v>8482</v>
      </c>
      <c r="AA445" t="s">
        <v>8483</v>
      </c>
      <c r="AB445" t="s">
        <v>8484</v>
      </c>
      <c r="AC445" t="s">
        <v>8485</v>
      </c>
      <c r="AD445" t="s">
        <v>8486</v>
      </c>
      <c r="AE445" t="s">
        <v>8487</v>
      </c>
      <c r="AF445" t="s">
        <v>74</v>
      </c>
      <c r="AG445">
        <v>40</v>
      </c>
      <c r="AH445">
        <v>13</v>
      </c>
      <c r="AI445">
        <v>15</v>
      </c>
      <c r="AJ445">
        <v>0</v>
      </c>
      <c r="AK445">
        <v>8</v>
      </c>
      <c r="AL445" t="s">
        <v>358</v>
      </c>
      <c r="AM445" t="s">
        <v>359</v>
      </c>
      <c r="AN445" t="s">
        <v>3238</v>
      </c>
      <c r="AO445" t="s">
        <v>3973</v>
      </c>
      <c r="AP445" t="s">
        <v>3974</v>
      </c>
      <c r="AQ445" t="s">
        <v>74</v>
      </c>
      <c r="AR445" t="s">
        <v>3961</v>
      </c>
      <c r="AS445" t="s">
        <v>3975</v>
      </c>
      <c r="AT445" t="s">
        <v>74</v>
      </c>
      <c r="AU445">
        <v>2016</v>
      </c>
      <c r="AV445">
        <v>10</v>
      </c>
      <c r="AW445">
        <v>2</v>
      </c>
      <c r="AX445" t="s">
        <v>74</v>
      </c>
      <c r="AY445" t="s">
        <v>74</v>
      </c>
      <c r="AZ445" t="s">
        <v>74</v>
      </c>
      <c r="BA445" t="s">
        <v>74</v>
      </c>
      <c r="BB445">
        <v>751</v>
      </c>
      <c r="BC445">
        <v>760</v>
      </c>
      <c r="BD445" t="s">
        <v>74</v>
      </c>
      <c r="BE445" t="s">
        <v>8488</v>
      </c>
      <c r="BF445" t="str">
        <f>HYPERLINK("http://dx.doi.org/10.5194/tc-10-751-2016","http://dx.doi.org/10.5194/tc-10-751-2016")</f>
        <v>http://dx.doi.org/10.5194/tc-10-751-2016</v>
      </c>
      <c r="BG445" t="s">
        <v>74</v>
      </c>
      <c r="BH445" t="s">
        <v>74</v>
      </c>
      <c r="BI445">
        <v>10</v>
      </c>
      <c r="BJ445" t="s">
        <v>2247</v>
      </c>
      <c r="BK445" t="s">
        <v>264</v>
      </c>
      <c r="BL445" t="s">
        <v>2248</v>
      </c>
      <c r="BM445" t="s">
        <v>3977</v>
      </c>
      <c r="BN445" t="s">
        <v>74</v>
      </c>
      <c r="BO445" t="s">
        <v>369</v>
      </c>
      <c r="BP445" t="s">
        <v>74</v>
      </c>
      <c r="BQ445" t="s">
        <v>74</v>
      </c>
      <c r="BR445" t="s">
        <v>100</v>
      </c>
      <c r="BS445" t="s">
        <v>8489</v>
      </c>
      <c r="BT445" t="str">
        <f>HYPERLINK("https%3A%2F%2Fwww.webofscience.com%2Fwos%2Fwoscc%2Ffull-record%2FWOS:000379411800019","View Full Record in Web of Science")</f>
        <v>View Full Record in Web of Science</v>
      </c>
    </row>
    <row r="446" spans="1:72" x14ac:dyDescent="0.15">
      <c r="A446" t="s">
        <v>72</v>
      </c>
      <c r="B446" t="s">
        <v>8490</v>
      </c>
      <c r="C446" t="s">
        <v>74</v>
      </c>
      <c r="D446" t="s">
        <v>74</v>
      </c>
      <c r="E446" t="s">
        <v>74</v>
      </c>
      <c r="F446" t="s">
        <v>8491</v>
      </c>
      <c r="G446" t="s">
        <v>74</v>
      </c>
      <c r="H446" t="s">
        <v>74</v>
      </c>
      <c r="I446" t="s">
        <v>8492</v>
      </c>
      <c r="J446" t="s">
        <v>3961</v>
      </c>
      <c r="K446" t="s">
        <v>74</v>
      </c>
      <c r="L446" t="s">
        <v>74</v>
      </c>
      <c r="M446" t="s">
        <v>200</v>
      </c>
      <c r="N446" t="s">
        <v>79</v>
      </c>
      <c r="O446" t="s">
        <v>74</v>
      </c>
      <c r="P446" t="s">
        <v>74</v>
      </c>
      <c r="Q446" t="s">
        <v>74</v>
      </c>
      <c r="R446" t="s">
        <v>74</v>
      </c>
      <c r="S446" t="s">
        <v>74</v>
      </c>
      <c r="T446" t="s">
        <v>74</v>
      </c>
      <c r="U446" t="s">
        <v>8493</v>
      </c>
      <c r="V446" t="s">
        <v>8494</v>
      </c>
      <c r="W446" t="s">
        <v>8495</v>
      </c>
      <c r="X446" t="s">
        <v>8496</v>
      </c>
      <c r="Y446" t="s">
        <v>8497</v>
      </c>
      <c r="Z446" t="s">
        <v>8498</v>
      </c>
      <c r="AA446" t="s">
        <v>8499</v>
      </c>
      <c r="AB446" t="s">
        <v>8500</v>
      </c>
      <c r="AC446" t="s">
        <v>8501</v>
      </c>
      <c r="AD446" t="s">
        <v>8502</v>
      </c>
      <c r="AE446" t="s">
        <v>8503</v>
      </c>
      <c r="AF446" t="s">
        <v>74</v>
      </c>
      <c r="AG446">
        <v>56</v>
      </c>
      <c r="AH446">
        <v>14</v>
      </c>
      <c r="AI446">
        <v>18</v>
      </c>
      <c r="AJ446">
        <v>1</v>
      </c>
      <c r="AK446">
        <v>11</v>
      </c>
      <c r="AL446" t="s">
        <v>358</v>
      </c>
      <c r="AM446" t="s">
        <v>359</v>
      </c>
      <c r="AN446" t="s">
        <v>3238</v>
      </c>
      <c r="AO446" t="s">
        <v>3973</v>
      </c>
      <c r="AP446" t="s">
        <v>3974</v>
      </c>
      <c r="AQ446" t="s">
        <v>74</v>
      </c>
      <c r="AR446" t="s">
        <v>3961</v>
      </c>
      <c r="AS446" t="s">
        <v>3975</v>
      </c>
      <c r="AT446" t="s">
        <v>74</v>
      </c>
      <c r="AU446">
        <v>2016</v>
      </c>
      <c r="AV446">
        <v>10</v>
      </c>
      <c r="AW446">
        <v>2</v>
      </c>
      <c r="AX446" t="s">
        <v>74</v>
      </c>
      <c r="AY446" t="s">
        <v>74</v>
      </c>
      <c r="AZ446" t="s">
        <v>74</v>
      </c>
      <c r="BA446" t="s">
        <v>74</v>
      </c>
      <c r="BB446">
        <v>811</v>
      </c>
      <c r="BC446">
        <v>823</v>
      </c>
      <c r="BD446" t="s">
        <v>74</v>
      </c>
      <c r="BE446" t="s">
        <v>8504</v>
      </c>
      <c r="BF446" t="str">
        <f>HYPERLINK("http://dx.doi.org/10.5194/tc-10-811-2016","http://dx.doi.org/10.5194/tc-10-811-2016")</f>
        <v>http://dx.doi.org/10.5194/tc-10-811-2016</v>
      </c>
      <c r="BG446" t="s">
        <v>74</v>
      </c>
      <c r="BH446" t="s">
        <v>74</v>
      </c>
      <c r="BI446">
        <v>13</v>
      </c>
      <c r="BJ446" t="s">
        <v>2247</v>
      </c>
      <c r="BK446" t="s">
        <v>264</v>
      </c>
      <c r="BL446" t="s">
        <v>2248</v>
      </c>
      <c r="BM446" t="s">
        <v>3977</v>
      </c>
      <c r="BN446" t="s">
        <v>74</v>
      </c>
      <c r="BO446" t="s">
        <v>2134</v>
      </c>
      <c r="BP446" t="s">
        <v>74</v>
      </c>
      <c r="BQ446" t="s">
        <v>74</v>
      </c>
      <c r="BR446" t="s">
        <v>100</v>
      </c>
      <c r="BS446" t="s">
        <v>8505</v>
      </c>
      <c r="BT446" t="str">
        <f>HYPERLINK("https%3A%2F%2Fwww.webofscience.com%2Fwos%2Fwoscc%2Ffull-record%2FWOS:000379411800024","View Full Record in Web of Science")</f>
        <v>View Full Record in Web of Science</v>
      </c>
    </row>
    <row r="447" spans="1:72" x14ac:dyDescent="0.15">
      <c r="A447" t="s">
        <v>72</v>
      </c>
      <c r="B447" t="s">
        <v>8506</v>
      </c>
      <c r="C447" t="s">
        <v>74</v>
      </c>
      <c r="D447" t="s">
        <v>74</v>
      </c>
      <c r="E447" t="s">
        <v>74</v>
      </c>
      <c r="F447" t="s">
        <v>8507</v>
      </c>
      <c r="G447" t="s">
        <v>74</v>
      </c>
      <c r="H447" t="s">
        <v>74</v>
      </c>
      <c r="I447" t="s">
        <v>8508</v>
      </c>
      <c r="J447" t="s">
        <v>3961</v>
      </c>
      <c r="K447" t="s">
        <v>74</v>
      </c>
      <c r="L447" t="s">
        <v>74</v>
      </c>
      <c r="M447" t="s">
        <v>200</v>
      </c>
      <c r="N447" t="s">
        <v>79</v>
      </c>
      <c r="O447" t="s">
        <v>74</v>
      </c>
      <c r="P447" t="s">
        <v>74</v>
      </c>
      <c r="Q447" t="s">
        <v>74</v>
      </c>
      <c r="R447" t="s">
        <v>74</v>
      </c>
      <c r="S447" t="s">
        <v>74</v>
      </c>
      <c r="T447" t="s">
        <v>74</v>
      </c>
      <c r="U447" t="s">
        <v>8509</v>
      </c>
      <c r="V447" t="s">
        <v>8510</v>
      </c>
      <c r="W447" t="s">
        <v>8511</v>
      </c>
      <c r="X447" t="s">
        <v>8512</v>
      </c>
      <c r="Y447" t="s">
        <v>8513</v>
      </c>
      <c r="Z447" t="s">
        <v>8514</v>
      </c>
      <c r="AA447" t="s">
        <v>8515</v>
      </c>
      <c r="AB447" t="s">
        <v>8516</v>
      </c>
      <c r="AC447" t="s">
        <v>8517</v>
      </c>
      <c r="AD447" t="s">
        <v>8518</v>
      </c>
      <c r="AE447" t="s">
        <v>8519</v>
      </c>
      <c r="AF447" t="s">
        <v>74</v>
      </c>
      <c r="AG447">
        <v>40</v>
      </c>
      <c r="AH447">
        <v>27</v>
      </c>
      <c r="AI447">
        <v>28</v>
      </c>
      <c r="AJ447">
        <v>0</v>
      </c>
      <c r="AK447">
        <v>7</v>
      </c>
      <c r="AL447" t="s">
        <v>358</v>
      </c>
      <c r="AM447" t="s">
        <v>359</v>
      </c>
      <c r="AN447" t="s">
        <v>3238</v>
      </c>
      <c r="AO447" t="s">
        <v>3973</v>
      </c>
      <c r="AP447" t="s">
        <v>3974</v>
      </c>
      <c r="AQ447" t="s">
        <v>74</v>
      </c>
      <c r="AR447" t="s">
        <v>3961</v>
      </c>
      <c r="AS447" t="s">
        <v>3975</v>
      </c>
      <c r="AT447" t="s">
        <v>74</v>
      </c>
      <c r="AU447">
        <v>2016</v>
      </c>
      <c r="AV447">
        <v>10</v>
      </c>
      <c r="AW447">
        <v>4</v>
      </c>
      <c r="AX447" t="s">
        <v>74</v>
      </c>
      <c r="AY447" t="s">
        <v>74</v>
      </c>
      <c r="AZ447" t="s">
        <v>74</v>
      </c>
      <c r="BA447" t="s">
        <v>74</v>
      </c>
      <c r="BB447">
        <v>1415</v>
      </c>
      <c r="BC447">
        <v>1425</v>
      </c>
      <c r="BD447" t="s">
        <v>74</v>
      </c>
      <c r="BE447" t="s">
        <v>8520</v>
      </c>
      <c r="BF447" t="str">
        <f>HYPERLINK("http://dx.doi.org/10.5194/tc-10-1415-2016","http://dx.doi.org/10.5194/tc-10-1415-2016")</f>
        <v>http://dx.doi.org/10.5194/tc-10-1415-2016</v>
      </c>
      <c r="BG447" t="s">
        <v>74</v>
      </c>
      <c r="BH447" t="s">
        <v>74</v>
      </c>
      <c r="BI447">
        <v>11</v>
      </c>
      <c r="BJ447" t="s">
        <v>2247</v>
      </c>
      <c r="BK447" t="s">
        <v>264</v>
      </c>
      <c r="BL447" t="s">
        <v>2248</v>
      </c>
      <c r="BM447" t="s">
        <v>4148</v>
      </c>
      <c r="BN447" t="s">
        <v>74</v>
      </c>
      <c r="BO447" t="s">
        <v>2134</v>
      </c>
      <c r="BP447" t="s">
        <v>74</v>
      </c>
      <c r="BQ447" t="s">
        <v>74</v>
      </c>
      <c r="BR447" t="s">
        <v>100</v>
      </c>
      <c r="BS447" t="s">
        <v>8521</v>
      </c>
      <c r="BT447" t="str">
        <f>HYPERLINK("https%3A%2F%2Fwww.webofscience.com%2Fwos%2Fwoscc%2Ffull-record%2FWOS:000379422700004","View Full Record in Web of Science")</f>
        <v>View Full Record in Web of Science</v>
      </c>
    </row>
    <row r="448" spans="1:72" x14ac:dyDescent="0.15">
      <c r="A448" t="s">
        <v>72</v>
      </c>
      <c r="B448" t="s">
        <v>8522</v>
      </c>
      <c r="C448" t="s">
        <v>74</v>
      </c>
      <c r="D448" t="s">
        <v>74</v>
      </c>
      <c r="E448" t="s">
        <v>74</v>
      </c>
      <c r="F448" t="s">
        <v>8523</v>
      </c>
      <c r="G448" t="s">
        <v>74</v>
      </c>
      <c r="H448" t="s">
        <v>74</v>
      </c>
      <c r="I448" t="s">
        <v>8524</v>
      </c>
      <c r="J448" t="s">
        <v>3961</v>
      </c>
      <c r="K448" t="s">
        <v>74</v>
      </c>
      <c r="L448" t="s">
        <v>74</v>
      </c>
      <c r="M448" t="s">
        <v>200</v>
      </c>
      <c r="N448" t="s">
        <v>79</v>
      </c>
      <c r="O448" t="s">
        <v>74</v>
      </c>
      <c r="P448" t="s">
        <v>74</v>
      </c>
      <c r="Q448" t="s">
        <v>74</v>
      </c>
      <c r="R448" t="s">
        <v>74</v>
      </c>
      <c r="S448" t="s">
        <v>74</v>
      </c>
      <c r="T448" t="s">
        <v>74</v>
      </c>
      <c r="U448" t="s">
        <v>8525</v>
      </c>
      <c r="V448" t="s">
        <v>8526</v>
      </c>
      <c r="W448" t="s">
        <v>8527</v>
      </c>
      <c r="X448" t="s">
        <v>8528</v>
      </c>
      <c r="Y448" t="s">
        <v>8529</v>
      </c>
      <c r="Z448" t="s">
        <v>8530</v>
      </c>
      <c r="AA448" t="s">
        <v>8531</v>
      </c>
      <c r="AB448" t="s">
        <v>8532</v>
      </c>
      <c r="AC448" t="s">
        <v>8533</v>
      </c>
      <c r="AD448" t="s">
        <v>8534</v>
      </c>
      <c r="AE448" t="s">
        <v>8535</v>
      </c>
      <c r="AF448" t="s">
        <v>74</v>
      </c>
      <c r="AG448">
        <v>48</v>
      </c>
      <c r="AH448">
        <v>36</v>
      </c>
      <c r="AI448">
        <v>39</v>
      </c>
      <c r="AJ448">
        <v>2</v>
      </c>
      <c r="AK448">
        <v>17</v>
      </c>
      <c r="AL448" t="s">
        <v>358</v>
      </c>
      <c r="AM448" t="s">
        <v>359</v>
      </c>
      <c r="AN448" t="s">
        <v>3238</v>
      </c>
      <c r="AO448" t="s">
        <v>3973</v>
      </c>
      <c r="AP448" t="s">
        <v>3974</v>
      </c>
      <c r="AQ448" t="s">
        <v>74</v>
      </c>
      <c r="AR448" t="s">
        <v>3961</v>
      </c>
      <c r="AS448" t="s">
        <v>3975</v>
      </c>
      <c r="AT448" t="s">
        <v>74</v>
      </c>
      <c r="AU448">
        <v>2016</v>
      </c>
      <c r="AV448">
        <v>10</v>
      </c>
      <c r="AW448">
        <v>4</v>
      </c>
      <c r="AX448" t="s">
        <v>74</v>
      </c>
      <c r="AY448" t="s">
        <v>74</v>
      </c>
      <c r="AZ448" t="s">
        <v>74</v>
      </c>
      <c r="BA448" t="s">
        <v>74</v>
      </c>
      <c r="BB448">
        <v>1449</v>
      </c>
      <c r="BC448">
        <v>1462</v>
      </c>
      <c r="BD448" t="s">
        <v>74</v>
      </c>
      <c r="BE448" t="s">
        <v>8536</v>
      </c>
      <c r="BF448" t="str">
        <f>HYPERLINK("http://dx.doi.org/10.5194/tc-10-1449-2016","http://dx.doi.org/10.5194/tc-10-1449-2016")</f>
        <v>http://dx.doi.org/10.5194/tc-10-1449-2016</v>
      </c>
      <c r="BG448" t="s">
        <v>74</v>
      </c>
      <c r="BH448" t="s">
        <v>74</v>
      </c>
      <c r="BI448">
        <v>14</v>
      </c>
      <c r="BJ448" t="s">
        <v>2247</v>
      </c>
      <c r="BK448" t="s">
        <v>264</v>
      </c>
      <c r="BL448" t="s">
        <v>2248</v>
      </c>
      <c r="BM448" t="s">
        <v>4148</v>
      </c>
      <c r="BN448" t="s">
        <v>74</v>
      </c>
      <c r="BO448" t="s">
        <v>369</v>
      </c>
      <c r="BP448" t="s">
        <v>74</v>
      </c>
      <c r="BQ448" t="s">
        <v>74</v>
      </c>
      <c r="BR448" t="s">
        <v>100</v>
      </c>
      <c r="BS448" t="s">
        <v>8537</v>
      </c>
      <c r="BT448" t="str">
        <f>HYPERLINK("https%3A%2F%2Fwww.webofscience.com%2Fwos%2Fwoscc%2Ffull-record%2FWOS:000379422700007","View Full Record in Web of Science")</f>
        <v>View Full Record in Web of Science</v>
      </c>
    </row>
    <row r="449" spans="1:72" x14ac:dyDescent="0.15">
      <c r="A449" t="s">
        <v>72</v>
      </c>
      <c r="B449" t="s">
        <v>8538</v>
      </c>
      <c r="C449" t="s">
        <v>74</v>
      </c>
      <c r="D449" t="s">
        <v>74</v>
      </c>
      <c r="E449" t="s">
        <v>74</v>
      </c>
      <c r="F449" t="s">
        <v>8539</v>
      </c>
      <c r="G449" t="s">
        <v>74</v>
      </c>
      <c r="H449" t="s">
        <v>74</v>
      </c>
      <c r="I449" t="s">
        <v>8540</v>
      </c>
      <c r="J449" t="s">
        <v>3961</v>
      </c>
      <c r="K449" t="s">
        <v>74</v>
      </c>
      <c r="L449" t="s">
        <v>74</v>
      </c>
      <c r="M449" t="s">
        <v>200</v>
      </c>
      <c r="N449" t="s">
        <v>79</v>
      </c>
      <c r="O449" t="s">
        <v>74</v>
      </c>
      <c r="P449" t="s">
        <v>74</v>
      </c>
      <c r="Q449" t="s">
        <v>74</v>
      </c>
      <c r="R449" t="s">
        <v>74</v>
      </c>
      <c r="S449" t="s">
        <v>74</v>
      </c>
      <c r="T449" t="s">
        <v>74</v>
      </c>
      <c r="U449" t="s">
        <v>8541</v>
      </c>
      <c r="V449" t="s">
        <v>8542</v>
      </c>
      <c r="W449" t="s">
        <v>8543</v>
      </c>
      <c r="X449" t="s">
        <v>8544</v>
      </c>
      <c r="Y449" t="s">
        <v>8545</v>
      </c>
      <c r="Z449" t="s">
        <v>8546</v>
      </c>
      <c r="AA449" t="s">
        <v>74</v>
      </c>
      <c r="AB449" t="s">
        <v>8547</v>
      </c>
      <c r="AC449" t="s">
        <v>8548</v>
      </c>
      <c r="AD449" t="s">
        <v>8549</v>
      </c>
      <c r="AE449" t="s">
        <v>8550</v>
      </c>
      <c r="AF449" t="s">
        <v>74</v>
      </c>
      <c r="AG449">
        <v>28</v>
      </c>
      <c r="AH449">
        <v>135</v>
      </c>
      <c r="AI449">
        <v>148</v>
      </c>
      <c r="AJ449">
        <v>2</v>
      </c>
      <c r="AK449">
        <v>30</v>
      </c>
      <c r="AL449" t="s">
        <v>358</v>
      </c>
      <c r="AM449" t="s">
        <v>359</v>
      </c>
      <c r="AN449" t="s">
        <v>3238</v>
      </c>
      <c r="AO449" t="s">
        <v>3973</v>
      </c>
      <c r="AP449" t="s">
        <v>3974</v>
      </c>
      <c r="AQ449" t="s">
        <v>74</v>
      </c>
      <c r="AR449" t="s">
        <v>3961</v>
      </c>
      <c r="AS449" t="s">
        <v>3975</v>
      </c>
      <c r="AT449" t="s">
        <v>74</v>
      </c>
      <c r="AU449">
        <v>2016</v>
      </c>
      <c r="AV449">
        <v>10</v>
      </c>
      <c r="AW449">
        <v>4</v>
      </c>
      <c r="AX449" t="s">
        <v>74</v>
      </c>
      <c r="AY449" t="s">
        <v>74</v>
      </c>
      <c r="AZ449" t="s">
        <v>74</v>
      </c>
      <c r="BA449" t="s">
        <v>74</v>
      </c>
      <c r="BB449">
        <v>1665</v>
      </c>
      <c r="BC449">
        <v>1677</v>
      </c>
      <c r="BD449" t="s">
        <v>74</v>
      </c>
      <c r="BE449" t="s">
        <v>8551</v>
      </c>
      <c r="BF449" t="str">
        <f>HYPERLINK("http://dx.doi.org/10.5194/tc-10-1665-2016","http://dx.doi.org/10.5194/tc-10-1665-2016")</f>
        <v>http://dx.doi.org/10.5194/tc-10-1665-2016</v>
      </c>
      <c r="BG449" t="s">
        <v>74</v>
      </c>
      <c r="BH449" t="s">
        <v>74</v>
      </c>
      <c r="BI449">
        <v>13</v>
      </c>
      <c r="BJ449" t="s">
        <v>2247</v>
      </c>
      <c r="BK449" t="s">
        <v>264</v>
      </c>
      <c r="BL449" t="s">
        <v>2248</v>
      </c>
      <c r="BM449" t="s">
        <v>8552</v>
      </c>
      <c r="BN449" t="s">
        <v>74</v>
      </c>
      <c r="BO449" t="s">
        <v>4816</v>
      </c>
      <c r="BP449" t="s">
        <v>74</v>
      </c>
      <c r="BQ449" t="s">
        <v>74</v>
      </c>
      <c r="BR449" t="s">
        <v>100</v>
      </c>
      <c r="BS449" t="s">
        <v>8553</v>
      </c>
      <c r="BT449" t="str">
        <f>HYPERLINK("https%3A%2F%2Fwww.webofscience.com%2Fwos%2Fwoscc%2Ffull-record%2FWOS:000381218000011","View Full Record in Web of Science")</f>
        <v>View Full Record in Web of Science</v>
      </c>
    </row>
    <row r="450" spans="1:72" x14ac:dyDescent="0.15">
      <c r="A450" t="s">
        <v>72</v>
      </c>
      <c r="B450" t="s">
        <v>8554</v>
      </c>
      <c r="C450" t="s">
        <v>74</v>
      </c>
      <c r="D450" t="s">
        <v>74</v>
      </c>
      <c r="E450" t="s">
        <v>74</v>
      </c>
      <c r="F450" t="s">
        <v>8555</v>
      </c>
      <c r="G450" t="s">
        <v>74</v>
      </c>
      <c r="H450" t="s">
        <v>74</v>
      </c>
      <c r="I450" t="s">
        <v>8556</v>
      </c>
      <c r="J450" t="s">
        <v>3067</v>
      </c>
      <c r="K450" t="s">
        <v>74</v>
      </c>
      <c r="L450" t="s">
        <v>74</v>
      </c>
      <c r="M450" t="s">
        <v>200</v>
      </c>
      <c r="N450" t="s">
        <v>79</v>
      </c>
      <c r="O450" t="s">
        <v>74</v>
      </c>
      <c r="P450" t="s">
        <v>74</v>
      </c>
      <c r="Q450" t="s">
        <v>74</v>
      </c>
      <c r="R450" t="s">
        <v>74</v>
      </c>
      <c r="S450" t="s">
        <v>74</v>
      </c>
      <c r="T450" t="s">
        <v>8557</v>
      </c>
      <c r="U450" t="s">
        <v>8558</v>
      </c>
      <c r="V450" t="s">
        <v>8559</v>
      </c>
      <c r="W450" t="s">
        <v>8560</v>
      </c>
      <c r="X450" t="s">
        <v>8561</v>
      </c>
      <c r="Y450" t="s">
        <v>7740</v>
      </c>
      <c r="Z450" t="s">
        <v>7741</v>
      </c>
      <c r="AA450" t="s">
        <v>8562</v>
      </c>
      <c r="AB450" t="s">
        <v>8563</v>
      </c>
      <c r="AC450" t="s">
        <v>74</v>
      </c>
      <c r="AD450" t="s">
        <v>74</v>
      </c>
      <c r="AE450" t="s">
        <v>74</v>
      </c>
      <c r="AF450" t="s">
        <v>74</v>
      </c>
      <c r="AG450">
        <v>109</v>
      </c>
      <c r="AH450">
        <v>19</v>
      </c>
      <c r="AI450">
        <v>20</v>
      </c>
      <c r="AJ450">
        <v>1</v>
      </c>
      <c r="AK450">
        <v>11</v>
      </c>
      <c r="AL450" t="s">
        <v>3077</v>
      </c>
      <c r="AM450" t="s">
        <v>3078</v>
      </c>
      <c r="AN450" t="s">
        <v>3079</v>
      </c>
      <c r="AO450" t="s">
        <v>3080</v>
      </c>
      <c r="AP450" t="s">
        <v>3081</v>
      </c>
      <c r="AQ450" t="s">
        <v>74</v>
      </c>
      <c r="AR450" t="s">
        <v>3082</v>
      </c>
      <c r="AS450" t="s">
        <v>3083</v>
      </c>
      <c r="AT450" t="s">
        <v>74</v>
      </c>
      <c r="AU450">
        <v>2016</v>
      </c>
      <c r="AV450">
        <v>42</v>
      </c>
      <c r="AW450">
        <v>2</v>
      </c>
      <c r="AX450" t="s">
        <v>74</v>
      </c>
      <c r="AY450" t="s">
        <v>74</v>
      </c>
      <c r="AZ450" t="s">
        <v>74</v>
      </c>
      <c r="BA450" t="s">
        <v>74</v>
      </c>
      <c r="BB450">
        <v>435</v>
      </c>
      <c r="BC450">
        <v>455</v>
      </c>
      <c r="BD450" t="s">
        <v>74</v>
      </c>
      <c r="BE450" t="s">
        <v>8564</v>
      </c>
      <c r="BF450" t="str">
        <f>HYPERLINK("http://dx.doi.org/10.18172/cig.2965","http://dx.doi.org/10.18172/cig.2965")</f>
        <v>http://dx.doi.org/10.18172/cig.2965</v>
      </c>
      <c r="BG450" t="s">
        <v>74</v>
      </c>
      <c r="BH450" t="s">
        <v>74</v>
      </c>
      <c r="BI450">
        <v>21</v>
      </c>
      <c r="BJ450" t="s">
        <v>2747</v>
      </c>
      <c r="BK450" t="s">
        <v>96</v>
      </c>
      <c r="BL450" t="s">
        <v>2748</v>
      </c>
      <c r="BM450" t="s">
        <v>3085</v>
      </c>
      <c r="BN450" t="s">
        <v>74</v>
      </c>
      <c r="BO450" t="s">
        <v>2134</v>
      </c>
      <c r="BP450" t="s">
        <v>74</v>
      </c>
      <c r="BQ450" t="s">
        <v>74</v>
      </c>
      <c r="BR450" t="s">
        <v>100</v>
      </c>
      <c r="BS450" t="s">
        <v>8565</v>
      </c>
      <c r="BT450" t="str">
        <f>HYPERLINK("https%3A%2F%2Fwww.webofscience.com%2Fwos%2Fwoscc%2Ffull-record%2FWOS:000384226300008","View Full Record in Web of Science")</f>
        <v>View Full Record in Web of Science</v>
      </c>
    </row>
    <row r="451" spans="1:72" x14ac:dyDescent="0.15">
      <c r="A451" t="s">
        <v>72</v>
      </c>
      <c r="B451" t="s">
        <v>8566</v>
      </c>
      <c r="C451" t="s">
        <v>74</v>
      </c>
      <c r="D451" t="s">
        <v>74</v>
      </c>
      <c r="E451" t="s">
        <v>74</v>
      </c>
      <c r="F451" t="s">
        <v>8567</v>
      </c>
      <c r="G451" t="s">
        <v>74</v>
      </c>
      <c r="H451" t="s">
        <v>74</v>
      </c>
      <c r="I451" t="s">
        <v>8568</v>
      </c>
      <c r="J451" t="s">
        <v>8569</v>
      </c>
      <c r="K451" t="s">
        <v>74</v>
      </c>
      <c r="L451" t="s">
        <v>74</v>
      </c>
      <c r="M451" t="s">
        <v>609</v>
      </c>
      <c r="N451" t="s">
        <v>79</v>
      </c>
      <c r="O451" t="s">
        <v>74</v>
      </c>
      <c r="P451" t="s">
        <v>74</v>
      </c>
      <c r="Q451" t="s">
        <v>74</v>
      </c>
      <c r="R451" t="s">
        <v>74</v>
      </c>
      <c r="S451" t="s">
        <v>74</v>
      </c>
      <c r="T451" t="s">
        <v>8570</v>
      </c>
      <c r="U451" t="s">
        <v>8571</v>
      </c>
      <c r="V451" t="s">
        <v>8572</v>
      </c>
      <c r="W451" t="s">
        <v>8573</v>
      </c>
      <c r="X451" t="s">
        <v>8574</v>
      </c>
      <c r="Y451" t="s">
        <v>8575</v>
      </c>
      <c r="Z451" t="s">
        <v>3074</v>
      </c>
      <c r="AA451" t="s">
        <v>8576</v>
      </c>
      <c r="AB451" t="s">
        <v>8577</v>
      </c>
      <c r="AC451" t="s">
        <v>74</v>
      </c>
      <c r="AD451" t="s">
        <v>74</v>
      </c>
      <c r="AE451" t="s">
        <v>74</v>
      </c>
      <c r="AF451" t="s">
        <v>74</v>
      </c>
      <c r="AG451">
        <v>47</v>
      </c>
      <c r="AH451">
        <v>4</v>
      </c>
      <c r="AI451">
        <v>4</v>
      </c>
      <c r="AJ451">
        <v>0</v>
      </c>
      <c r="AK451">
        <v>6</v>
      </c>
      <c r="AL451" t="s">
        <v>8578</v>
      </c>
      <c r="AM451" t="s">
        <v>3388</v>
      </c>
      <c r="AN451" t="s">
        <v>8579</v>
      </c>
      <c r="AO451" t="s">
        <v>8580</v>
      </c>
      <c r="AP451" t="s">
        <v>74</v>
      </c>
      <c r="AQ451" t="s">
        <v>74</v>
      </c>
      <c r="AR451" t="s">
        <v>8581</v>
      </c>
      <c r="AS451" t="s">
        <v>8582</v>
      </c>
      <c r="AT451" t="s">
        <v>74</v>
      </c>
      <c r="AU451">
        <v>2016</v>
      </c>
      <c r="AV451">
        <v>30</v>
      </c>
      <c r="AW451" t="s">
        <v>5654</v>
      </c>
      <c r="AX451" t="s">
        <v>74</v>
      </c>
      <c r="AY451" t="s">
        <v>74</v>
      </c>
      <c r="AZ451" t="s">
        <v>74</v>
      </c>
      <c r="BA451" t="s">
        <v>74</v>
      </c>
      <c r="BB451">
        <v>105</v>
      </c>
      <c r="BC451">
        <v>118</v>
      </c>
      <c r="BD451" t="s">
        <v>74</v>
      </c>
      <c r="BE451" t="s">
        <v>8583</v>
      </c>
      <c r="BF451" t="str">
        <f>HYPERLINK("http://dx.doi.org/10.17735/cyg.v30i1-2.48665","http://dx.doi.org/10.17735/cyg.v30i1-2.48665")</f>
        <v>http://dx.doi.org/10.17735/cyg.v30i1-2.48665</v>
      </c>
      <c r="BG451" t="s">
        <v>74</v>
      </c>
      <c r="BH451" t="s">
        <v>74</v>
      </c>
      <c r="BI451">
        <v>14</v>
      </c>
      <c r="BJ451" t="s">
        <v>97</v>
      </c>
      <c r="BK451" t="s">
        <v>96</v>
      </c>
      <c r="BL451" t="s">
        <v>97</v>
      </c>
      <c r="BM451" t="s">
        <v>8584</v>
      </c>
      <c r="BN451" t="s">
        <v>74</v>
      </c>
      <c r="BO451" t="s">
        <v>369</v>
      </c>
      <c r="BP451" t="s">
        <v>74</v>
      </c>
      <c r="BQ451" t="s">
        <v>74</v>
      </c>
      <c r="BR451" t="s">
        <v>100</v>
      </c>
      <c r="BS451" t="s">
        <v>8585</v>
      </c>
      <c r="BT451" t="str">
        <f>HYPERLINK("https%3A%2F%2Fwww.webofscience.com%2Fwos%2Fwoscc%2Ffull-record%2FWOS:000383780800010","View Full Record in Web of Science")</f>
        <v>View Full Record in Web of Science</v>
      </c>
    </row>
    <row r="452" spans="1:72" x14ac:dyDescent="0.15">
      <c r="A452" t="s">
        <v>72</v>
      </c>
      <c r="B452" t="s">
        <v>8586</v>
      </c>
      <c r="C452" t="s">
        <v>74</v>
      </c>
      <c r="D452" t="s">
        <v>74</v>
      </c>
      <c r="E452" t="s">
        <v>74</v>
      </c>
      <c r="F452" t="s">
        <v>8587</v>
      </c>
      <c r="G452" t="s">
        <v>74</v>
      </c>
      <c r="H452" t="s">
        <v>74</v>
      </c>
      <c r="I452" t="s">
        <v>8588</v>
      </c>
      <c r="J452" t="s">
        <v>8589</v>
      </c>
      <c r="K452" t="s">
        <v>74</v>
      </c>
      <c r="L452" t="s">
        <v>74</v>
      </c>
      <c r="M452" t="s">
        <v>200</v>
      </c>
      <c r="N452" t="s">
        <v>79</v>
      </c>
      <c r="O452" t="s">
        <v>74</v>
      </c>
      <c r="P452" t="s">
        <v>74</v>
      </c>
      <c r="Q452" t="s">
        <v>74</v>
      </c>
      <c r="R452" t="s">
        <v>74</v>
      </c>
      <c r="S452" t="s">
        <v>74</v>
      </c>
      <c r="T452" t="s">
        <v>8590</v>
      </c>
      <c r="U452" t="s">
        <v>8591</v>
      </c>
      <c r="V452" t="s">
        <v>8592</v>
      </c>
      <c r="W452" t="s">
        <v>8593</v>
      </c>
      <c r="X452" t="s">
        <v>8594</v>
      </c>
      <c r="Y452" t="s">
        <v>8595</v>
      </c>
      <c r="Z452" t="s">
        <v>8596</v>
      </c>
      <c r="AA452" t="s">
        <v>8597</v>
      </c>
      <c r="AB452" t="s">
        <v>8598</v>
      </c>
      <c r="AC452" t="s">
        <v>8599</v>
      </c>
      <c r="AD452" t="s">
        <v>8600</v>
      </c>
      <c r="AE452" t="s">
        <v>8601</v>
      </c>
      <c r="AF452" t="s">
        <v>74</v>
      </c>
      <c r="AG452">
        <v>22</v>
      </c>
      <c r="AH452">
        <v>13</v>
      </c>
      <c r="AI452">
        <v>15</v>
      </c>
      <c r="AJ452">
        <v>5</v>
      </c>
      <c r="AK452">
        <v>30</v>
      </c>
      <c r="AL452" t="s">
        <v>8602</v>
      </c>
      <c r="AM452" t="s">
        <v>8603</v>
      </c>
      <c r="AN452" t="s">
        <v>8604</v>
      </c>
      <c r="AO452" t="s">
        <v>8605</v>
      </c>
      <c r="AP452" t="s">
        <v>8606</v>
      </c>
      <c r="AQ452" t="s">
        <v>74</v>
      </c>
      <c r="AR452" t="s">
        <v>8607</v>
      </c>
      <c r="AS452" t="s">
        <v>8608</v>
      </c>
      <c r="AT452" t="s">
        <v>74</v>
      </c>
      <c r="AU452">
        <v>2016</v>
      </c>
      <c r="AV452">
        <v>61</v>
      </c>
      <c r="AW452">
        <v>3</v>
      </c>
      <c r="AX452" t="s">
        <v>74</v>
      </c>
      <c r="AY452" t="s">
        <v>74</v>
      </c>
      <c r="AZ452" t="s">
        <v>74</v>
      </c>
      <c r="BA452" t="s">
        <v>74</v>
      </c>
      <c r="BB452">
        <v>127</v>
      </c>
      <c r="BC452">
        <v>132</v>
      </c>
      <c r="BD452" t="s">
        <v>74</v>
      </c>
      <c r="BE452" t="s">
        <v>8609</v>
      </c>
      <c r="BF452" t="str">
        <f>HYPERLINK("http://dx.doi.org/10.17221/8785-CJAS","http://dx.doi.org/10.17221/8785-CJAS")</f>
        <v>http://dx.doi.org/10.17221/8785-CJAS</v>
      </c>
      <c r="BG452" t="s">
        <v>74</v>
      </c>
      <c r="BH452" t="s">
        <v>74</v>
      </c>
      <c r="BI452">
        <v>6</v>
      </c>
      <c r="BJ452" t="s">
        <v>8610</v>
      </c>
      <c r="BK452" t="s">
        <v>264</v>
      </c>
      <c r="BL452" t="s">
        <v>6797</v>
      </c>
      <c r="BM452" t="s">
        <v>8611</v>
      </c>
      <c r="BN452" t="s">
        <v>74</v>
      </c>
      <c r="BO452" t="s">
        <v>99</v>
      </c>
      <c r="BP452" t="s">
        <v>74</v>
      </c>
      <c r="BQ452" t="s">
        <v>74</v>
      </c>
      <c r="BR452" t="s">
        <v>100</v>
      </c>
      <c r="BS452" t="s">
        <v>8612</v>
      </c>
      <c r="BT452" t="str">
        <f>HYPERLINK("https%3A%2F%2Fwww.webofscience.com%2Fwos%2Fwoscc%2Ffull-record%2FWOS:000375410300004","View Full Record in Web of Science")</f>
        <v>View Full Record in Web of Science</v>
      </c>
    </row>
    <row r="453" spans="1:72" x14ac:dyDescent="0.15">
      <c r="A453" t="s">
        <v>72</v>
      </c>
      <c r="B453" t="s">
        <v>8613</v>
      </c>
      <c r="C453" t="s">
        <v>74</v>
      </c>
      <c r="D453" t="s">
        <v>74</v>
      </c>
      <c r="E453" t="s">
        <v>74</v>
      </c>
      <c r="F453" t="s">
        <v>8614</v>
      </c>
      <c r="G453" t="s">
        <v>74</v>
      </c>
      <c r="H453" t="s">
        <v>74</v>
      </c>
      <c r="I453" t="s">
        <v>8615</v>
      </c>
      <c r="J453" t="s">
        <v>8616</v>
      </c>
      <c r="K453" t="s">
        <v>74</v>
      </c>
      <c r="L453" t="s">
        <v>74</v>
      </c>
      <c r="M453" t="s">
        <v>200</v>
      </c>
      <c r="N453" t="s">
        <v>79</v>
      </c>
      <c r="O453" t="s">
        <v>74</v>
      </c>
      <c r="P453" t="s">
        <v>74</v>
      </c>
      <c r="Q453" t="s">
        <v>74</v>
      </c>
      <c r="R453" t="s">
        <v>74</v>
      </c>
      <c r="S453" t="s">
        <v>74</v>
      </c>
      <c r="T453" t="s">
        <v>8617</v>
      </c>
      <c r="U453" t="s">
        <v>8618</v>
      </c>
      <c r="V453" t="s">
        <v>8619</v>
      </c>
      <c r="W453" t="s">
        <v>8620</v>
      </c>
      <c r="X453" t="s">
        <v>8621</v>
      </c>
      <c r="Y453" t="s">
        <v>8622</v>
      </c>
      <c r="Z453" t="s">
        <v>8623</v>
      </c>
      <c r="AA453" t="s">
        <v>74</v>
      </c>
      <c r="AB453" t="s">
        <v>8624</v>
      </c>
      <c r="AC453" t="s">
        <v>8625</v>
      </c>
      <c r="AD453" t="s">
        <v>8626</v>
      </c>
      <c r="AE453" t="s">
        <v>8627</v>
      </c>
      <c r="AF453" t="s">
        <v>74</v>
      </c>
      <c r="AG453">
        <v>42</v>
      </c>
      <c r="AH453">
        <v>39</v>
      </c>
      <c r="AI453">
        <v>40</v>
      </c>
      <c r="AJ453">
        <v>0</v>
      </c>
      <c r="AK453">
        <v>17</v>
      </c>
      <c r="AL453" t="s">
        <v>5888</v>
      </c>
      <c r="AM453" t="s">
        <v>1386</v>
      </c>
      <c r="AN453" t="s">
        <v>5889</v>
      </c>
      <c r="AO453" t="s">
        <v>8628</v>
      </c>
      <c r="AP453" t="s">
        <v>8629</v>
      </c>
      <c r="AQ453" t="s">
        <v>74</v>
      </c>
      <c r="AR453" t="s">
        <v>8630</v>
      </c>
      <c r="AS453" t="s">
        <v>8631</v>
      </c>
      <c r="AT453" t="s">
        <v>315</v>
      </c>
      <c r="AU453">
        <v>2016</v>
      </c>
      <c r="AV453">
        <v>107</v>
      </c>
      <c r="AW453" t="s">
        <v>74</v>
      </c>
      <c r="AX453" t="s">
        <v>74</v>
      </c>
      <c r="AY453" t="s">
        <v>74</v>
      </c>
      <c r="AZ453" t="s">
        <v>74</v>
      </c>
      <c r="BA453" t="s">
        <v>74</v>
      </c>
      <c r="BB453">
        <v>70</v>
      </c>
      <c r="BC453">
        <v>81</v>
      </c>
      <c r="BD453" t="s">
        <v>74</v>
      </c>
      <c r="BE453" t="s">
        <v>8632</v>
      </c>
      <c r="BF453" t="str">
        <f>HYPERLINK("http://dx.doi.org/10.1016/j.dsr.2015.11.002","http://dx.doi.org/10.1016/j.dsr.2015.11.002")</f>
        <v>http://dx.doi.org/10.1016/j.dsr.2015.11.002</v>
      </c>
      <c r="BG453" t="s">
        <v>74</v>
      </c>
      <c r="BH453" t="s">
        <v>74</v>
      </c>
      <c r="BI453">
        <v>12</v>
      </c>
      <c r="BJ453" t="s">
        <v>5339</v>
      </c>
      <c r="BK453" t="s">
        <v>264</v>
      </c>
      <c r="BL453" t="s">
        <v>5339</v>
      </c>
      <c r="BM453" t="s">
        <v>8633</v>
      </c>
      <c r="BN453" t="s">
        <v>74</v>
      </c>
      <c r="BO453" t="s">
        <v>241</v>
      </c>
      <c r="BP453" t="s">
        <v>74</v>
      </c>
      <c r="BQ453" t="s">
        <v>74</v>
      </c>
      <c r="BR453" t="s">
        <v>100</v>
      </c>
      <c r="BS453" t="s">
        <v>8634</v>
      </c>
      <c r="BT453" t="str">
        <f>HYPERLINK("https%3A%2F%2Fwww.webofscience.com%2Fwos%2Fwoscc%2Ffull-record%2FWOS:000368750900007","View Full Record in Web of Science")</f>
        <v>View Full Record in Web of Science</v>
      </c>
    </row>
    <row r="454" spans="1:72" x14ac:dyDescent="0.15">
      <c r="A454" t="s">
        <v>72</v>
      </c>
      <c r="B454" t="s">
        <v>8635</v>
      </c>
      <c r="C454" t="s">
        <v>74</v>
      </c>
      <c r="D454" t="s">
        <v>74</v>
      </c>
      <c r="E454" t="s">
        <v>74</v>
      </c>
      <c r="F454" t="s">
        <v>8636</v>
      </c>
      <c r="G454" t="s">
        <v>74</v>
      </c>
      <c r="H454" t="s">
        <v>74</v>
      </c>
      <c r="I454" t="s">
        <v>8637</v>
      </c>
      <c r="J454" t="s">
        <v>5875</v>
      </c>
      <c r="K454" t="s">
        <v>74</v>
      </c>
      <c r="L454" t="s">
        <v>74</v>
      </c>
      <c r="M454" t="s">
        <v>200</v>
      </c>
      <c r="N454" t="s">
        <v>8638</v>
      </c>
      <c r="O454" t="s">
        <v>74</v>
      </c>
      <c r="P454" t="s">
        <v>74</v>
      </c>
      <c r="Q454" t="s">
        <v>74</v>
      </c>
      <c r="R454" t="s">
        <v>74</v>
      </c>
      <c r="S454" t="s">
        <v>74</v>
      </c>
      <c r="T454" t="s">
        <v>8639</v>
      </c>
      <c r="U454" t="s">
        <v>8640</v>
      </c>
      <c r="V454" t="s">
        <v>74</v>
      </c>
      <c r="W454" t="s">
        <v>8641</v>
      </c>
      <c r="X454" t="s">
        <v>8642</v>
      </c>
      <c r="Y454" t="s">
        <v>8643</v>
      </c>
      <c r="Z454" t="s">
        <v>74</v>
      </c>
      <c r="AA454" t="s">
        <v>8644</v>
      </c>
      <c r="AB454" t="s">
        <v>8645</v>
      </c>
      <c r="AC454" t="s">
        <v>8646</v>
      </c>
      <c r="AD454" t="s">
        <v>8647</v>
      </c>
      <c r="AE454" t="s">
        <v>74</v>
      </c>
      <c r="AF454" t="s">
        <v>74</v>
      </c>
      <c r="AG454">
        <v>78</v>
      </c>
      <c r="AH454">
        <v>10</v>
      </c>
      <c r="AI454">
        <v>13</v>
      </c>
      <c r="AJ454">
        <v>1</v>
      </c>
      <c r="AK454">
        <v>45</v>
      </c>
      <c r="AL454" t="s">
        <v>5888</v>
      </c>
      <c r="AM454" t="s">
        <v>1386</v>
      </c>
      <c r="AN454" t="s">
        <v>5889</v>
      </c>
      <c r="AO454" t="s">
        <v>5890</v>
      </c>
      <c r="AP454" t="s">
        <v>5891</v>
      </c>
      <c r="AQ454" t="s">
        <v>74</v>
      </c>
      <c r="AR454" t="s">
        <v>5892</v>
      </c>
      <c r="AS454" t="s">
        <v>5893</v>
      </c>
      <c r="AT454" t="s">
        <v>315</v>
      </c>
      <c r="AU454">
        <v>2016</v>
      </c>
      <c r="AV454">
        <v>123</v>
      </c>
      <c r="AW454" t="s">
        <v>74</v>
      </c>
      <c r="AX454" t="s">
        <v>74</v>
      </c>
      <c r="AY454" t="s">
        <v>74</v>
      </c>
      <c r="AZ454" t="s">
        <v>74</v>
      </c>
      <c r="BA454" t="s">
        <v>74</v>
      </c>
      <c r="BB454">
        <v>1</v>
      </c>
      <c r="BC454">
        <v>6</v>
      </c>
      <c r="BD454" t="s">
        <v>74</v>
      </c>
      <c r="BE454" t="s">
        <v>8648</v>
      </c>
      <c r="BF454" t="str">
        <f>HYPERLINK("http://dx.doi.org/10.1016/j.dsr2.2015.12.002","http://dx.doi.org/10.1016/j.dsr2.2015.12.002")</f>
        <v>http://dx.doi.org/10.1016/j.dsr2.2015.12.002</v>
      </c>
      <c r="BG454" t="s">
        <v>74</v>
      </c>
      <c r="BH454" t="s">
        <v>74</v>
      </c>
      <c r="BI454">
        <v>6</v>
      </c>
      <c r="BJ454" t="s">
        <v>5339</v>
      </c>
      <c r="BK454" t="s">
        <v>264</v>
      </c>
      <c r="BL454" t="s">
        <v>5339</v>
      </c>
      <c r="BM454" t="s">
        <v>5895</v>
      </c>
      <c r="BN454" t="s">
        <v>74</v>
      </c>
      <c r="BO454" t="s">
        <v>431</v>
      </c>
      <c r="BP454" t="s">
        <v>74</v>
      </c>
      <c r="BQ454" t="s">
        <v>74</v>
      </c>
      <c r="BR454" t="s">
        <v>100</v>
      </c>
      <c r="BS454" t="s">
        <v>8649</v>
      </c>
      <c r="BT454" t="str">
        <f>HYPERLINK("https%3A%2F%2Fwww.webofscience.com%2Fwos%2Fwoscc%2Ffull-record%2FWOS:000370885500001","View Full Record in Web of Science")</f>
        <v>View Full Record in Web of Science</v>
      </c>
    </row>
    <row r="455" spans="1:72" x14ac:dyDescent="0.15">
      <c r="A455" t="s">
        <v>72</v>
      </c>
      <c r="B455" t="s">
        <v>8650</v>
      </c>
      <c r="C455" t="s">
        <v>74</v>
      </c>
      <c r="D455" t="s">
        <v>74</v>
      </c>
      <c r="E455" t="s">
        <v>74</v>
      </c>
      <c r="F455" t="s">
        <v>8651</v>
      </c>
      <c r="G455" t="s">
        <v>74</v>
      </c>
      <c r="H455" t="s">
        <v>74</v>
      </c>
      <c r="I455" t="s">
        <v>8652</v>
      </c>
      <c r="J455" t="s">
        <v>5875</v>
      </c>
      <c r="K455" t="s">
        <v>74</v>
      </c>
      <c r="L455" t="s">
        <v>74</v>
      </c>
      <c r="M455" t="s">
        <v>200</v>
      </c>
      <c r="N455" t="s">
        <v>79</v>
      </c>
      <c r="O455" t="s">
        <v>74</v>
      </c>
      <c r="P455" t="s">
        <v>74</v>
      </c>
      <c r="Q455" t="s">
        <v>74</v>
      </c>
      <c r="R455" t="s">
        <v>74</v>
      </c>
      <c r="S455" t="s">
        <v>74</v>
      </c>
      <c r="T455" t="s">
        <v>8653</v>
      </c>
      <c r="U455" t="s">
        <v>8654</v>
      </c>
      <c r="V455" t="s">
        <v>8655</v>
      </c>
      <c r="W455" t="s">
        <v>8656</v>
      </c>
      <c r="X455" t="s">
        <v>8657</v>
      </c>
      <c r="Y455" t="s">
        <v>8658</v>
      </c>
      <c r="Z455" t="s">
        <v>8659</v>
      </c>
      <c r="AA455" t="s">
        <v>74</v>
      </c>
      <c r="AB455" t="s">
        <v>8660</v>
      </c>
      <c r="AC455" t="s">
        <v>8661</v>
      </c>
      <c r="AD455" t="s">
        <v>8662</v>
      </c>
      <c r="AE455" t="s">
        <v>8663</v>
      </c>
      <c r="AF455" t="s">
        <v>74</v>
      </c>
      <c r="AG455">
        <v>65</v>
      </c>
      <c r="AH455">
        <v>11</v>
      </c>
      <c r="AI455">
        <v>11</v>
      </c>
      <c r="AJ455">
        <v>0</v>
      </c>
      <c r="AK455">
        <v>32</v>
      </c>
      <c r="AL455" t="s">
        <v>5888</v>
      </c>
      <c r="AM455" t="s">
        <v>1386</v>
      </c>
      <c r="AN455" t="s">
        <v>5889</v>
      </c>
      <c r="AO455" t="s">
        <v>5890</v>
      </c>
      <c r="AP455" t="s">
        <v>5891</v>
      </c>
      <c r="AQ455" t="s">
        <v>74</v>
      </c>
      <c r="AR455" t="s">
        <v>5892</v>
      </c>
      <c r="AS455" t="s">
        <v>5893</v>
      </c>
      <c r="AT455" t="s">
        <v>315</v>
      </c>
      <c r="AU455">
        <v>2016</v>
      </c>
      <c r="AV455">
        <v>123</v>
      </c>
      <c r="AW455" t="s">
        <v>74</v>
      </c>
      <c r="AX455" t="s">
        <v>74</v>
      </c>
      <c r="AY455" t="s">
        <v>74</v>
      </c>
      <c r="AZ455" t="s">
        <v>74</v>
      </c>
      <c r="BA455" t="s">
        <v>74</v>
      </c>
      <c r="BB455">
        <v>78</v>
      </c>
      <c r="BC455">
        <v>85</v>
      </c>
      <c r="BD455" t="s">
        <v>74</v>
      </c>
      <c r="BE455" t="s">
        <v>8664</v>
      </c>
      <c r="BF455" t="str">
        <f>HYPERLINK("http://dx.doi.org/10.1016/j.dsr2.2015.04.023","http://dx.doi.org/10.1016/j.dsr2.2015.04.023")</f>
        <v>http://dx.doi.org/10.1016/j.dsr2.2015.04.023</v>
      </c>
      <c r="BG455" t="s">
        <v>74</v>
      </c>
      <c r="BH455" t="s">
        <v>74</v>
      </c>
      <c r="BI455">
        <v>8</v>
      </c>
      <c r="BJ455" t="s">
        <v>5339</v>
      </c>
      <c r="BK455" t="s">
        <v>264</v>
      </c>
      <c r="BL455" t="s">
        <v>5339</v>
      </c>
      <c r="BM455" t="s">
        <v>5895</v>
      </c>
      <c r="BN455" t="s">
        <v>74</v>
      </c>
      <c r="BO455" t="s">
        <v>74</v>
      </c>
      <c r="BP455" t="s">
        <v>74</v>
      </c>
      <c r="BQ455" t="s">
        <v>74</v>
      </c>
      <c r="BR455" t="s">
        <v>100</v>
      </c>
      <c r="BS455" t="s">
        <v>8665</v>
      </c>
      <c r="BT455" t="str">
        <f>HYPERLINK("https%3A%2F%2Fwww.webofscience.com%2Fwos%2Fwoscc%2Ffull-record%2FWOS:000370885500009","View Full Record in Web of Science")</f>
        <v>View Full Record in Web of Science</v>
      </c>
    </row>
    <row r="456" spans="1:72" x14ac:dyDescent="0.15">
      <c r="A456" t="s">
        <v>72</v>
      </c>
      <c r="B456" t="s">
        <v>8666</v>
      </c>
      <c r="C456" t="s">
        <v>74</v>
      </c>
      <c r="D456" t="s">
        <v>74</v>
      </c>
      <c r="E456" t="s">
        <v>74</v>
      </c>
      <c r="F456" t="s">
        <v>8667</v>
      </c>
      <c r="G456" t="s">
        <v>74</v>
      </c>
      <c r="H456" t="s">
        <v>74</v>
      </c>
      <c r="I456" t="s">
        <v>8668</v>
      </c>
      <c r="J456" t="s">
        <v>7101</v>
      </c>
      <c r="K456" t="s">
        <v>74</v>
      </c>
      <c r="L456" t="s">
        <v>74</v>
      </c>
      <c r="M456" t="s">
        <v>200</v>
      </c>
      <c r="N456" t="s">
        <v>79</v>
      </c>
      <c r="O456" t="s">
        <v>74</v>
      </c>
      <c r="P456" t="s">
        <v>74</v>
      </c>
      <c r="Q456" t="s">
        <v>74</v>
      </c>
      <c r="R456" t="s">
        <v>74</v>
      </c>
      <c r="S456" t="s">
        <v>74</v>
      </c>
      <c r="T456" t="s">
        <v>8669</v>
      </c>
      <c r="U456" t="s">
        <v>8670</v>
      </c>
      <c r="V456" t="s">
        <v>8671</v>
      </c>
      <c r="W456" t="s">
        <v>8672</v>
      </c>
      <c r="X456" t="s">
        <v>8673</v>
      </c>
      <c r="Y456" t="s">
        <v>8674</v>
      </c>
      <c r="Z456" t="s">
        <v>8675</v>
      </c>
      <c r="AA456" t="s">
        <v>8676</v>
      </c>
      <c r="AB456" t="s">
        <v>8677</v>
      </c>
      <c r="AC456" t="s">
        <v>8678</v>
      </c>
      <c r="AD456" t="s">
        <v>8679</v>
      </c>
      <c r="AE456" t="s">
        <v>8680</v>
      </c>
      <c r="AF456" t="s">
        <v>74</v>
      </c>
      <c r="AG456">
        <v>50</v>
      </c>
      <c r="AH456">
        <v>11</v>
      </c>
      <c r="AI456">
        <v>11</v>
      </c>
      <c r="AJ456">
        <v>0</v>
      </c>
      <c r="AK456">
        <v>7</v>
      </c>
      <c r="AL456" t="s">
        <v>208</v>
      </c>
      <c r="AM456" t="s">
        <v>209</v>
      </c>
      <c r="AN456" t="s">
        <v>7114</v>
      </c>
      <c r="AO456" t="s">
        <v>7115</v>
      </c>
      <c r="AP456" t="s">
        <v>7116</v>
      </c>
      <c r="AQ456" t="s">
        <v>74</v>
      </c>
      <c r="AR456" t="s">
        <v>7117</v>
      </c>
      <c r="AS456" t="s">
        <v>7118</v>
      </c>
      <c r="AT456" t="s">
        <v>6992</v>
      </c>
      <c r="AU456">
        <v>2016</v>
      </c>
      <c r="AV456">
        <v>433</v>
      </c>
      <c r="AW456" t="s">
        <v>74</v>
      </c>
      <c r="AX456" t="s">
        <v>74</v>
      </c>
      <c r="AY456" t="s">
        <v>74</v>
      </c>
      <c r="AZ456" t="s">
        <v>74</v>
      </c>
      <c r="BA456" t="s">
        <v>74</v>
      </c>
      <c r="BB456">
        <v>99</v>
      </c>
      <c r="BC456">
        <v>108</v>
      </c>
      <c r="BD456" t="s">
        <v>74</v>
      </c>
      <c r="BE456" t="s">
        <v>8681</v>
      </c>
      <c r="BF456" t="str">
        <f>HYPERLINK("http://dx.doi.org/10.1016/j.epsl.2015.10.045","http://dx.doi.org/10.1016/j.epsl.2015.10.045")</f>
        <v>http://dx.doi.org/10.1016/j.epsl.2015.10.045</v>
      </c>
      <c r="BG456" t="s">
        <v>74</v>
      </c>
      <c r="BH456" t="s">
        <v>74</v>
      </c>
      <c r="BI456">
        <v>10</v>
      </c>
      <c r="BJ456" t="s">
        <v>4474</v>
      </c>
      <c r="BK456" t="s">
        <v>264</v>
      </c>
      <c r="BL456" t="s">
        <v>4474</v>
      </c>
      <c r="BM456" t="s">
        <v>7120</v>
      </c>
      <c r="BN456" t="s">
        <v>74</v>
      </c>
      <c r="BO456" t="s">
        <v>74</v>
      </c>
      <c r="BP456" t="s">
        <v>74</v>
      </c>
      <c r="BQ456" t="s">
        <v>74</v>
      </c>
      <c r="BR456" t="s">
        <v>100</v>
      </c>
      <c r="BS456" t="s">
        <v>8682</v>
      </c>
      <c r="BT456" t="str">
        <f>HYPERLINK("https%3A%2F%2Fwww.webofscience.com%2Fwos%2Fwoscc%2Ffull-record%2FWOS:000367120300010","View Full Record in Web of Science")</f>
        <v>View Full Record in Web of Science</v>
      </c>
    </row>
    <row r="457" spans="1:72" x14ac:dyDescent="0.15">
      <c r="A457" t="s">
        <v>72</v>
      </c>
      <c r="B457" t="s">
        <v>8683</v>
      </c>
      <c r="C457" t="s">
        <v>74</v>
      </c>
      <c r="D457" t="s">
        <v>74</v>
      </c>
      <c r="E457" t="s">
        <v>74</v>
      </c>
      <c r="F457" t="s">
        <v>8684</v>
      </c>
      <c r="G457" t="s">
        <v>74</v>
      </c>
      <c r="H457" t="s">
        <v>74</v>
      </c>
      <c r="I457" t="s">
        <v>8685</v>
      </c>
      <c r="J457" t="s">
        <v>7101</v>
      </c>
      <c r="K457" t="s">
        <v>74</v>
      </c>
      <c r="L457" t="s">
        <v>74</v>
      </c>
      <c r="M457" t="s">
        <v>200</v>
      </c>
      <c r="N457" t="s">
        <v>79</v>
      </c>
      <c r="O457" t="s">
        <v>74</v>
      </c>
      <c r="P457" t="s">
        <v>74</v>
      </c>
      <c r="Q457" t="s">
        <v>74</v>
      </c>
      <c r="R457" t="s">
        <v>74</v>
      </c>
      <c r="S457" t="s">
        <v>74</v>
      </c>
      <c r="T457" t="s">
        <v>8686</v>
      </c>
      <c r="U457" t="s">
        <v>8687</v>
      </c>
      <c r="V457" t="s">
        <v>8688</v>
      </c>
      <c r="W457" t="s">
        <v>8689</v>
      </c>
      <c r="X457" t="s">
        <v>8690</v>
      </c>
      <c r="Y457" t="s">
        <v>8691</v>
      </c>
      <c r="Z457" t="s">
        <v>8692</v>
      </c>
      <c r="AA457" t="s">
        <v>8693</v>
      </c>
      <c r="AB457" t="s">
        <v>8694</v>
      </c>
      <c r="AC457" t="s">
        <v>8695</v>
      </c>
      <c r="AD457" t="s">
        <v>8696</v>
      </c>
      <c r="AE457" t="s">
        <v>8697</v>
      </c>
      <c r="AF457" t="s">
        <v>74</v>
      </c>
      <c r="AG457">
        <v>56</v>
      </c>
      <c r="AH457">
        <v>52</v>
      </c>
      <c r="AI457">
        <v>56</v>
      </c>
      <c r="AJ457">
        <v>4</v>
      </c>
      <c r="AK457">
        <v>57</v>
      </c>
      <c r="AL457" t="s">
        <v>7137</v>
      </c>
      <c r="AM457" t="s">
        <v>209</v>
      </c>
      <c r="AN457" t="s">
        <v>7138</v>
      </c>
      <c r="AO457" t="s">
        <v>7115</v>
      </c>
      <c r="AP457" t="s">
        <v>7116</v>
      </c>
      <c r="AQ457" t="s">
        <v>74</v>
      </c>
      <c r="AR457" t="s">
        <v>7117</v>
      </c>
      <c r="AS457" t="s">
        <v>7118</v>
      </c>
      <c r="AT457" t="s">
        <v>6992</v>
      </c>
      <c r="AU457">
        <v>2016</v>
      </c>
      <c r="AV457">
        <v>433</v>
      </c>
      <c r="AW457" t="s">
        <v>74</v>
      </c>
      <c r="AX457" t="s">
        <v>74</v>
      </c>
      <c r="AY457" t="s">
        <v>74</v>
      </c>
      <c r="AZ457" t="s">
        <v>74</v>
      </c>
      <c r="BA457" t="s">
        <v>74</v>
      </c>
      <c r="BB457">
        <v>370</v>
      </c>
      <c r="BC457">
        <v>379</v>
      </c>
      <c r="BD457" t="s">
        <v>74</v>
      </c>
      <c r="BE457" t="s">
        <v>8698</v>
      </c>
      <c r="BF457" t="str">
        <f>HYPERLINK("http://dx.doi.org/10.1016/j.epsl.2015.11.018","http://dx.doi.org/10.1016/j.epsl.2015.11.018")</f>
        <v>http://dx.doi.org/10.1016/j.epsl.2015.11.018</v>
      </c>
      <c r="BG457" t="s">
        <v>74</v>
      </c>
      <c r="BH457" t="s">
        <v>74</v>
      </c>
      <c r="BI457">
        <v>10</v>
      </c>
      <c r="BJ457" t="s">
        <v>4474</v>
      </c>
      <c r="BK457" t="s">
        <v>264</v>
      </c>
      <c r="BL457" t="s">
        <v>4474</v>
      </c>
      <c r="BM457" t="s">
        <v>7120</v>
      </c>
      <c r="BN457" t="s">
        <v>74</v>
      </c>
      <c r="BO457" t="s">
        <v>8699</v>
      </c>
      <c r="BP457" t="s">
        <v>74</v>
      </c>
      <c r="BQ457" t="s">
        <v>74</v>
      </c>
      <c r="BR457" t="s">
        <v>100</v>
      </c>
      <c r="BS457" t="s">
        <v>8700</v>
      </c>
      <c r="BT457" t="str">
        <f>HYPERLINK("https%3A%2F%2Fwww.webofscience.com%2Fwos%2Fwoscc%2Ffull-record%2FWOS:000367120300037","View Full Record in Web of Science")</f>
        <v>View Full Record in Web of Science</v>
      </c>
    </row>
    <row r="458" spans="1:72" x14ac:dyDescent="0.15">
      <c r="A458" t="s">
        <v>267</v>
      </c>
      <c r="B458" t="s">
        <v>8701</v>
      </c>
      <c r="C458" t="s">
        <v>74</v>
      </c>
      <c r="D458" t="s">
        <v>2844</v>
      </c>
      <c r="E458" t="s">
        <v>74</v>
      </c>
      <c r="F458" t="s">
        <v>8702</v>
      </c>
      <c r="G458" t="s">
        <v>74</v>
      </c>
      <c r="H458" t="s">
        <v>74</v>
      </c>
      <c r="I458" t="s">
        <v>8703</v>
      </c>
      <c r="J458" t="s">
        <v>2847</v>
      </c>
      <c r="K458" t="s">
        <v>1053</v>
      </c>
      <c r="L458" t="s">
        <v>74</v>
      </c>
      <c r="M458" t="s">
        <v>200</v>
      </c>
      <c r="N458" t="s">
        <v>273</v>
      </c>
      <c r="O458" t="s">
        <v>2848</v>
      </c>
      <c r="P458" t="s">
        <v>1979</v>
      </c>
      <c r="Q458" t="s">
        <v>1980</v>
      </c>
      <c r="R458" t="s">
        <v>74</v>
      </c>
      <c r="S458" t="s">
        <v>1981</v>
      </c>
      <c r="T458" t="s">
        <v>8704</v>
      </c>
      <c r="U458" t="s">
        <v>8705</v>
      </c>
      <c r="V458" t="s">
        <v>8706</v>
      </c>
      <c r="W458" t="s">
        <v>8707</v>
      </c>
      <c r="X458" t="s">
        <v>8708</v>
      </c>
      <c r="Y458" t="s">
        <v>2049</v>
      </c>
      <c r="Z458" t="s">
        <v>8709</v>
      </c>
      <c r="AA458" t="s">
        <v>1989</v>
      </c>
      <c r="AB458" t="s">
        <v>1990</v>
      </c>
      <c r="AC458" t="s">
        <v>74</v>
      </c>
      <c r="AD458" t="s">
        <v>74</v>
      </c>
      <c r="AE458" t="s">
        <v>74</v>
      </c>
      <c r="AF458" t="s">
        <v>74</v>
      </c>
      <c r="AG458">
        <v>30</v>
      </c>
      <c r="AH458">
        <v>0</v>
      </c>
      <c r="AI458">
        <v>0</v>
      </c>
      <c r="AJ458">
        <v>0</v>
      </c>
      <c r="AK458">
        <v>3</v>
      </c>
      <c r="AL458" t="s">
        <v>1067</v>
      </c>
      <c r="AM458" t="s">
        <v>1068</v>
      </c>
      <c r="AN458" t="s">
        <v>1069</v>
      </c>
      <c r="AO458" t="s">
        <v>1070</v>
      </c>
      <c r="AP458" t="s">
        <v>1107</v>
      </c>
      <c r="AQ458" t="s">
        <v>2857</v>
      </c>
      <c r="AR458" t="s">
        <v>1072</v>
      </c>
      <c r="AS458" t="s">
        <v>74</v>
      </c>
      <c r="AT458" t="s">
        <v>74</v>
      </c>
      <c r="AU458">
        <v>2016</v>
      </c>
      <c r="AV458">
        <v>9881</v>
      </c>
      <c r="AW458" t="s">
        <v>74</v>
      </c>
      <c r="AX458" t="s">
        <v>74</v>
      </c>
      <c r="AY458" t="s">
        <v>74</v>
      </c>
      <c r="AZ458" t="s">
        <v>74</v>
      </c>
      <c r="BA458" t="s">
        <v>74</v>
      </c>
      <c r="BB458" t="s">
        <v>74</v>
      </c>
      <c r="BC458" t="s">
        <v>74</v>
      </c>
      <c r="BD458" t="s">
        <v>8710</v>
      </c>
      <c r="BE458" t="s">
        <v>8711</v>
      </c>
      <c r="BF458" t="str">
        <f>HYPERLINK("http://dx.doi.org/10.1117/12.2222782","http://dx.doi.org/10.1117/12.2222782")</f>
        <v>http://dx.doi.org/10.1117/12.2222782</v>
      </c>
      <c r="BG458" t="s">
        <v>74</v>
      </c>
      <c r="BH458" t="s">
        <v>74</v>
      </c>
      <c r="BI458">
        <v>11</v>
      </c>
      <c r="BJ458" t="s">
        <v>2860</v>
      </c>
      <c r="BK458" t="s">
        <v>293</v>
      </c>
      <c r="BL458" t="s">
        <v>2861</v>
      </c>
      <c r="BM458" t="s">
        <v>2862</v>
      </c>
      <c r="BN458" t="s">
        <v>74</v>
      </c>
      <c r="BO458" t="s">
        <v>74</v>
      </c>
      <c r="BP458" t="s">
        <v>74</v>
      </c>
      <c r="BQ458" t="s">
        <v>74</v>
      </c>
      <c r="BR458" t="s">
        <v>100</v>
      </c>
      <c r="BS458" t="s">
        <v>8712</v>
      </c>
      <c r="BT458" t="str">
        <f>HYPERLINK("https%3A%2F%2Fwww.webofscience.com%2Fwos%2Fwoscc%2Ffull-record%2FWOS:000385792900039","View Full Record in Web of Science")</f>
        <v>View Full Record in Web of Science</v>
      </c>
    </row>
    <row r="459" spans="1:72" x14ac:dyDescent="0.15">
      <c r="A459" t="s">
        <v>72</v>
      </c>
      <c r="B459" t="s">
        <v>8713</v>
      </c>
      <c r="C459" t="s">
        <v>74</v>
      </c>
      <c r="D459" t="s">
        <v>74</v>
      </c>
      <c r="E459" t="s">
        <v>74</v>
      </c>
      <c r="F459" t="s">
        <v>8714</v>
      </c>
      <c r="G459" t="s">
        <v>74</v>
      </c>
      <c r="H459" t="s">
        <v>74</v>
      </c>
      <c r="I459" t="s">
        <v>8715</v>
      </c>
      <c r="J459" t="s">
        <v>4784</v>
      </c>
      <c r="K459" t="s">
        <v>74</v>
      </c>
      <c r="L459" t="s">
        <v>74</v>
      </c>
      <c r="M459" t="s">
        <v>200</v>
      </c>
      <c r="N459" t="s">
        <v>79</v>
      </c>
      <c r="O459" t="s">
        <v>74</v>
      </c>
      <c r="P459" t="s">
        <v>74</v>
      </c>
      <c r="Q459" t="s">
        <v>74</v>
      </c>
      <c r="R459" t="s">
        <v>74</v>
      </c>
      <c r="S459" t="s">
        <v>74</v>
      </c>
      <c r="T459" t="s">
        <v>74</v>
      </c>
      <c r="U459" t="s">
        <v>8716</v>
      </c>
      <c r="V459" t="s">
        <v>8717</v>
      </c>
      <c r="W459" t="s">
        <v>8718</v>
      </c>
      <c r="X459" t="s">
        <v>8719</v>
      </c>
      <c r="Y459" t="s">
        <v>8720</v>
      </c>
      <c r="Z459" t="s">
        <v>8721</v>
      </c>
      <c r="AA459" t="s">
        <v>8722</v>
      </c>
      <c r="AB459" t="s">
        <v>8723</v>
      </c>
      <c r="AC459" t="s">
        <v>8724</v>
      </c>
      <c r="AD459" t="s">
        <v>8725</v>
      </c>
      <c r="AE459" t="s">
        <v>8726</v>
      </c>
      <c r="AF459" t="s">
        <v>74</v>
      </c>
      <c r="AG459">
        <v>54</v>
      </c>
      <c r="AH459">
        <v>13</v>
      </c>
      <c r="AI459">
        <v>14</v>
      </c>
      <c r="AJ459">
        <v>0</v>
      </c>
      <c r="AK459">
        <v>17</v>
      </c>
      <c r="AL459" t="s">
        <v>358</v>
      </c>
      <c r="AM459" t="s">
        <v>359</v>
      </c>
      <c r="AN459" t="s">
        <v>3238</v>
      </c>
      <c r="AO459" t="s">
        <v>4793</v>
      </c>
      <c r="AP459" t="s">
        <v>4794</v>
      </c>
      <c r="AQ459" t="s">
        <v>74</v>
      </c>
      <c r="AR459" t="s">
        <v>4795</v>
      </c>
      <c r="AS459" t="s">
        <v>4796</v>
      </c>
      <c r="AT459" t="s">
        <v>74</v>
      </c>
      <c r="AU459">
        <v>2016</v>
      </c>
      <c r="AV459">
        <v>7</v>
      </c>
      <c r="AW459">
        <v>3</v>
      </c>
      <c r="AX459" t="s">
        <v>74</v>
      </c>
      <c r="AY459" t="s">
        <v>74</v>
      </c>
      <c r="AZ459" t="s">
        <v>74</v>
      </c>
      <c r="BA459" t="s">
        <v>74</v>
      </c>
      <c r="BB459">
        <v>549</v>
      </c>
      <c r="BC459">
        <v>558</v>
      </c>
      <c r="BD459" t="s">
        <v>74</v>
      </c>
      <c r="BE459" t="s">
        <v>8727</v>
      </c>
      <c r="BF459" t="str">
        <f>HYPERLINK("http://dx.doi.org/10.5194/esd-7-549-2016","http://dx.doi.org/10.5194/esd-7-549-2016")</f>
        <v>http://dx.doi.org/10.5194/esd-7-549-2016</v>
      </c>
      <c r="BG459" t="s">
        <v>74</v>
      </c>
      <c r="BH459" t="s">
        <v>74</v>
      </c>
      <c r="BI459">
        <v>10</v>
      </c>
      <c r="BJ459" t="s">
        <v>95</v>
      </c>
      <c r="BK459" t="s">
        <v>264</v>
      </c>
      <c r="BL459" t="s">
        <v>97</v>
      </c>
      <c r="BM459" t="s">
        <v>8728</v>
      </c>
      <c r="BN459" t="s">
        <v>74</v>
      </c>
      <c r="BO459" t="s">
        <v>2134</v>
      </c>
      <c r="BP459" t="s">
        <v>74</v>
      </c>
      <c r="BQ459" t="s">
        <v>74</v>
      </c>
      <c r="BR459" t="s">
        <v>100</v>
      </c>
      <c r="BS459" t="s">
        <v>8729</v>
      </c>
      <c r="BT459" t="str">
        <f>HYPERLINK("https%3A%2F%2Fwww.webofscience.com%2Fwos%2Fwoscc%2Ffull-record%2FWOS:000379426100002","View Full Record in Web of Science")</f>
        <v>View Full Record in Web of Science</v>
      </c>
    </row>
    <row r="460" spans="1:72" x14ac:dyDescent="0.15">
      <c r="A460" t="s">
        <v>72</v>
      </c>
      <c r="B460" t="s">
        <v>8730</v>
      </c>
      <c r="C460" t="s">
        <v>74</v>
      </c>
      <c r="D460" t="s">
        <v>74</v>
      </c>
      <c r="E460" t="s">
        <v>74</v>
      </c>
      <c r="F460" t="s">
        <v>8731</v>
      </c>
      <c r="G460" t="s">
        <v>74</v>
      </c>
      <c r="H460" t="s">
        <v>74</v>
      </c>
      <c r="I460" t="s">
        <v>8732</v>
      </c>
      <c r="J460" t="s">
        <v>4316</v>
      </c>
      <c r="K460" t="s">
        <v>74</v>
      </c>
      <c r="L460" t="s">
        <v>74</v>
      </c>
      <c r="M460" t="s">
        <v>200</v>
      </c>
      <c r="N460" t="s">
        <v>717</v>
      </c>
      <c r="O460" t="s">
        <v>74</v>
      </c>
      <c r="P460" t="s">
        <v>74</v>
      </c>
      <c r="Q460" t="s">
        <v>74</v>
      </c>
      <c r="R460" t="s">
        <v>74</v>
      </c>
      <c r="S460" t="s">
        <v>74</v>
      </c>
      <c r="T460" t="s">
        <v>74</v>
      </c>
      <c r="U460" t="s">
        <v>8733</v>
      </c>
      <c r="V460" t="s">
        <v>8734</v>
      </c>
      <c r="W460" t="s">
        <v>8735</v>
      </c>
      <c r="X460" t="s">
        <v>8736</v>
      </c>
      <c r="Y460" t="s">
        <v>8737</v>
      </c>
      <c r="Z460" t="s">
        <v>8738</v>
      </c>
      <c r="AA460" t="s">
        <v>8739</v>
      </c>
      <c r="AB460" t="s">
        <v>8740</v>
      </c>
      <c r="AC460" t="s">
        <v>8741</v>
      </c>
      <c r="AD460" t="s">
        <v>8742</v>
      </c>
      <c r="AE460" t="s">
        <v>8743</v>
      </c>
      <c r="AF460" t="s">
        <v>74</v>
      </c>
      <c r="AG460">
        <v>29</v>
      </c>
      <c r="AH460">
        <v>24</v>
      </c>
      <c r="AI460">
        <v>30</v>
      </c>
      <c r="AJ460">
        <v>2</v>
      </c>
      <c r="AK460">
        <v>21</v>
      </c>
      <c r="AL460" t="s">
        <v>358</v>
      </c>
      <c r="AM460" t="s">
        <v>359</v>
      </c>
      <c r="AN460" t="s">
        <v>3238</v>
      </c>
      <c r="AO460" t="s">
        <v>4323</v>
      </c>
      <c r="AP460" t="s">
        <v>4324</v>
      </c>
      <c r="AQ460" t="s">
        <v>74</v>
      </c>
      <c r="AR460" t="s">
        <v>4325</v>
      </c>
      <c r="AS460" t="s">
        <v>4326</v>
      </c>
      <c r="AT460" t="s">
        <v>74</v>
      </c>
      <c r="AU460">
        <v>2016</v>
      </c>
      <c r="AV460">
        <v>8</v>
      </c>
      <c r="AW460">
        <v>1</v>
      </c>
      <c r="AX460" t="s">
        <v>74</v>
      </c>
      <c r="AY460" t="s">
        <v>74</v>
      </c>
      <c r="AZ460" t="s">
        <v>74</v>
      </c>
      <c r="BA460" t="s">
        <v>74</v>
      </c>
      <c r="BB460">
        <v>115</v>
      </c>
      <c r="BC460">
        <v>126</v>
      </c>
      <c r="BD460" t="s">
        <v>74</v>
      </c>
      <c r="BE460" t="s">
        <v>8744</v>
      </c>
      <c r="BF460" t="str">
        <f>HYPERLINK("http://dx.doi.org/10.5194/essd-8-115-2016","http://dx.doi.org/10.5194/essd-8-115-2016")</f>
        <v>http://dx.doi.org/10.5194/essd-8-115-2016</v>
      </c>
      <c r="BG460" t="s">
        <v>74</v>
      </c>
      <c r="BH460" t="s">
        <v>74</v>
      </c>
      <c r="BI460">
        <v>12</v>
      </c>
      <c r="BJ460" t="s">
        <v>4328</v>
      </c>
      <c r="BK460" t="s">
        <v>264</v>
      </c>
      <c r="BL460" t="s">
        <v>4329</v>
      </c>
      <c r="BM460" t="s">
        <v>4330</v>
      </c>
      <c r="BN460" t="s">
        <v>74</v>
      </c>
      <c r="BO460" t="s">
        <v>369</v>
      </c>
      <c r="BP460" t="s">
        <v>74</v>
      </c>
      <c r="BQ460" t="s">
        <v>74</v>
      </c>
      <c r="BR460" t="s">
        <v>100</v>
      </c>
      <c r="BS460" t="s">
        <v>8745</v>
      </c>
      <c r="BT460" t="str">
        <f>HYPERLINK("https%3A%2F%2Fwww.webofscience.com%2Fwos%2Fwoscc%2Ffull-record%2FWOS:000378206900008","View Full Record in Web of Science")</f>
        <v>View Full Record in Web of Science</v>
      </c>
    </row>
    <row r="461" spans="1:72" x14ac:dyDescent="0.15">
      <c r="A461" t="s">
        <v>72</v>
      </c>
      <c r="B461" t="s">
        <v>8746</v>
      </c>
      <c r="C461" t="s">
        <v>74</v>
      </c>
      <c r="D461" t="s">
        <v>74</v>
      </c>
      <c r="E461" t="s">
        <v>74</v>
      </c>
      <c r="F461" t="s">
        <v>8747</v>
      </c>
      <c r="G461" t="s">
        <v>74</v>
      </c>
      <c r="H461" t="s">
        <v>74</v>
      </c>
      <c r="I461" t="s">
        <v>8748</v>
      </c>
      <c r="J461" t="s">
        <v>4316</v>
      </c>
      <c r="K461" t="s">
        <v>74</v>
      </c>
      <c r="L461" t="s">
        <v>74</v>
      </c>
      <c r="M461" t="s">
        <v>200</v>
      </c>
      <c r="N461" t="s">
        <v>79</v>
      </c>
      <c r="O461" t="s">
        <v>74</v>
      </c>
      <c r="P461" t="s">
        <v>74</v>
      </c>
      <c r="Q461" t="s">
        <v>74</v>
      </c>
      <c r="R461" t="s">
        <v>74</v>
      </c>
      <c r="S461" t="s">
        <v>74</v>
      </c>
      <c r="T461" t="s">
        <v>74</v>
      </c>
      <c r="U461" t="s">
        <v>8749</v>
      </c>
      <c r="V461" t="s">
        <v>8750</v>
      </c>
      <c r="W461" t="s">
        <v>8751</v>
      </c>
      <c r="X461" t="s">
        <v>468</v>
      </c>
      <c r="Y461" t="s">
        <v>8752</v>
      </c>
      <c r="Z461" t="s">
        <v>8753</v>
      </c>
      <c r="AA461" t="s">
        <v>8754</v>
      </c>
      <c r="AB461" t="s">
        <v>8755</v>
      </c>
      <c r="AC461" t="s">
        <v>8756</v>
      </c>
      <c r="AD461" t="s">
        <v>8757</v>
      </c>
      <c r="AE461" t="s">
        <v>8758</v>
      </c>
      <c r="AF461" t="s">
        <v>74</v>
      </c>
      <c r="AG461">
        <v>30</v>
      </c>
      <c r="AH461">
        <v>45</v>
      </c>
      <c r="AI461">
        <v>47</v>
      </c>
      <c r="AJ461">
        <v>0</v>
      </c>
      <c r="AK461">
        <v>18</v>
      </c>
      <c r="AL461" t="s">
        <v>358</v>
      </c>
      <c r="AM461" t="s">
        <v>359</v>
      </c>
      <c r="AN461" t="s">
        <v>3238</v>
      </c>
      <c r="AO461" t="s">
        <v>4323</v>
      </c>
      <c r="AP461" t="s">
        <v>4324</v>
      </c>
      <c r="AQ461" t="s">
        <v>74</v>
      </c>
      <c r="AR461" t="s">
        <v>4325</v>
      </c>
      <c r="AS461" t="s">
        <v>4326</v>
      </c>
      <c r="AT461" t="s">
        <v>74</v>
      </c>
      <c r="AU461">
        <v>2016</v>
      </c>
      <c r="AV461">
        <v>8</v>
      </c>
      <c r="AW461">
        <v>1</v>
      </c>
      <c r="AX461" t="s">
        <v>74</v>
      </c>
      <c r="AY461" t="s">
        <v>74</v>
      </c>
      <c r="AZ461" t="s">
        <v>74</v>
      </c>
      <c r="BA461" t="s">
        <v>74</v>
      </c>
      <c r="BB461">
        <v>151</v>
      </c>
      <c r="BC461">
        <v>158</v>
      </c>
      <c r="BD461" t="s">
        <v>74</v>
      </c>
      <c r="BE461" t="s">
        <v>8759</v>
      </c>
      <c r="BF461" t="str">
        <f>HYPERLINK("http://dx.doi.org/10.5194/essd-8-151-2016","http://dx.doi.org/10.5194/essd-8-151-2016")</f>
        <v>http://dx.doi.org/10.5194/essd-8-151-2016</v>
      </c>
      <c r="BG461" t="s">
        <v>74</v>
      </c>
      <c r="BH461" t="s">
        <v>74</v>
      </c>
      <c r="BI461">
        <v>8</v>
      </c>
      <c r="BJ461" t="s">
        <v>4328</v>
      </c>
      <c r="BK461" t="s">
        <v>264</v>
      </c>
      <c r="BL461" t="s">
        <v>4329</v>
      </c>
      <c r="BM461" t="s">
        <v>4330</v>
      </c>
      <c r="BN461" t="s">
        <v>74</v>
      </c>
      <c r="BO461" t="s">
        <v>3415</v>
      </c>
      <c r="BP461" t="s">
        <v>74</v>
      </c>
      <c r="BQ461" t="s">
        <v>74</v>
      </c>
      <c r="BR461" t="s">
        <v>100</v>
      </c>
      <c r="BS461" t="s">
        <v>8760</v>
      </c>
      <c r="BT461" t="str">
        <f>HYPERLINK("https%3A%2F%2Fwww.webofscience.com%2Fwos%2Fwoscc%2Ffull-record%2FWOS:000378206900011","View Full Record in Web of Science")</f>
        <v>View Full Record in Web of Science</v>
      </c>
    </row>
    <row r="462" spans="1:72" x14ac:dyDescent="0.15">
      <c r="A462" t="s">
        <v>72</v>
      </c>
      <c r="B462" t="s">
        <v>8761</v>
      </c>
      <c r="C462" t="s">
        <v>74</v>
      </c>
      <c r="D462" t="s">
        <v>74</v>
      </c>
      <c r="E462" t="s">
        <v>74</v>
      </c>
      <c r="F462" t="s">
        <v>8762</v>
      </c>
      <c r="G462" t="s">
        <v>74</v>
      </c>
      <c r="H462" t="s">
        <v>74</v>
      </c>
      <c r="I462" t="s">
        <v>8763</v>
      </c>
      <c r="J462" t="s">
        <v>8764</v>
      </c>
      <c r="K462" t="s">
        <v>74</v>
      </c>
      <c r="L462" t="s">
        <v>74</v>
      </c>
      <c r="M462" t="s">
        <v>200</v>
      </c>
      <c r="N462" t="s">
        <v>79</v>
      </c>
      <c r="O462" t="s">
        <v>74</v>
      </c>
      <c r="P462" t="s">
        <v>74</v>
      </c>
      <c r="Q462" t="s">
        <v>74</v>
      </c>
      <c r="R462" t="s">
        <v>74</v>
      </c>
      <c r="S462" t="s">
        <v>74</v>
      </c>
      <c r="T462" t="s">
        <v>8765</v>
      </c>
      <c r="U462" t="s">
        <v>8766</v>
      </c>
      <c r="V462" t="s">
        <v>8767</v>
      </c>
      <c r="W462" t="s">
        <v>8768</v>
      </c>
      <c r="X462" t="s">
        <v>8769</v>
      </c>
      <c r="Y462" t="s">
        <v>8770</v>
      </c>
      <c r="Z462" t="s">
        <v>8771</v>
      </c>
      <c r="AA462" t="s">
        <v>8772</v>
      </c>
      <c r="AB462" t="s">
        <v>8773</v>
      </c>
      <c r="AC462" t="s">
        <v>74</v>
      </c>
      <c r="AD462" t="s">
        <v>74</v>
      </c>
      <c r="AE462" t="s">
        <v>74</v>
      </c>
      <c r="AF462" t="s">
        <v>74</v>
      </c>
      <c r="AG462">
        <v>81</v>
      </c>
      <c r="AH462">
        <v>26</v>
      </c>
      <c r="AI462">
        <v>30</v>
      </c>
      <c r="AJ462">
        <v>3</v>
      </c>
      <c r="AK462">
        <v>50</v>
      </c>
      <c r="AL462" t="s">
        <v>5464</v>
      </c>
      <c r="AM462" t="s">
        <v>5465</v>
      </c>
      <c r="AN462" t="s">
        <v>5466</v>
      </c>
      <c r="AO462" t="s">
        <v>8774</v>
      </c>
      <c r="AP462" t="s">
        <v>8775</v>
      </c>
      <c r="AQ462" t="s">
        <v>74</v>
      </c>
      <c r="AR462" t="s">
        <v>8776</v>
      </c>
      <c r="AS462" t="s">
        <v>8777</v>
      </c>
      <c r="AT462" t="s">
        <v>315</v>
      </c>
      <c r="AU462">
        <v>2016</v>
      </c>
      <c r="AV462">
        <v>26</v>
      </c>
      <c r="AW462">
        <v>1</v>
      </c>
      <c r="AX462" t="s">
        <v>74</v>
      </c>
      <c r="AY462" t="s">
        <v>74</v>
      </c>
      <c r="AZ462" t="s">
        <v>74</v>
      </c>
      <c r="BA462" t="s">
        <v>74</v>
      </c>
      <c r="BB462">
        <v>233</v>
      </c>
      <c r="BC462">
        <v>248</v>
      </c>
      <c r="BD462" t="s">
        <v>74</v>
      </c>
      <c r="BE462" t="s">
        <v>8778</v>
      </c>
      <c r="BF462" t="str">
        <f>HYPERLINK("http://dx.doi.org/10.1890/14-1973","http://dx.doi.org/10.1890/14-1973")</f>
        <v>http://dx.doi.org/10.1890/14-1973</v>
      </c>
      <c r="BG462" t="s">
        <v>74</v>
      </c>
      <c r="BH462" t="s">
        <v>74</v>
      </c>
      <c r="BI462">
        <v>16</v>
      </c>
      <c r="BJ462" t="s">
        <v>7095</v>
      </c>
      <c r="BK462" t="s">
        <v>264</v>
      </c>
      <c r="BL462" t="s">
        <v>2887</v>
      </c>
      <c r="BM462" t="s">
        <v>8779</v>
      </c>
      <c r="BN462">
        <v>27039522</v>
      </c>
      <c r="BO462" t="s">
        <v>8780</v>
      </c>
      <c r="BP462" t="s">
        <v>74</v>
      </c>
      <c r="BQ462" t="s">
        <v>74</v>
      </c>
      <c r="BR462" t="s">
        <v>100</v>
      </c>
      <c r="BS462" t="s">
        <v>8781</v>
      </c>
      <c r="BT462" t="str">
        <f>HYPERLINK("https%3A%2F%2Fwww.webofscience.com%2Fwos%2Fwoscc%2Ffull-record%2FWOS:000369511000019","View Full Record in Web of Science")</f>
        <v>View Full Record in Web of Science</v>
      </c>
    </row>
    <row r="463" spans="1:72" x14ac:dyDescent="0.15">
      <c r="A463" t="s">
        <v>72</v>
      </c>
      <c r="B463" t="s">
        <v>8782</v>
      </c>
      <c r="C463" t="s">
        <v>74</v>
      </c>
      <c r="D463" t="s">
        <v>74</v>
      </c>
      <c r="E463" t="s">
        <v>74</v>
      </c>
      <c r="F463" t="s">
        <v>8783</v>
      </c>
      <c r="G463" t="s">
        <v>74</v>
      </c>
      <c r="H463" t="s">
        <v>74</v>
      </c>
      <c r="I463" t="s">
        <v>8784</v>
      </c>
      <c r="J463" t="s">
        <v>2867</v>
      </c>
      <c r="K463" t="s">
        <v>74</v>
      </c>
      <c r="L463" t="s">
        <v>74</v>
      </c>
      <c r="M463" t="s">
        <v>200</v>
      </c>
      <c r="N463" t="s">
        <v>79</v>
      </c>
      <c r="O463" t="s">
        <v>74</v>
      </c>
      <c r="P463" t="s">
        <v>74</v>
      </c>
      <c r="Q463" t="s">
        <v>74</v>
      </c>
      <c r="R463" t="s">
        <v>74</v>
      </c>
      <c r="S463" t="s">
        <v>74</v>
      </c>
      <c r="T463" t="s">
        <v>8785</v>
      </c>
      <c r="U463" t="s">
        <v>8786</v>
      </c>
      <c r="V463" t="s">
        <v>8787</v>
      </c>
      <c r="W463" t="s">
        <v>8788</v>
      </c>
      <c r="X463" t="s">
        <v>8789</v>
      </c>
      <c r="Y463" t="s">
        <v>8790</v>
      </c>
      <c r="Z463" t="s">
        <v>74</v>
      </c>
      <c r="AA463" t="s">
        <v>8791</v>
      </c>
      <c r="AB463" t="s">
        <v>8792</v>
      </c>
      <c r="AC463" t="s">
        <v>8793</v>
      </c>
      <c r="AD463" t="s">
        <v>8793</v>
      </c>
      <c r="AE463" t="s">
        <v>8794</v>
      </c>
      <c r="AF463" t="s">
        <v>74</v>
      </c>
      <c r="AG463">
        <v>135</v>
      </c>
      <c r="AH463">
        <v>111</v>
      </c>
      <c r="AI463">
        <v>134</v>
      </c>
      <c r="AJ463">
        <v>6</v>
      </c>
      <c r="AK463">
        <v>82</v>
      </c>
      <c r="AL463" t="s">
        <v>2879</v>
      </c>
      <c r="AM463" t="s">
        <v>2880</v>
      </c>
      <c r="AN463" t="s">
        <v>2881</v>
      </c>
      <c r="AO463" t="s">
        <v>2882</v>
      </c>
      <c r="AP463" t="s">
        <v>74</v>
      </c>
      <c r="AQ463" t="s">
        <v>74</v>
      </c>
      <c r="AR463" t="s">
        <v>2883</v>
      </c>
      <c r="AS463" t="s">
        <v>2884</v>
      </c>
      <c r="AT463" t="s">
        <v>74</v>
      </c>
      <c r="AU463">
        <v>2016</v>
      </c>
      <c r="AV463">
        <v>21</v>
      </c>
      <c r="AW463">
        <v>2</v>
      </c>
      <c r="AX463" t="s">
        <v>74</v>
      </c>
      <c r="AY463" t="s">
        <v>74</v>
      </c>
      <c r="AZ463" t="s">
        <v>74</v>
      </c>
      <c r="BA463" t="s">
        <v>74</v>
      </c>
      <c r="BB463" t="s">
        <v>74</v>
      </c>
      <c r="BC463" t="s">
        <v>74</v>
      </c>
      <c r="BD463">
        <v>27</v>
      </c>
      <c r="BE463" t="s">
        <v>8795</v>
      </c>
      <c r="BF463" t="str">
        <f>HYPERLINK("http://dx.doi.org/10.5751/ES-08450-210227","http://dx.doi.org/10.5751/ES-08450-210227")</f>
        <v>http://dx.doi.org/10.5751/ES-08450-210227</v>
      </c>
      <c r="BG463" t="s">
        <v>74</v>
      </c>
      <c r="BH463" t="s">
        <v>74</v>
      </c>
      <c r="BI463">
        <v>15</v>
      </c>
      <c r="BJ463" t="s">
        <v>2886</v>
      </c>
      <c r="BK463" t="s">
        <v>710</v>
      </c>
      <c r="BL463" t="s">
        <v>2887</v>
      </c>
      <c r="BM463" t="s">
        <v>8796</v>
      </c>
      <c r="BN463" t="s">
        <v>74</v>
      </c>
      <c r="BO463" t="s">
        <v>8797</v>
      </c>
      <c r="BP463" t="s">
        <v>74</v>
      </c>
      <c r="BQ463" t="s">
        <v>74</v>
      </c>
      <c r="BR463" t="s">
        <v>100</v>
      </c>
      <c r="BS463" t="s">
        <v>8798</v>
      </c>
      <c r="BT463" t="str">
        <f>HYPERLINK("https%3A%2F%2Fwww.webofscience.com%2Fwos%2Fwoscc%2Ffull-record%2FWOS:000380049100034","View Full Record in Web of Science")</f>
        <v>View Full Record in Web of Science</v>
      </c>
    </row>
    <row r="464" spans="1:72" x14ac:dyDescent="0.15">
      <c r="A464" t="s">
        <v>72</v>
      </c>
      <c r="B464" t="s">
        <v>8799</v>
      </c>
      <c r="C464" t="s">
        <v>74</v>
      </c>
      <c r="D464" t="s">
        <v>74</v>
      </c>
      <c r="E464" t="s">
        <v>74</v>
      </c>
      <c r="F464" t="s">
        <v>8800</v>
      </c>
      <c r="G464" t="s">
        <v>74</v>
      </c>
      <c r="H464" t="s">
        <v>74</v>
      </c>
      <c r="I464" t="s">
        <v>8801</v>
      </c>
      <c r="J464" t="s">
        <v>2867</v>
      </c>
      <c r="K464" t="s">
        <v>74</v>
      </c>
      <c r="L464" t="s">
        <v>74</v>
      </c>
      <c r="M464" t="s">
        <v>200</v>
      </c>
      <c r="N464" t="s">
        <v>79</v>
      </c>
      <c r="O464" t="s">
        <v>74</v>
      </c>
      <c r="P464" t="s">
        <v>74</v>
      </c>
      <c r="Q464" t="s">
        <v>74</v>
      </c>
      <c r="R464" t="s">
        <v>74</v>
      </c>
      <c r="S464" t="s">
        <v>74</v>
      </c>
      <c r="T464" t="s">
        <v>8802</v>
      </c>
      <c r="U464" t="s">
        <v>8803</v>
      </c>
      <c r="V464" t="s">
        <v>8804</v>
      </c>
      <c r="W464" t="s">
        <v>8805</v>
      </c>
      <c r="X464" t="s">
        <v>8806</v>
      </c>
      <c r="Y464" t="s">
        <v>8807</v>
      </c>
      <c r="Z464" t="s">
        <v>74</v>
      </c>
      <c r="AA464" t="s">
        <v>8808</v>
      </c>
      <c r="AB464" t="s">
        <v>8809</v>
      </c>
      <c r="AC464" t="s">
        <v>74</v>
      </c>
      <c r="AD464" t="s">
        <v>74</v>
      </c>
      <c r="AE464" t="s">
        <v>74</v>
      </c>
      <c r="AF464" t="s">
        <v>74</v>
      </c>
      <c r="AG464">
        <v>41</v>
      </c>
      <c r="AH464">
        <v>15</v>
      </c>
      <c r="AI464">
        <v>15</v>
      </c>
      <c r="AJ464">
        <v>1</v>
      </c>
      <c r="AK464">
        <v>7</v>
      </c>
      <c r="AL464" t="s">
        <v>2879</v>
      </c>
      <c r="AM464" t="s">
        <v>2880</v>
      </c>
      <c r="AN464" t="s">
        <v>2881</v>
      </c>
      <c r="AO464" t="s">
        <v>2882</v>
      </c>
      <c r="AP464" t="s">
        <v>74</v>
      </c>
      <c r="AQ464" t="s">
        <v>74</v>
      </c>
      <c r="AR464" t="s">
        <v>2883</v>
      </c>
      <c r="AS464" t="s">
        <v>2884</v>
      </c>
      <c r="AT464" t="s">
        <v>74</v>
      </c>
      <c r="AU464">
        <v>2016</v>
      </c>
      <c r="AV464">
        <v>21</v>
      </c>
      <c r="AW464">
        <v>2</v>
      </c>
      <c r="AX464" t="s">
        <v>74</v>
      </c>
      <c r="AY464" t="s">
        <v>74</v>
      </c>
      <c r="AZ464" t="s">
        <v>74</v>
      </c>
      <c r="BA464" t="s">
        <v>74</v>
      </c>
      <c r="BB464" t="s">
        <v>74</v>
      </c>
      <c r="BC464" t="s">
        <v>74</v>
      </c>
      <c r="BD464">
        <v>25</v>
      </c>
      <c r="BE464" t="s">
        <v>8810</v>
      </c>
      <c r="BF464" t="str">
        <f>HYPERLINK("http://dx.doi.org/10.5751/ES-08460-210225","http://dx.doi.org/10.5751/ES-08460-210225")</f>
        <v>http://dx.doi.org/10.5751/ES-08460-210225</v>
      </c>
      <c r="BG464" t="s">
        <v>74</v>
      </c>
      <c r="BH464" t="s">
        <v>74</v>
      </c>
      <c r="BI464">
        <v>10</v>
      </c>
      <c r="BJ464" t="s">
        <v>2886</v>
      </c>
      <c r="BK464" t="s">
        <v>710</v>
      </c>
      <c r="BL464" t="s">
        <v>2887</v>
      </c>
      <c r="BM464" t="s">
        <v>8796</v>
      </c>
      <c r="BN464" t="s">
        <v>74</v>
      </c>
      <c r="BO464" t="s">
        <v>3978</v>
      </c>
      <c r="BP464" t="s">
        <v>74</v>
      </c>
      <c r="BQ464" t="s">
        <v>74</v>
      </c>
      <c r="BR464" t="s">
        <v>100</v>
      </c>
      <c r="BS464" t="s">
        <v>8811</v>
      </c>
      <c r="BT464" t="str">
        <f>HYPERLINK("https%3A%2F%2Fwww.webofscience.com%2Fwos%2Fwoscc%2Ffull-record%2FWOS:000380049100035","View Full Record in Web of Science")</f>
        <v>View Full Record in Web of Science</v>
      </c>
    </row>
    <row r="465" spans="1:72" x14ac:dyDescent="0.15">
      <c r="A465" t="s">
        <v>72</v>
      </c>
      <c r="B465" t="s">
        <v>8812</v>
      </c>
      <c r="C465" t="s">
        <v>74</v>
      </c>
      <c r="D465" t="s">
        <v>74</v>
      </c>
      <c r="E465" t="s">
        <v>74</v>
      </c>
      <c r="F465" t="s">
        <v>8813</v>
      </c>
      <c r="G465" t="s">
        <v>74</v>
      </c>
      <c r="H465" t="s">
        <v>74</v>
      </c>
      <c r="I465" t="s">
        <v>8814</v>
      </c>
      <c r="J465" t="s">
        <v>8815</v>
      </c>
      <c r="K465" t="s">
        <v>74</v>
      </c>
      <c r="L465" t="s">
        <v>74</v>
      </c>
      <c r="M465" t="s">
        <v>200</v>
      </c>
      <c r="N465" t="s">
        <v>1639</v>
      </c>
      <c r="O465" t="s">
        <v>8816</v>
      </c>
      <c r="P465" t="s">
        <v>8817</v>
      </c>
      <c r="Q465" t="s">
        <v>8818</v>
      </c>
      <c r="R465" t="s">
        <v>74</v>
      </c>
      <c r="S465" t="s">
        <v>74</v>
      </c>
      <c r="T465" t="s">
        <v>8819</v>
      </c>
      <c r="U465" t="s">
        <v>8820</v>
      </c>
      <c r="V465" t="s">
        <v>8821</v>
      </c>
      <c r="W465" t="s">
        <v>8822</v>
      </c>
      <c r="X465" t="s">
        <v>8823</v>
      </c>
      <c r="Y465" t="s">
        <v>8824</v>
      </c>
      <c r="Z465" t="s">
        <v>8825</v>
      </c>
      <c r="AA465" t="s">
        <v>8826</v>
      </c>
      <c r="AB465" t="s">
        <v>8827</v>
      </c>
      <c r="AC465" t="s">
        <v>8828</v>
      </c>
      <c r="AD465" t="s">
        <v>8829</v>
      </c>
      <c r="AE465" t="s">
        <v>8830</v>
      </c>
      <c r="AF465" t="s">
        <v>74</v>
      </c>
      <c r="AG465">
        <v>67</v>
      </c>
      <c r="AH465">
        <v>244</v>
      </c>
      <c r="AI465">
        <v>262</v>
      </c>
      <c r="AJ465">
        <v>13</v>
      </c>
      <c r="AK465">
        <v>451</v>
      </c>
      <c r="AL465" t="s">
        <v>8831</v>
      </c>
      <c r="AM465" t="s">
        <v>8832</v>
      </c>
      <c r="AN465" t="s">
        <v>8833</v>
      </c>
      <c r="AO465" t="s">
        <v>8834</v>
      </c>
      <c r="AP465" t="s">
        <v>8835</v>
      </c>
      <c r="AQ465" t="s">
        <v>74</v>
      </c>
      <c r="AR465" t="s">
        <v>8836</v>
      </c>
      <c r="AS465" t="s">
        <v>8837</v>
      </c>
      <c r="AT465" t="s">
        <v>315</v>
      </c>
      <c r="AU465">
        <v>2016</v>
      </c>
      <c r="AV465">
        <v>123</v>
      </c>
      <c r="AW465" t="s">
        <v>74</v>
      </c>
      <c r="AX465" t="s">
        <v>74</v>
      </c>
      <c r="AY465" t="s">
        <v>74</v>
      </c>
      <c r="AZ465" t="s">
        <v>2540</v>
      </c>
      <c r="BA465" t="s">
        <v>74</v>
      </c>
      <c r="BB465">
        <v>18</v>
      </c>
      <c r="BC465">
        <v>25</v>
      </c>
      <c r="BD465" t="s">
        <v>74</v>
      </c>
      <c r="BE465" t="s">
        <v>8838</v>
      </c>
      <c r="BF465" t="str">
        <f>HYPERLINK("http://dx.doi.org/10.1016/j.ecoenv.2015.09.021","http://dx.doi.org/10.1016/j.ecoenv.2015.09.021")</f>
        <v>http://dx.doi.org/10.1016/j.ecoenv.2015.09.021</v>
      </c>
      <c r="BG465" t="s">
        <v>74</v>
      </c>
      <c r="BH465" t="s">
        <v>74</v>
      </c>
      <c r="BI465">
        <v>8</v>
      </c>
      <c r="BJ465" t="s">
        <v>8839</v>
      </c>
      <c r="BK465" t="s">
        <v>1661</v>
      </c>
      <c r="BL465" t="s">
        <v>8840</v>
      </c>
      <c r="BM465" t="s">
        <v>8841</v>
      </c>
      <c r="BN465">
        <v>26422775</v>
      </c>
      <c r="BO465" t="s">
        <v>8842</v>
      </c>
      <c r="BP465" t="s">
        <v>74</v>
      </c>
      <c r="BQ465" t="s">
        <v>74</v>
      </c>
      <c r="BR465" t="s">
        <v>100</v>
      </c>
      <c r="BS465" t="s">
        <v>8843</v>
      </c>
      <c r="BT465" t="str">
        <f>HYPERLINK("https%3A%2F%2Fwww.webofscience.com%2Fwos%2Fwoscc%2Ffull-record%2FWOS:000365557500004","View Full Record in Web of Science")</f>
        <v>View Full Record in Web of Science</v>
      </c>
    </row>
    <row r="466" spans="1:72" x14ac:dyDescent="0.15">
      <c r="A466" t="s">
        <v>193</v>
      </c>
      <c r="B466" t="s">
        <v>8844</v>
      </c>
      <c r="C466" t="s">
        <v>74</v>
      </c>
      <c r="D466" t="s">
        <v>8845</v>
      </c>
      <c r="E466" t="s">
        <v>74</v>
      </c>
      <c r="F466" t="s">
        <v>8846</v>
      </c>
      <c r="G466" t="s">
        <v>74</v>
      </c>
      <c r="H466" t="s">
        <v>74</v>
      </c>
      <c r="I466" t="s">
        <v>8847</v>
      </c>
      <c r="J466" t="s">
        <v>8848</v>
      </c>
      <c r="K466" t="s">
        <v>8849</v>
      </c>
      <c r="L466" t="s">
        <v>74</v>
      </c>
      <c r="M466" t="s">
        <v>200</v>
      </c>
      <c r="N466" t="s">
        <v>1639</v>
      </c>
      <c r="O466" t="s">
        <v>8850</v>
      </c>
      <c r="P466" t="s">
        <v>8851</v>
      </c>
      <c r="Q466" t="s">
        <v>8852</v>
      </c>
      <c r="R466" t="s">
        <v>74</v>
      </c>
      <c r="S466" t="s">
        <v>74</v>
      </c>
      <c r="T466" t="s">
        <v>8853</v>
      </c>
      <c r="U466" t="s">
        <v>8854</v>
      </c>
      <c r="V466" t="s">
        <v>8855</v>
      </c>
      <c r="W466" t="s">
        <v>8856</v>
      </c>
      <c r="X466" t="s">
        <v>8857</v>
      </c>
      <c r="Y466" t="s">
        <v>8858</v>
      </c>
      <c r="Z466" t="s">
        <v>8859</v>
      </c>
      <c r="AA466" t="s">
        <v>8860</v>
      </c>
      <c r="AB466" t="s">
        <v>8861</v>
      </c>
      <c r="AC466" t="s">
        <v>8862</v>
      </c>
      <c r="AD466" t="s">
        <v>8863</v>
      </c>
      <c r="AE466" t="s">
        <v>8864</v>
      </c>
      <c r="AF466" t="s">
        <v>74</v>
      </c>
      <c r="AG466">
        <v>24</v>
      </c>
      <c r="AH466">
        <v>0</v>
      </c>
      <c r="AI466">
        <v>1</v>
      </c>
      <c r="AJ466">
        <v>0</v>
      </c>
      <c r="AK466">
        <v>19</v>
      </c>
      <c r="AL466" t="s">
        <v>2353</v>
      </c>
      <c r="AM466" t="s">
        <v>2354</v>
      </c>
      <c r="AN466" t="s">
        <v>2355</v>
      </c>
      <c r="AO466" t="s">
        <v>8865</v>
      </c>
      <c r="AP466" t="s">
        <v>74</v>
      </c>
      <c r="AQ466" t="s">
        <v>8866</v>
      </c>
      <c r="AR466" t="s">
        <v>8867</v>
      </c>
      <c r="AS466" t="s">
        <v>8868</v>
      </c>
      <c r="AT466" t="s">
        <v>74</v>
      </c>
      <c r="AU466">
        <v>2016</v>
      </c>
      <c r="AV466">
        <v>875</v>
      </c>
      <c r="AW466" t="s">
        <v>74</v>
      </c>
      <c r="AX466" t="s">
        <v>74</v>
      </c>
      <c r="AY466" t="s">
        <v>74</v>
      </c>
      <c r="AZ466" t="s">
        <v>74</v>
      </c>
      <c r="BA466" t="s">
        <v>74</v>
      </c>
      <c r="BB466">
        <v>1243</v>
      </c>
      <c r="BC466">
        <v>1249</v>
      </c>
      <c r="BD466" t="s">
        <v>74</v>
      </c>
      <c r="BE466" t="s">
        <v>8869</v>
      </c>
      <c r="BF466" t="str">
        <f>HYPERLINK("http://dx.doi.org/10.1007/978-1-4939-2981-8_156","http://dx.doi.org/10.1007/978-1-4939-2981-8_156")</f>
        <v>http://dx.doi.org/10.1007/978-1-4939-2981-8_156</v>
      </c>
      <c r="BG466" t="s">
        <v>74</v>
      </c>
      <c r="BH466" t="s">
        <v>74</v>
      </c>
      <c r="BI466">
        <v>7</v>
      </c>
      <c r="BJ466" t="s">
        <v>8870</v>
      </c>
      <c r="BK466" t="s">
        <v>8871</v>
      </c>
      <c r="BL466" t="s">
        <v>7314</v>
      </c>
      <c r="BM466" t="s">
        <v>8872</v>
      </c>
      <c r="BN466">
        <v>26611093</v>
      </c>
      <c r="BO466" t="s">
        <v>74</v>
      </c>
      <c r="BP466" t="s">
        <v>74</v>
      </c>
      <c r="BQ466" t="s">
        <v>74</v>
      </c>
      <c r="BR466" t="s">
        <v>100</v>
      </c>
      <c r="BS466" t="s">
        <v>8873</v>
      </c>
      <c r="BT466" t="str">
        <f>HYPERLINK("https%3A%2F%2Fwww.webofscience.com%2Fwos%2Fwoscc%2Ffull-record%2FWOS:000370000900157","View Full Record in Web of Science")</f>
        <v>View Full Record in Web of Science</v>
      </c>
    </row>
    <row r="467" spans="1:72" x14ac:dyDescent="0.15">
      <c r="A467" t="s">
        <v>72</v>
      </c>
      <c r="B467" t="s">
        <v>8874</v>
      </c>
      <c r="C467" t="s">
        <v>74</v>
      </c>
      <c r="D467" t="s">
        <v>74</v>
      </c>
      <c r="E467" t="s">
        <v>74</v>
      </c>
      <c r="F467" t="s">
        <v>8875</v>
      </c>
      <c r="G467" t="s">
        <v>74</v>
      </c>
      <c r="H467" t="s">
        <v>74</v>
      </c>
      <c r="I467" t="s">
        <v>8876</v>
      </c>
      <c r="J467" t="s">
        <v>1214</v>
      </c>
      <c r="K467" t="s">
        <v>74</v>
      </c>
      <c r="L467" t="s">
        <v>74</v>
      </c>
      <c r="M467" t="s">
        <v>200</v>
      </c>
      <c r="N467" t="s">
        <v>79</v>
      </c>
      <c r="O467" t="s">
        <v>74</v>
      </c>
      <c r="P467" t="s">
        <v>74</v>
      </c>
      <c r="Q467" t="s">
        <v>74</v>
      </c>
      <c r="R467" t="s">
        <v>74</v>
      </c>
      <c r="S467" t="s">
        <v>74</v>
      </c>
      <c r="T467" t="s">
        <v>74</v>
      </c>
      <c r="U467" t="s">
        <v>8877</v>
      </c>
      <c r="V467" t="s">
        <v>8878</v>
      </c>
      <c r="W467" t="s">
        <v>8879</v>
      </c>
      <c r="X467" t="s">
        <v>8880</v>
      </c>
      <c r="Y467" t="s">
        <v>8881</v>
      </c>
      <c r="Z467" t="s">
        <v>8882</v>
      </c>
      <c r="AA467" t="s">
        <v>8883</v>
      </c>
      <c r="AB467" t="s">
        <v>8884</v>
      </c>
      <c r="AC467" t="s">
        <v>8885</v>
      </c>
      <c r="AD467" t="s">
        <v>8885</v>
      </c>
      <c r="AE467" t="s">
        <v>8886</v>
      </c>
      <c r="AF467" t="s">
        <v>74</v>
      </c>
      <c r="AG467">
        <v>91</v>
      </c>
      <c r="AH467">
        <v>70</v>
      </c>
      <c r="AI467">
        <v>85</v>
      </c>
      <c r="AJ467">
        <v>3</v>
      </c>
      <c r="AK467">
        <v>76</v>
      </c>
      <c r="AL467" t="s">
        <v>1250</v>
      </c>
      <c r="AM467" t="s">
        <v>1225</v>
      </c>
      <c r="AN467" t="s">
        <v>1226</v>
      </c>
      <c r="AO467" t="s">
        <v>1227</v>
      </c>
      <c r="AP467" t="s">
        <v>1228</v>
      </c>
      <c r="AQ467" t="s">
        <v>74</v>
      </c>
      <c r="AR467" t="s">
        <v>1229</v>
      </c>
      <c r="AS467" t="s">
        <v>1230</v>
      </c>
      <c r="AT467" t="s">
        <v>74</v>
      </c>
      <c r="AU467">
        <v>2016</v>
      </c>
      <c r="AV467">
        <v>116</v>
      </c>
      <c r="AW467">
        <v>2</v>
      </c>
      <c r="AX467" t="s">
        <v>74</v>
      </c>
      <c r="AY467" t="s">
        <v>74</v>
      </c>
      <c r="AZ467" t="s">
        <v>2540</v>
      </c>
      <c r="BA467" t="s">
        <v>74</v>
      </c>
      <c r="BB467">
        <v>119</v>
      </c>
      <c r="BC467">
        <v>135</v>
      </c>
      <c r="BD467" t="s">
        <v>74</v>
      </c>
      <c r="BE467" t="s">
        <v>8887</v>
      </c>
      <c r="BF467" t="str">
        <f>HYPERLINK("http://dx.doi.org/10.1071/MU15056","http://dx.doi.org/10.1071/MU15056")</f>
        <v>http://dx.doi.org/10.1071/MU15056</v>
      </c>
      <c r="BG467" t="s">
        <v>74</v>
      </c>
      <c r="BH467" t="s">
        <v>74</v>
      </c>
      <c r="BI467">
        <v>17</v>
      </c>
      <c r="BJ467" t="s">
        <v>1232</v>
      </c>
      <c r="BK467" t="s">
        <v>264</v>
      </c>
      <c r="BL467" t="s">
        <v>672</v>
      </c>
      <c r="BM467" t="s">
        <v>8888</v>
      </c>
      <c r="BN467" t="s">
        <v>74</v>
      </c>
      <c r="BO467" t="s">
        <v>8889</v>
      </c>
      <c r="BP467" t="s">
        <v>74</v>
      </c>
      <c r="BQ467" t="s">
        <v>74</v>
      </c>
      <c r="BR467" t="s">
        <v>100</v>
      </c>
      <c r="BS467" t="s">
        <v>8890</v>
      </c>
      <c r="BT467" t="str">
        <f>HYPERLINK("https%3A%2F%2Fwww.webofscience.com%2Fwos%2Fwoscc%2Ffull-record%2FWOS:000375784700004","View Full Record in Web of Science")</f>
        <v>View Full Record in Web of Science</v>
      </c>
    </row>
    <row r="468" spans="1:72" x14ac:dyDescent="0.15">
      <c r="A468" t="s">
        <v>72</v>
      </c>
      <c r="B468" t="s">
        <v>8891</v>
      </c>
      <c r="C468" t="s">
        <v>74</v>
      </c>
      <c r="D468" t="s">
        <v>74</v>
      </c>
      <c r="E468" t="s">
        <v>74</v>
      </c>
      <c r="F468" t="s">
        <v>8892</v>
      </c>
      <c r="G468" t="s">
        <v>74</v>
      </c>
      <c r="H468" t="s">
        <v>74</v>
      </c>
      <c r="I468" t="s">
        <v>8893</v>
      </c>
      <c r="J468" t="s">
        <v>8894</v>
      </c>
      <c r="K468" t="s">
        <v>74</v>
      </c>
      <c r="L468" t="s">
        <v>74</v>
      </c>
      <c r="M468" t="s">
        <v>200</v>
      </c>
      <c r="N468" t="s">
        <v>1639</v>
      </c>
      <c r="O468" t="s">
        <v>8895</v>
      </c>
      <c r="P468" t="s">
        <v>8896</v>
      </c>
      <c r="Q468" t="s">
        <v>8897</v>
      </c>
      <c r="R468" t="s">
        <v>74</v>
      </c>
      <c r="S468" t="s">
        <v>8898</v>
      </c>
      <c r="T468" t="s">
        <v>8899</v>
      </c>
      <c r="U468" t="s">
        <v>8900</v>
      </c>
      <c r="V468" t="s">
        <v>8901</v>
      </c>
      <c r="W468" t="s">
        <v>8902</v>
      </c>
      <c r="X468" t="s">
        <v>8903</v>
      </c>
      <c r="Y468" t="s">
        <v>8904</v>
      </c>
      <c r="Z468" t="s">
        <v>8905</v>
      </c>
      <c r="AA468" t="s">
        <v>8906</v>
      </c>
      <c r="AB468" t="s">
        <v>8907</v>
      </c>
      <c r="AC468" t="s">
        <v>74</v>
      </c>
      <c r="AD468" t="s">
        <v>74</v>
      </c>
      <c r="AE468" t="s">
        <v>74</v>
      </c>
      <c r="AF468" t="s">
        <v>74</v>
      </c>
      <c r="AG468">
        <v>78</v>
      </c>
      <c r="AH468">
        <v>22</v>
      </c>
      <c r="AI468">
        <v>23</v>
      </c>
      <c r="AJ468">
        <v>2</v>
      </c>
      <c r="AK468">
        <v>39</v>
      </c>
      <c r="AL468" t="s">
        <v>380</v>
      </c>
      <c r="AM468" t="s">
        <v>381</v>
      </c>
      <c r="AN468" t="s">
        <v>382</v>
      </c>
      <c r="AO468" t="s">
        <v>8908</v>
      </c>
      <c r="AP468" t="s">
        <v>8909</v>
      </c>
      <c r="AQ468" t="s">
        <v>74</v>
      </c>
      <c r="AR468" t="s">
        <v>8910</v>
      </c>
      <c r="AS468" t="s">
        <v>8911</v>
      </c>
      <c r="AT468" t="s">
        <v>74</v>
      </c>
      <c r="AU468">
        <v>2016</v>
      </c>
      <c r="AV468">
        <v>13</v>
      </c>
      <c r="AW468">
        <v>2</v>
      </c>
      <c r="AX468" t="s">
        <v>74</v>
      </c>
      <c r="AY468" t="s">
        <v>74</v>
      </c>
      <c r="AZ468" t="s">
        <v>74</v>
      </c>
      <c r="BA468" t="s">
        <v>74</v>
      </c>
      <c r="BB468">
        <v>195</v>
      </c>
      <c r="BC468">
        <v>211</v>
      </c>
      <c r="BD468" t="s">
        <v>74</v>
      </c>
      <c r="BE468" t="s">
        <v>8912</v>
      </c>
      <c r="BF468" t="str">
        <f>HYPERLINK("http://dx.doi.org/10.1071/EN14275","http://dx.doi.org/10.1071/EN14275")</f>
        <v>http://dx.doi.org/10.1071/EN14275</v>
      </c>
      <c r="BG468" t="s">
        <v>74</v>
      </c>
      <c r="BH468" t="s">
        <v>74</v>
      </c>
      <c r="BI468">
        <v>17</v>
      </c>
      <c r="BJ468" t="s">
        <v>4838</v>
      </c>
      <c r="BK468" t="s">
        <v>1661</v>
      </c>
      <c r="BL468" t="s">
        <v>4839</v>
      </c>
      <c r="BM468" t="s">
        <v>8913</v>
      </c>
      <c r="BN468" t="s">
        <v>74</v>
      </c>
      <c r="BO468" t="s">
        <v>74</v>
      </c>
      <c r="BP468" t="s">
        <v>74</v>
      </c>
      <c r="BQ468" t="s">
        <v>74</v>
      </c>
      <c r="BR468" t="s">
        <v>100</v>
      </c>
      <c r="BS468" t="s">
        <v>8914</v>
      </c>
      <c r="BT468" t="str">
        <f>HYPERLINK("https%3A%2F%2Fwww.webofscience.com%2Fwos%2Fwoscc%2Ffull-record%2FWOS:000373067500003","View Full Record in Web of Science")</f>
        <v>View Full Record in Web of Science</v>
      </c>
    </row>
    <row r="469" spans="1:72" x14ac:dyDescent="0.15">
      <c r="A469" t="s">
        <v>72</v>
      </c>
      <c r="B469" t="s">
        <v>8915</v>
      </c>
      <c r="C469" t="s">
        <v>74</v>
      </c>
      <c r="D469" t="s">
        <v>74</v>
      </c>
      <c r="E469" t="s">
        <v>74</v>
      </c>
      <c r="F469" t="s">
        <v>8916</v>
      </c>
      <c r="G469" t="s">
        <v>74</v>
      </c>
      <c r="H469" t="s">
        <v>74</v>
      </c>
      <c r="I469" t="s">
        <v>8917</v>
      </c>
      <c r="J469" t="s">
        <v>8894</v>
      </c>
      <c r="K469" t="s">
        <v>74</v>
      </c>
      <c r="L469" t="s">
        <v>74</v>
      </c>
      <c r="M469" t="s">
        <v>200</v>
      </c>
      <c r="N469" t="s">
        <v>79</v>
      </c>
      <c r="O469" t="s">
        <v>74</v>
      </c>
      <c r="P469" t="s">
        <v>74</v>
      </c>
      <c r="Q469" t="s">
        <v>74</v>
      </c>
      <c r="R469" t="s">
        <v>74</v>
      </c>
      <c r="S469" t="s">
        <v>74</v>
      </c>
      <c r="T469" t="s">
        <v>8918</v>
      </c>
      <c r="U469" t="s">
        <v>8919</v>
      </c>
      <c r="V469" t="s">
        <v>8920</v>
      </c>
      <c r="W469" t="s">
        <v>8921</v>
      </c>
      <c r="X469" t="s">
        <v>8922</v>
      </c>
      <c r="Y469" t="s">
        <v>8923</v>
      </c>
      <c r="Z469" t="s">
        <v>8924</v>
      </c>
      <c r="AA469" t="s">
        <v>8925</v>
      </c>
      <c r="AB469" t="s">
        <v>8926</v>
      </c>
      <c r="AC469" t="s">
        <v>8927</v>
      </c>
      <c r="AD469" t="s">
        <v>8928</v>
      </c>
      <c r="AE469" t="s">
        <v>8929</v>
      </c>
      <c r="AF469" t="s">
        <v>74</v>
      </c>
      <c r="AG469">
        <v>56</v>
      </c>
      <c r="AH469">
        <v>18</v>
      </c>
      <c r="AI469">
        <v>19</v>
      </c>
      <c r="AJ469">
        <v>5</v>
      </c>
      <c r="AK469">
        <v>65</v>
      </c>
      <c r="AL469" t="s">
        <v>380</v>
      </c>
      <c r="AM469" t="s">
        <v>381</v>
      </c>
      <c r="AN469" t="s">
        <v>382</v>
      </c>
      <c r="AO469" t="s">
        <v>8908</v>
      </c>
      <c r="AP469" t="s">
        <v>8909</v>
      </c>
      <c r="AQ469" t="s">
        <v>74</v>
      </c>
      <c r="AR469" t="s">
        <v>8910</v>
      </c>
      <c r="AS469" t="s">
        <v>8911</v>
      </c>
      <c r="AT469" t="s">
        <v>74</v>
      </c>
      <c r="AU469">
        <v>2016</v>
      </c>
      <c r="AV469">
        <v>13</v>
      </c>
      <c r="AW469">
        <v>5</v>
      </c>
      <c r="AX469" t="s">
        <v>74</v>
      </c>
      <c r="AY469" t="s">
        <v>74</v>
      </c>
      <c r="AZ469" t="s">
        <v>74</v>
      </c>
      <c r="BA469" t="s">
        <v>74</v>
      </c>
      <c r="BB469">
        <v>867</v>
      </c>
      <c r="BC469">
        <v>876</v>
      </c>
      <c r="BD469" t="s">
        <v>74</v>
      </c>
      <c r="BE469" t="s">
        <v>8930</v>
      </c>
      <c r="BF469" t="str">
        <f>HYPERLINK("http://dx.doi.org/10.1071/EN16056","http://dx.doi.org/10.1071/EN16056")</f>
        <v>http://dx.doi.org/10.1071/EN16056</v>
      </c>
      <c r="BG469" t="s">
        <v>74</v>
      </c>
      <c r="BH469" t="s">
        <v>74</v>
      </c>
      <c r="BI469">
        <v>10</v>
      </c>
      <c r="BJ469" t="s">
        <v>4838</v>
      </c>
      <c r="BK469" t="s">
        <v>264</v>
      </c>
      <c r="BL469" t="s">
        <v>4839</v>
      </c>
      <c r="BM469" t="s">
        <v>8931</v>
      </c>
      <c r="BN469" t="s">
        <v>74</v>
      </c>
      <c r="BO469" t="s">
        <v>403</v>
      </c>
      <c r="BP469" t="s">
        <v>74</v>
      </c>
      <c r="BQ469" t="s">
        <v>74</v>
      </c>
      <c r="BR469" t="s">
        <v>100</v>
      </c>
      <c r="BS469" t="s">
        <v>8932</v>
      </c>
      <c r="BT469" t="str">
        <f>HYPERLINK("https%3A%2F%2Fwww.webofscience.com%2Fwos%2Fwoscc%2Ffull-record%2FWOS:000384432600010","View Full Record in Web of Science")</f>
        <v>View Full Record in Web of Science</v>
      </c>
    </row>
    <row r="470" spans="1:72" x14ac:dyDescent="0.15">
      <c r="A470" t="s">
        <v>72</v>
      </c>
      <c r="B470" t="s">
        <v>8933</v>
      </c>
      <c r="C470" t="s">
        <v>74</v>
      </c>
      <c r="D470" t="s">
        <v>74</v>
      </c>
      <c r="E470" t="s">
        <v>74</v>
      </c>
      <c r="F470" t="s">
        <v>8934</v>
      </c>
      <c r="G470" t="s">
        <v>74</v>
      </c>
      <c r="H470" t="s">
        <v>74</v>
      </c>
      <c r="I470" t="s">
        <v>8935</v>
      </c>
      <c r="J470" t="s">
        <v>8936</v>
      </c>
      <c r="K470" t="s">
        <v>74</v>
      </c>
      <c r="L470" t="s">
        <v>74</v>
      </c>
      <c r="M470" t="s">
        <v>200</v>
      </c>
      <c r="N470" t="s">
        <v>79</v>
      </c>
      <c r="O470" t="s">
        <v>74</v>
      </c>
      <c r="P470" t="s">
        <v>74</v>
      </c>
      <c r="Q470" t="s">
        <v>74</v>
      </c>
      <c r="R470" t="s">
        <v>74</v>
      </c>
      <c r="S470" t="s">
        <v>74</v>
      </c>
      <c r="T470" t="s">
        <v>74</v>
      </c>
      <c r="U470" t="s">
        <v>8937</v>
      </c>
      <c r="V470" t="s">
        <v>8938</v>
      </c>
      <c r="W470" t="s">
        <v>8939</v>
      </c>
      <c r="X470" t="s">
        <v>8940</v>
      </c>
      <c r="Y470" t="s">
        <v>8941</v>
      </c>
      <c r="Z470" t="s">
        <v>8942</v>
      </c>
      <c r="AA470" t="s">
        <v>8943</v>
      </c>
      <c r="AB470" t="s">
        <v>8944</v>
      </c>
      <c r="AC470" t="s">
        <v>8945</v>
      </c>
      <c r="AD470" t="s">
        <v>8946</v>
      </c>
      <c r="AE470" t="s">
        <v>8947</v>
      </c>
      <c r="AF470" t="s">
        <v>74</v>
      </c>
      <c r="AG470">
        <v>57</v>
      </c>
      <c r="AH470">
        <v>41</v>
      </c>
      <c r="AI470">
        <v>41</v>
      </c>
      <c r="AJ470">
        <v>3</v>
      </c>
      <c r="AK470">
        <v>43</v>
      </c>
      <c r="AL470" t="s">
        <v>2574</v>
      </c>
      <c r="AM470" t="s">
        <v>2240</v>
      </c>
      <c r="AN470" t="s">
        <v>2575</v>
      </c>
      <c r="AO470" t="s">
        <v>8948</v>
      </c>
      <c r="AP470" t="s">
        <v>8949</v>
      </c>
      <c r="AQ470" t="s">
        <v>74</v>
      </c>
      <c r="AR470" t="s">
        <v>8950</v>
      </c>
      <c r="AS470" t="s">
        <v>8951</v>
      </c>
      <c r="AT470" t="s">
        <v>74</v>
      </c>
      <c r="AU470">
        <v>2016</v>
      </c>
      <c r="AV470">
        <v>18</v>
      </c>
      <c r="AW470">
        <v>6</v>
      </c>
      <c r="AX470" t="s">
        <v>74</v>
      </c>
      <c r="AY470" t="s">
        <v>74</v>
      </c>
      <c r="AZ470" t="s">
        <v>74</v>
      </c>
      <c r="BA470" t="s">
        <v>74</v>
      </c>
      <c r="BB470">
        <v>648</v>
      </c>
      <c r="BC470">
        <v>657</v>
      </c>
      <c r="BD470" t="s">
        <v>74</v>
      </c>
      <c r="BE470" t="s">
        <v>8952</v>
      </c>
      <c r="BF470" t="str">
        <f>HYPERLINK("http://dx.doi.org/10.1039/c6em00052e","http://dx.doi.org/10.1039/c6em00052e")</f>
        <v>http://dx.doi.org/10.1039/c6em00052e</v>
      </c>
      <c r="BG470" t="s">
        <v>74</v>
      </c>
      <c r="BH470" t="s">
        <v>74</v>
      </c>
      <c r="BI470">
        <v>10</v>
      </c>
      <c r="BJ470" t="s">
        <v>4838</v>
      </c>
      <c r="BK470" t="s">
        <v>264</v>
      </c>
      <c r="BL470" t="s">
        <v>4839</v>
      </c>
      <c r="BM470" t="s">
        <v>8953</v>
      </c>
      <c r="BN470">
        <v>27224418</v>
      </c>
      <c r="BO470" t="s">
        <v>74</v>
      </c>
      <c r="BP470" t="s">
        <v>74</v>
      </c>
      <c r="BQ470" t="s">
        <v>74</v>
      </c>
      <c r="BR470" t="s">
        <v>100</v>
      </c>
      <c r="BS470" t="s">
        <v>8954</v>
      </c>
      <c r="BT470" t="str">
        <f>HYPERLINK("https%3A%2F%2Fwww.webofscience.com%2Fwos%2Fwoscc%2Ffull-record%2FWOS:000378237000001","View Full Record in Web of Science")</f>
        <v>View Full Record in Web of Science</v>
      </c>
    </row>
    <row r="471" spans="1:72" x14ac:dyDescent="0.15">
      <c r="A471" t="s">
        <v>72</v>
      </c>
      <c r="B471" t="s">
        <v>8955</v>
      </c>
      <c r="C471" t="s">
        <v>74</v>
      </c>
      <c r="D471" t="s">
        <v>74</v>
      </c>
      <c r="E471" t="s">
        <v>74</v>
      </c>
      <c r="F471" t="s">
        <v>8956</v>
      </c>
      <c r="G471" t="s">
        <v>74</v>
      </c>
      <c r="H471" t="s">
        <v>74</v>
      </c>
      <c r="I471" t="s">
        <v>8957</v>
      </c>
      <c r="J471" t="s">
        <v>8958</v>
      </c>
      <c r="K471" t="s">
        <v>74</v>
      </c>
      <c r="L471" t="s">
        <v>74</v>
      </c>
      <c r="M471" t="s">
        <v>200</v>
      </c>
      <c r="N471" t="s">
        <v>8638</v>
      </c>
      <c r="O471" t="s">
        <v>74</v>
      </c>
      <c r="P471" t="s">
        <v>74</v>
      </c>
      <c r="Q471" t="s">
        <v>74</v>
      </c>
      <c r="R471" t="s">
        <v>74</v>
      </c>
      <c r="S471" t="s">
        <v>74</v>
      </c>
      <c r="T471" t="s">
        <v>74</v>
      </c>
      <c r="U471" t="s">
        <v>8959</v>
      </c>
      <c r="V471" t="s">
        <v>74</v>
      </c>
      <c r="W471" t="s">
        <v>8960</v>
      </c>
      <c r="X471" t="s">
        <v>8961</v>
      </c>
      <c r="Y471" t="s">
        <v>8962</v>
      </c>
      <c r="Z471" t="s">
        <v>8963</v>
      </c>
      <c r="AA471" t="s">
        <v>74</v>
      </c>
      <c r="AB471" t="s">
        <v>8964</v>
      </c>
      <c r="AC471" t="s">
        <v>8965</v>
      </c>
      <c r="AD471" t="s">
        <v>7515</v>
      </c>
      <c r="AE471" t="s">
        <v>74</v>
      </c>
      <c r="AF471" t="s">
        <v>74</v>
      </c>
      <c r="AG471">
        <v>17</v>
      </c>
      <c r="AH471">
        <v>4</v>
      </c>
      <c r="AI471">
        <v>5</v>
      </c>
      <c r="AJ471">
        <v>1</v>
      </c>
      <c r="AK471">
        <v>13</v>
      </c>
      <c r="AL471" t="s">
        <v>208</v>
      </c>
      <c r="AM471" t="s">
        <v>209</v>
      </c>
      <c r="AN471" t="s">
        <v>7114</v>
      </c>
      <c r="AO471" t="s">
        <v>8966</v>
      </c>
      <c r="AP471" t="s">
        <v>8967</v>
      </c>
      <c r="AQ471" t="s">
        <v>74</v>
      </c>
      <c r="AR471" t="s">
        <v>8968</v>
      </c>
      <c r="AS471" t="s">
        <v>8969</v>
      </c>
      <c r="AT471" t="s">
        <v>315</v>
      </c>
      <c r="AU471">
        <v>2016</v>
      </c>
      <c r="AV471">
        <v>173</v>
      </c>
      <c r="AW471" t="s">
        <v>74</v>
      </c>
      <c r="AX471">
        <v>2</v>
      </c>
      <c r="AY471" t="s">
        <v>74</v>
      </c>
      <c r="AZ471" t="s">
        <v>2540</v>
      </c>
      <c r="BA471" t="s">
        <v>74</v>
      </c>
      <c r="BB471">
        <v>109</v>
      </c>
      <c r="BC471">
        <v>112</v>
      </c>
      <c r="BD471" t="s">
        <v>74</v>
      </c>
      <c r="BE471" t="s">
        <v>8970</v>
      </c>
      <c r="BF471" t="str">
        <f>HYPERLINK("http://dx.doi.org/10.1016/j.fishres.2015.11.001","http://dx.doi.org/10.1016/j.fishres.2015.11.001")</f>
        <v>http://dx.doi.org/10.1016/j.fishres.2015.11.001</v>
      </c>
      <c r="BG471" t="s">
        <v>74</v>
      </c>
      <c r="BH471" t="s">
        <v>74</v>
      </c>
      <c r="BI471">
        <v>4</v>
      </c>
      <c r="BJ471" t="s">
        <v>263</v>
      </c>
      <c r="BK471" t="s">
        <v>264</v>
      </c>
      <c r="BL471" t="s">
        <v>263</v>
      </c>
      <c r="BM471" t="s">
        <v>8971</v>
      </c>
      <c r="BN471" t="s">
        <v>74</v>
      </c>
      <c r="BO471" t="s">
        <v>431</v>
      </c>
      <c r="BP471" t="s">
        <v>74</v>
      </c>
      <c r="BQ471" t="s">
        <v>74</v>
      </c>
      <c r="BR471" t="s">
        <v>100</v>
      </c>
      <c r="BS471" t="s">
        <v>8972</v>
      </c>
      <c r="BT471" t="str">
        <f>HYPERLINK("https%3A%2F%2Fwww.webofscience.com%2Fwos%2Fwoscc%2Ffull-record%2FWOS:000367774200001","View Full Record in Web of Science")</f>
        <v>View Full Record in Web of Science</v>
      </c>
    </row>
    <row r="472" spans="1:72" x14ac:dyDescent="0.15">
      <c r="A472" t="s">
        <v>72</v>
      </c>
      <c r="B472" t="s">
        <v>8973</v>
      </c>
      <c r="C472" t="s">
        <v>74</v>
      </c>
      <c r="D472" t="s">
        <v>74</v>
      </c>
      <c r="E472" t="s">
        <v>74</v>
      </c>
      <c r="F472" t="s">
        <v>8974</v>
      </c>
      <c r="G472" t="s">
        <v>74</v>
      </c>
      <c r="H472" t="s">
        <v>74</v>
      </c>
      <c r="I472" t="s">
        <v>8975</v>
      </c>
      <c r="J472" t="s">
        <v>8976</v>
      </c>
      <c r="K472" t="s">
        <v>74</v>
      </c>
      <c r="L472" t="s">
        <v>74</v>
      </c>
      <c r="M472" t="s">
        <v>200</v>
      </c>
      <c r="N472" t="s">
        <v>79</v>
      </c>
      <c r="O472" t="s">
        <v>74</v>
      </c>
      <c r="P472" t="s">
        <v>74</v>
      </c>
      <c r="Q472" t="s">
        <v>74</v>
      </c>
      <c r="R472" t="s">
        <v>74</v>
      </c>
      <c r="S472" t="s">
        <v>74</v>
      </c>
      <c r="T472" t="s">
        <v>8977</v>
      </c>
      <c r="U472" t="s">
        <v>8978</v>
      </c>
      <c r="V472" t="s">
        <v>8979</v>
      </c>
      <c r="W472" t="s">
        <v>8980</v>
      </c>
      <c r="X472" t="s">
        <v>3604</v>
      </c>
      <c r="Y472" t="s">
        <v>8981</v>
      </c>
      <c r="Z472" t="s">
        <v>8982</v>
      </c>
      <c r="AA472" t="s">
        <v>8983</v>
      </c>
      <c r="AB472" t="s">
        <v>74</v>
      </c>
      <c r="AC472" t="s">
        <v>8984</v>
      </c>
      <c r="AD472" t="s">
        <v>8985</v>
      </c>
      <c r="AE472" t="s">
        <v>8986</v>
      </c>
      <c r="AF472" t="s">
        <v>74</v>
      </c>
      <c r="AG472">
        <v>51</v>
      </c>
      <c r="AH472">
        <v>52</v>
      </c>
      <c r="AI472">
        <v>61</v>
      </c>
      <c r="AJ472">
        <v>7</v>
      </c>
      <c r="AK472">
        <v>80</v>
      </c>
      <c r="AL472" t="s">
        <v>7218</v>
      </c>
      <c r="AM472" t="s">
        <v>1386</v>
      </c>
      <c r="AN472" t="s">
        <v>7219</v>
      </c>
      <c r="AO472" t="s">
        <v>8987</v>
      </c>
      <c r="AP472" t="s">
        <v>8988</v>
      </c>
      <c r="AQ472" t="s">
        <v>74</v>
      </c>
      <c r="AR472" t="s">
        <v>8989</v>
      </c>
      <c r="AS472" t="s">
        <v>8990</v>
      </c>
      <c r="AT472" t="s">
        <v>315</v>
      </c>
      <c r="AU472">
        <v>2016</v>
      </c>
      <c r="AV472">
        <v>52</v>
      </c>
      <c r="AW472" t="s">
        <v>74</v>
      </c>
      <c r="AX472" t="s">
        <v>74</v>
      </c>
      <c r="AY472" t="s">
        <v>74</v>
      </c>
      <c r="AZ472" t="s">
        <v>74</v>
      </c>
      <c r="BA472" t="s">
        <v>74</v>
      </c>
      <c r="BB472">
        <v>510</v>
      </c>
      <c r="BC472">
        <v>519</v>
      </c>
      <c r="BD472" t="s">
        <v>74</v>
      </c>
      <c r="BE472" t="s">
        <v>8991</v>
      </c>
      <c r="BF472" t="str">
        <f>HYPERLINK("http://dx.doi.org/10.1016/j.foodhyd.2015.07.032","http://dx.doi.org/10.1016/j.foodhyd.2015.07.032")</f>
        <v>http://dx.doi.org/10.1016/j.foodhyd.2015.07.032</v>
      </c>
      <c r="BG472" t="s">
        <v>74</v>
      </c>
      <c r="BH472" t="s">
        <v>74</v>
      </c>
      <c r="BI472">
        <v>10</v>
      </c>
      <c r="BJ472" t="s">
        <v>8992</v>
      </c>
      <c r="BK472" t="s">
        <v>264</v>
      </c>
      <c r="BL472" t="s">
        <v>8993</v>
      </c>
      <c r="BM472" t="s">
        <v>8994</v>
      </c>
      <c r="BN472" t="s">
        <v>74</v>
      </c>
      <c r="BO472" t="s">
        <v>74</v>
      </c>
      <c r="BP472" t="s">
        <v>74</v>
      </c>
      <c r="BQ472" t="s">
        <v>74</v>
      </c>
      <c r="BR472" t="s">
        <v>100</v>
      </c>
      <c r="BS472" t="s">
        <v>8995</v>
      </c>
      <c r="BT472" t="str">
        <f>HYPERLINK("https%3A%2F%2Fwww.webofscience.com%2Fwos%2Fwoscc%2Ffull-record%2FWOS:000363832300052","View Full Record in Web of Science")</f>
        <v>View Full Record in Web of Science</v>
      </c>
    </row>
    <row r="473" spans="1:72" x14ac:dyDescent="0.15">
      <c r="A473" t="s">
        <v>72</v>
      </c>
      <c r="B473" t="s">
        <v>8996</v>
      </c>
      <c r="C473" t="s">
        <v>74</v>
      </c>
      <c r="D473" t="s">
        <v>74</v>
      </c>
      <c r="E473" t="s">
        <v>74</v>
      </c>
      <c r="F473" t="s">
        <v>8997</v>
      </c>
      <c r="G473" t="s">
        <v>74</v>
      </c>
      <c r="H473" t="s">
        <v>74</v>
      </c>
      <c r="I473" t="s">
        <v>8998</v>
      </c>
      <c r="J473" t="s">
        <v>5298</v>
      </c>
      <c r="K473" t="s">
        <v>74</v>
      </c>
      <c r="L473" t="s">
        <v>74</v>
      </c>
      <c r="M473" t="s">
        <v>200</v>
      </c>
      <c r="N473" t="s">
        <v>79</v>
      </c>
      <c r="O473" t="s">
        <v>74</v>
      </c>
      <c r="P473" t="s">
        <v>74</v>
      </c>
      <c r="Q473" t="s">
        <v>74</v>
      </c>
      <c r="R473" t="s">
        <v>74</v>
      </c>
      <c r="S473" t="s">
        <v>74</v>
      </c>
      <c r="T473" t="s">
        <v>8999</v>
      </c>
      <c r="U473" t="s">
        <v>9000</v>
      </c>
      <c r="V473" t="s">
        <v>9001</v>
      </c>
      <c r="W473" t="s">
        <v>9002</v>
      </c>
      <c r="X473" t="s">
        <v>9003</v>
      </c>
      <c r="Y473" t="s">
        <v>9004</v>
      </c>
      <c r="Z473" t="s">
        <v>9005</v>
      </c>
      <c r="AA473" t="s">
        <v>5306</v>
      </c>
      <c r="AB473" t="s">
        <v>5307</v>
      </c>
      <c r="AC473" t="s">
        <v>9006</v>
      </c>
      <c r="AD473" t="s">
        <v>9007</v>
      </c>
      <c r="AE473" t="s">
        <v>9008</v>
      </c>
      <c r="AF473" t="s">
        <v>74</v>
      </c>
      <c r="AG473">
        <v>29</v>
      </c>
      <c r="AH473">
        <v>7</v>
      </c>
      <c r="AI473">
        <v>8</v>
      </c>
      <c r="AJ473">
        <v>0</v>
      </c>
      <c r="AK473">
        <v>3</v>
      </c>
      <c r="AL473" t="s">
        <v>5311</v>
      </c>
      <c r="AM473" t="s">
        <v>5312</v>
      </c>
      <c r="AN473" t="s">
        <v>5313</v>
      </c>
      <c r="AO473" t="s">
        <v>5314</v>
      </c>
      <c r="AP473" t="s">
        <v>74</v>
      </c>
      <c r="AQ473" t="s">
        <v>74</v>
      </c>
      <c r="AR473" t="s">
        <v>5298</v>
      </c>
      <c r="AS473" t="s">
        <v>5315</v>
      </c>
      <c r="AT473" t="s">
        <v>74</v>
      </c>
      <c r="AU473">
        <v>2016</v>
      </c>
      <c r="AV473">
        <v>16</v>
      </c>
      <c r="AW473">
        <v>2</v>
      </c>
      <c r="AX473" t="s">
        <v>74</v>
      </c>
      <c r="AY473" t="s">
        <v>74</v>
      </c>
      <c r="AZ473" t="s">
        <v>74</v>
      </c>
      <c r="BA473" t="s">
        <v>74</v>
      </c>
      <c r="BB473">
        <v>145</v>
      </c>
      <c r="BC473">
        <v>156</v>
      </c>
      <c r="BD473" t="s">
        <v>74</v>
      </c>
      <c r="BE473" t="s">
        <v>9009</v>
      </c>
      <c r="BF473" t="str">
        <f>HYPERLINK("http://dx.doi.org/10.5507/fot.2016.008","http://dx.doi.org/10.5507/fot.2016.008")</f>
        <v>http://dx.doi.org/10.5507/fot.2016.008</v>
      </c>
      <c r="BG473" t="s">
        <v>74</v>
      </c>
      <c r="BH473" t="s">
        <v>74</v>
      </c>
      <c r="BI473">
        <v>12</v>
      </c>
      <c r="BJ473" t="s">
        <v>1276</v>
      </c>
      <c r="BK473" t="s">
        <v>264</v>
      </c>
      <c r="BL473" t="s">
        <v>1276</v>
      </c>
      <c r="BM473" t="s">
        <v>9010</v>
      </c>
      <c r="BN473" t="s">
        <v>74</v>
      </c>
      <c r="BO473" t="s">
        <v>2134</v>
      </c>
      <c r="BP473" t="s">
        <v>74</v>
      </c>
      <c r="BQ473" t="s">
        <v>74</v>
      </c>
      <c r="BR473" t="s">
        <v>100</v>
      </c>
      <c r="BS473" t="s">
        <v>9011</v>
      </c>
      <c r="BT473" t="str">
        <f>HYPERLINK("https%3A%2F%2Fwww.webofscience.com%2Fwos%2Fwoscc%2Ffull-record%2FWOS:000390374600001","View Full Record in Web of Science")</f>
        <v>View Full Record in Web of Science</v>
      </c>
    </row>
    <row r="474" spans="1:72" x14ac:dyDescent="0.15">
      <c r="A474" t="s">
        <v>72</v>
      </c>
      <c r="B474" t="s">
        <v>9012</v>
      </c>
      <c r="C474" t="s">
        <v>74</v>
      </c>
      <c r="D474" t="s">
        <v>74</v>
      </c>
      <c r="E474" t="s">
        <v>74</v>
      </c>
      <c r="F474" t="s">
        <v>9013</v>
      </c>
      <c r="G474" t="s">
        <v>74</v>
      </c>
      <c r="H474" t="s">
        <v>74</v>
      </c>
      <c r="I474" t="s">
        <v>9014</v>
      </c>
      <c r="J474" t="s">
        <v>9015</v>
      </c>
      <c r="K474" t="s">
        <v>74</v>
      </c>
      <c r="L474" t="s">
        <v>74</v>
      </c>
      <c r="M474" t="s">
        <v>200</v>
      </c>
      <c r="N474" t="s">
        <v>79</v>
      </c>
      <c r="O474" t="s">
        <v>74</v>
      </c>
      <c r="P474" t="s">
        <v>74</v>
      </c>
      <c r="Q474" t="s">
        <v>74</v>
      </c>
      <c r="R474" t="s">
        <v>74</v>
      </c>
      <c r="S474" t="s">
        <v>74</v>
      </c>
      <c r="T474" t="s">
        <v>9016</v>
      </c>
      <c r="U474" t="s">
        <v>9017</v>
      </c>
      <c r="V474" t="s">
        <v>9018</v>
      </c>
      <c r="W474" t="s">
        <v>9019</v>
      </c>
      <c r="X474" t="s">
        <v>9020</v>
      </c>
      <c r="Y474" t="s">
        <v>9021</v>
      </c>
      <c r="Z474" t="s">
        <v>9022</v>
      </c>
      <c r="AA474" t="s">
        <v>9023</v>
      </c>
      <c r="AB474" t="s">
        <v>9024</v>
      </c>
      <c r="AC474" t="s">
        <v>9025</v>
      </c>
      <c r="AD474" t="s">
        <v>9026</v>
      </c>
      <c r="AE474" t="s">
        <v>9027</v>
      </c>
      <c r="AF474" t="s">
        <v>74</v>
      </c>
      <c r="AG474">
        <v>79</v>
      </c>
      <c r="AH474">
        <v>69</v>
      </c>
      <c r="AI474">
        <v>73</v>
      </c>
      <c r="AJ474">
        <v>1</v>
      </c>
      <c r="AK474">
        <v>6</v>
      </c>
      <c r="AL474" t="s">
        <v>9028</v>
      </c>
      <c r="AM474" t="s">
        <v>9029</v>
      </c>
      <c r="AN474" t="s">
        <v>9030</v>
      </c>
      <c r="AO474" t="s">
        <v>9031</v>
      </c>
      <c r="AP474" t="s">
        <v>74</v>
      </c>
      <c r="AQ474" t="s">
        <v>74</v>
      </c>
      <c r="AR474" t="s">
        <v>9032</v>
      </c>
      <c r="AS474" t="s">
        <v>9033</v>
      </c>
      <c r="AT474" t="s">
        <v>74</v>
      </c>
      <c r="AU474">
        <v>2016</v>
      </c>
      <c r="AV474">
        <v>4</v>
      </c>
      <c r="AW474" t="s">
        <v>74</v>
      </c>
      <c r="AX474" t="s">
        <v>74</v>
      </c>
      <c r="AY474" t="s">
        <v>74</v>
      </c>
      <c r="AZ474" t="s">
        <v>74</v>
      </c>
      <c r="BA474" t="s">
        <v>74</v>
      </c>
      <c r="BB474" t="s">
        <v>74</v>
      </c>
      <c r="BC474" t="s">
        <v>74</v>
      </c>
      <c r="BD474">
        <v>3</v>
      </c>
      <c r="BE474" t="s">
        <v>9034</v>
      </c>
      <c r="BF474" t="str">
        <f>HYPERLINK("http://dx.doi.org/10.3389/fevo.2016.00003","http://dx.doi.org/10.3389/fevo.2016.00003")</f>
        <v>http://dx.doi.org/10.3389/fevo.2016.00003</v>
      </c>
      <c r="BG474" t="s">
        <v>74</v>
      </c>
      <c r="BH474" t="s">
        <v>74</v>
      </c>
      <c r="BI474">
        <v>16</v>
      </c>
      <c r="BJ474" t="s">
        <v>5445</v>
      </c>
      <c r="BK474" t="s">
        <v>264</v>
      </c>
      <c r="BL474" t="s">
        <v>2887</v>
      </c>
      <c r="BM474" t="s">
        <v>9035</v>
      </c>
      <c r="BN474" t="s">
        <v>74</v>
      </c>
      <c r="BO474" t="s">
        <v>99</v>
      </c>
      <c r="BP474" t="s">
        <v>74</v>
      </c>
      <c r="BQ474" t="s">
        <v>74</v>
      </c>
      <c r="BR474" t="s">
        <v>100</v>
      </c>
      <c r="BS474" t="s">
        <v>9036</v>
      </c>
      <c r="BT474" t="str">
        <f>HYPERLINK("https%3A%2F%2Fwww.webofscience.com%2Fwos%2Fwoscc%2Ffull-record%2FWOS:000517761700003","View Full Record in Web of Science")</f>
        <v>View Full Record in Web of Science</v>
      </c>
    </row>
    <row r="475" spans="1:72" x14ac:dyDescent="0.15">
      <c r="A475" t="s">
        <v>72</v>
      </c>
      <c r="B475" t="s">
        <v>9037</v>
      </c>
      <c r="C475" t="s">
        <v>74</v>
      </c>
      <c r="D475" t="s">
        <v>74</v>
      </c>
      <c r="E475" t="s">
        <v>74</v>
      </c>
      <c r="F475" t="s">
        <v>9038</v>
      </c>
      <c r="G475" t="s">
        <v>74</v>
      </c>
      <c r="H475" t="s">
        <v>74</v>
      </c>
      <c r="I475" t="s">
        <v>9039</v>
      </c>
      <c r="J475" t="s">
        <v>9015</v>
      </c>
      <c r="K475" t="s">
        <v>74</v>
      </c>
      <c r="L475" t="s">
        <v>74</v>
      </c>
      <c r="M475" t="s">
        <v>200</v>
      </c>
      <c r="N475" t="s">
        <v>79</v>
      </c>
      <c r="O475" t="s">
        <v>74</v>
      </c>
      <c r="P475" t="s">
        <v>74</v>
      </c>
      <c r="Q475" t="s">
        <v>74</v>
      </c>
      <c r="R475" t="s">
        <v>74</v>
      </c>
      <c r="S475" t="s">
        <v>74</v>
      </c>
      <c r="T475" t="s">
        <v>9040</v>
      </c>
      <c r="U475" t="s">
        <v>9041</v>
      </c>
      <c r="V475" t="s">
        <v>9042</v>
      </c>
      <c r="W475" t="s">
        <v>9043</v>
      </c>
      <c r="X475" t="s">
        <v>9044</v>
      </c>
      <c r="Y475" t="s">
        <v>9045</v>
      </c>
      <c r="Z475" t="s">
        <v>9046</v>
      </c>
      <c r="AA475" t="s">
        <v>9047</v>
      </c>
      <c r="AB475" t="s">
        <v>9048</v>
      </c>
      <c r="AC475" t="s">
        <v>9049</v>
      </c>
      <c r="AD475" t="s">
        <v>9050</v>
      </c>
      <c r="AE475" t="s">
        <v>9051</v>
      </c>
      <c r="AF475" t="s">
        <v>74</v>
      </c>
      <c r="AG475">
        <v>42</v>
      </c>
      <c r="AH475">
        <v>20</v>
      </c>
      <c r="AI475">
        <v>24</v>
      </c>
      <c r="AJ475">
        <v>5</v>
      </c>
      <c r="AK475">
        <v>9</v>
      </c>
      <c r="AL475" t="s">
        <v>9028</v>
      </c>
      <c r="AM475" t="s">
        <v>9029</v>
      </c>
      <c r="AN475" t="s">
        <v>9030</v>
      </c>
      <c r="AO475" t="s">
        <v>9031</v>
      </c>
      <c r="AP475" t="s">
        <v>74</v>
      </c>
      <c r="AQ475" t="s">
        <v>74</v>
      </c>
      <c r="AR475" t="s">
        <v>9032</v>
      </c>
      <c r="AS475" t="s">
        <v>9033</v>
      </c>
      <c r="AT475" t="s">
        <v>74</v>
      </c>
      <c r="AU475">
        <v>2016</v>
      </c>
      <c r="AV475">
        <v>4</v>
      </c>
      <c r="AW475" t="s">
        <v>74</v>
      </c>
      <c r="AX475" t="s">
        <v>74</v>
      </c>
      <c r="AY475" t="s">
        <v>74</v>
      </c>
      <c r="AZ475" t="s">
        <v>74</v>
      </c>
      <c r="BA475" t="s">
        <v>74</v>
      </c>
      <c r="BB475" t="s">
        <v>74</v>
      </c>
      <c r="BC475" t="s">
        <v>74</v>
      </c>
      <c r="BD475">
        <v>61</v>
      </c>
      <c r="BE475" t="s">
        <v>9052</v>
      </c>
      <c r="BF475" t="str">
        <f>HYPERLINK("http://dx.doi.org/10.3389/fevo.2016.00061","http://dx.doi.org/10.3389/fevo.2016.00061")</f>
        <v>http://dx.doi.org/10.3389/fevo.2016.00061</v>
      </c>
      <c r="BG475" t="s">
        <v>74</v>
      </c>
      <c r="BH475" t="s">
        <v>74</v>
      </c>
      <c r="BI475">
        <v>13</v>
      </c>
      <c r="BJ475" t="s">
        <v>5445</v>
      </c>
      <c r="BK475" t="s">
        <v>264</v>
      </c>
      <c r="BL475" t="s">
        <v>2887</v>
      </c>
      <c r="BM475" t="s">
        <v>9035</v>
      </c>
      <c r="BN475" t="s">
        <v>74</v>
      </c>
      <c r="BO475" t="s">
        <v>99</v>
      </c>
      <c r="BP475" t="s">
        <v>74</v>
      </c>
      <c r="BQ475" t="s">
        <v>74</v>
      </c>
      <c r="BR475" t="s">
        <v>100</v>
      </c>
      <c r="BS475" t="s">
        <v>9053</v>
      </c>
      <c r="BT475" t="str">
        <f>HYPERLINK("https%3A%2F%2Fwww.webofscience.com%2Fwos%2Fwoscc%2Ffull-record%2FWOS:000517761700061","View Full Record in Web of Science")</f>
        <v>View Full Record in Web of Science</v>
      </c>
    </row>
    <row r="476" spans="1:72" x14ac:dyDescent="0.15">
      <c r="A476" t="s">
        <v>72</v>
      </c>
      <c r="B476" t="s">
        <v>9054</v>
      </c>
      <c r="C476" t="s">
        <v>74</v>
      </c>
      <c r="D476" t="s">
        <v>74</v>
      </c>
      <c r="E476" t="s">
        <v>74</v>
      </c>
      <c r="F476" t="s">
        <v>9055</v>
      </c>
      <c r="G476" t="s">
        <v>74</v>
      </c>
      <c r="H476" t="s">
        <v>74</v>
      </c>
      <c r="I476" t="s">
        <v>9056</v>
      </c>
      <c r="J476" t="s">
        <v>9015</v>
      </c>
      <c r="K476" t="s">
        <v>74</v>
      </c>
      <c r="L476" t="s">
        <v>74</v>
      </c>
      <c r="M476" t="s">
        <v>200</v>
      </c>
      <c r="N476" t="s">
        <v>79</v>
      </c>
      <c r="O476" t="s">
        <v>74</v>
      </c>
      <c r="P476" t="s">
        <v>74</v>
      </c>
      <c r="Q476" t="s">
        <v>74</v>
      </c>
      <c r="R476" t="s">
        <v>74</v>
      </c>
      <c r="S476" t="s">
        <v>74</v>
      </c>
      <c r="T476" t="s">
        <v>9057</v>
      </c>
      <c r="U476" t="s">
        <v>9058</v>
      </c>
      <c r="V476" t="s">
        <v>9059</v>
      </c>
      <c r="W476" t="s">
        <v>9060</v>
      </c>
      <c r="X476" t="s">
        <v>9061</v>
      </c>
      <c r="Y476" t="s">
        <v>9062</v>
      </c>
      <c r="Z476" t="s">
        <v>9063</v>
      </c>
      <c r="AA476" t="s">
        <v>9064</v>
      </c>
      <c r="AB476" t="s">
        <v>9065</v>
      </c>
      <c r="AC476" t="s">
        <v>9066</v>
      </c>
      <c r="AD476" t="s">
        <v>7960</v>
      </c>
      <c r="AE476" t="s">
        <v>9067</v>
      </c>
      <c r="AF476" t="s">
        <v>74</v>
      </c>
      <c r="AG476">
        <v>91</v>
      </c>
      <c r="AH476">
        <v>24</v>
      </c>
      <c r="AI476">
        <v>26</v>
      </c>
      <c r="AJ476">
        <v>0</v>
      </c>
      <c r="AK476">
        <v>4</v>
      </c>
      <c r="AL476" t="s">
        <v>9028</v>
      </c>
      <c r="AM476" t="s">
        <v>9029</v>
      </c>
      <c r="AN476" t="s">
        <v>9030</v>
      </c>
      <c r="AO476" t="s">
        <v>9031</v>
      </c>
      <c r="AP476" t="s">
        <v>74</v>
      </c>
      <c r="AQ476" t="s">
        <v>74</v>
      </c>
      <c r="AR476" t="s">
        <v>9032</v>
      </c>
      <c r="AS476" t="s">
        <v>9033</v>
      </c>
      <c r="AT476" t="s">
        <v>74</v>
      </c>
      <c r="AU476">
        <v>2016</v>
      </c>
      <c r="AV476">
        <v>3</v>
      </c>
      <c r="AW476" t="s">
        <v>74</v>
      </c>
      <c r="AX476" t="s">
        <v>74</v>
      </c>
      <c r="AY476" t="s">
        <v>74</v>
      </c>
      <c r="AZ476" t="s">
        <v>74</v>
      </c>
      <c r="BA476" t="s">
        <v>74</v>
      </c>
      <c r="BB476" t="s">
        <v>74</v>
      </c>
      <c r="BC476" t="s">
        <v>74</v>
      </c>
      <c r="BD476">
        <v>157</v>
      </c>
      <c r="BE476" t="s">
        <v>9068</v>
      </c>
      <c r="BF476" t="str">
        <f>HYPERLINK("http://dx.doi.org/10.3389/fevo.2015.00157","http://dx.doi.org/10.3389/fevo.2015.00157")</f>
        <v>http://dx.doi.org/10.3389/fevo.2015.00157</v>
      </c>
      <c r="BG476" t="s">
        <v>74</v>
      </c>
      <c r="BH476" t="s">
        <v>74</v>
      </c>
      <c r="BI476">
        <v>10</v>
      </c>
      <c r="BJ476" t="s">
        <v>5445</v>
      </c>
      <c r="BK476" t="s">
        <v>264</v>
      </c>
      <c r="BL476" t="s">
        <v>2887</v>
      </c>
      <c r="BM476" t="s">
        <v>9069</v>
      </c>
      <c r="BN476" t="s">
        <v>74</v>
      </c>
      <c r="BO476" t="s">
        <v>2889</v>
      </c>
      <c r="BP476" t="s">
        <v>74</v>
      </c>
      <c r="BQ476" t="s">
        <v>74</v>
      </c>
      <c r="BR476" t="s">
        <v>100</v>
      </c>
      <c r="BS476" t="s">
        <v>9070</v>
      </c>
      <c r="BT476" t="str">
        <f>HYPERLINK("https%3A%2F%2Fwww.webofscience.com%2Fwos%2Fwoscc%2Ffull-record%2FWOS:000452060500011","View Full Record in Web of Science")</f>
        <v>View Full Record in Web of Science</v>
      </c>
    </row>
    <row r="477" spans="1:72" x14ac:dyDescent="0.15">
      <c r="A477" t="s">
        <v>72</v>
      </c>
      <c r="B477" t="s">
        <v>9071</v>
      </c>
      <c r="C477" t="s">
        <v>74</v>
      </c>
      <c r="D477" t="s">
        <v>74</v>
      </c>
      <c r="E477" t="s">
        <v>74</v>
      </c>
      <c r="F477" t="s">
        <v>9072</v>
      </c>
      <c r="G477" t="s">
        <v>74</v>
      </c>
      <c r="H477" t="s">
        <v>74</v>
      </c>
      <c r="I477" t="s">
        <v>9073</v>
      </c>
      <c r="J477" t="s">
        <v>9074</v>
      </c>
      <c r="K477" t="s">
        <v>74</v>
      </c>
      <c r="L477" t="s">
        <v>74</v>
      </c>
      <c r="M477" t="s">
        <v>200</v>
      </c>
      <c r="N477" t="s">
        <v>1639</v>
      </c>
      <c r="O477" t="s">
        <v>9075</v>
      </c>
      <c r="P477" t="s">
        <v>9076</v>
      </c>
      <c r="Q477" t="s">
        <v>9077</v>
      </c>
      <c r="R477" t="s">
        <v>74</v>
      </c>
      <c r="S477" t="s">
        <v>9078</v>
      </c>
      <c r="T477" t="s">
        <v>9079</v>
      </c>
      <c r="U477" t="s">
        <v>9080</v>
      </c>
      <c r="V477" t="s">
        <v>9081</v>
      </c>
      <c r="W477" t="s">
        <v>9082</v>
      </c>
      <c r="X477" t="s">
        <v>9083</v>
      </c>
      <c r="Y477" t="s">
        <v>9084</v>
      </c>
      <c r="Z477" t="s">
        <v>9085</v>
      </c>
      <c r="AA477" t="s">
        <v>74</v>
      </c>
      <c r="AB477" t="s">
        <v>9086</v>
      </c>
      <c r="AC477" t="s">
        <v>74</v>
      </c>
      <c r="AD477" t="s">
        <v>74</v>
      </c>
      <c r="AE477" t="s">
        <v>74</v>
      </c>
      <c r="AF477" t="s">
        <v>74</v>
      </c>
      <c r="AG477">
        <v>144</v>
      </c>
      <c r="AH477">
        <v>37</v>
      </c>
      <c r="AI477">
        <v>39</v>
      </c>
      <c r="AJ477">
        <v>0</v>
      </c>
      <c r="AK477">
        <v>25</v>
      </c>
      <c r="AL477" t="s">
        <v>502</v>
      </c>
      <c r="AM477" t="s">
        <v>503</v>
      </c>
      <c r="AN477" t="s">
        <v>504</v>
      </c>
      <c r="AO477" t="s">
        <v>9087</v>
      </c>
      <c r="AP477" t="s">
        <v>9088</v>
      </c>
      <c r="AQ477" t="s">
        <v>74</v>
      </c>
      <c r="AR477" t="s">
        <v>9089</v>
      </c>
      <c r="AS477" t="s">
        <v>9090</v>
      </c>
      <c r="AT477" t="s">
        <v>74</v>
      </c>
      <c r="AU477">
        <v>2016</v>
      </c>
      <c r="AV477">
        <v>9</v>
      </c>
      <c r="AW477">
        <v>3</v>
      </c>
      <c r="AX477" t="s">
        <v>74</v>
      </c>
      <c r="AY477" t="s">
        <v>74</v>
      </c>
      <c r="AZ477" t="s">
        <v>2540</v>
      </c>
      <c r="BA477" t="s">
        <v>74</v>
      </c>
      <c r="BB477">
        <v>226</v>
      </c>
      <c r="BC477">
        <v>238</v>
      </c>
      <c r="BD477" t="s">
        <v>74</v>
      </c>
      <c r="BE477" t="s">
        <v>9091</v>
      </c>
      <c r="BF477" t="str">
        <f>HYPERLINK("http://dx.doi.org/10.1080/21553769.2016.1209134","http://dx.doi.org/10.1080/21553769.2016.1209134")</f>
        <v>http://dx.doi.org/10.1080/21553769.2016.1209134</v>
      </c>
      <c r="BG477" t="s">
        <v>74</v>
      </c>
      <c r="BH477" t="s">
        <v>74</v>
      </c>
      <c r="BI477">
        <v>13</v>
      </c>
      <c r="BJ477" t="s">
        <v>3540</v>
      </c>
      <c r="BK477" t="s">
        <v>1661</v>
      </c>
      <c r="BL477" t="s">
        <v>3541</v>
      </c>
      <c r="BM477" t="s">
        <v>9092</v>
      </c>
      <c r="BN477" t="s">
        <v>74</v>
      </c>
      <c r="BO477" t="s">
        <v>486</v>
      </c>
      <c r="BP477" t="s">
        <v>74</v>
      </c>
      <c r="BQ477" t="s">
        <v>74</v>
      </c>
      <c r="BR477" t="s">
        <v>100</v>
      </c>
      <c r="BS477" t="s">
        <v>9093</v>
      </c>
      <c r="BT477" t="str">
        <f>HYPERLINK("https%3A%2F%2Fwww.webofscience.com%2Fwos%2Fwoscc%2Ffull-record%2FWOS:000383521700011","View Full Record in Web of Science")</f>
        <v>View Full Record in Web of Science</v>
      </c>
    </row>
    <row r="478" spans="1:72" x14ac:dyDescent="0.15">
      <c r="A478" t="s">
        <v>72</v>
      </c>
      <c r="B478" t="s">
        <v>9094</v>
      </c>
      <c r="C478" t="s">
        <v>74</v>
      </c>
      <c r="D478" t="s">
        <v>74</v>
      </c>
      <c r="E478" t="s">
        <v>74</v>
      </c>
      <c r="F478" t="s">
        <v>9095</v>
      </c>
      <c r="G478" t="s">
        <v>74</v>
      </c>
      <c r="H478" t="s">
        <v>74</v>
      </c>
      <c r="I478" t="s">
        <v>9096</v>
      </c>
      <c r="J478" t="s">
        <v>9097</v>
      </c>
      <c r="K478" t="s">
        <v>74</v>
      </c>
      <c r="L478" t="s">
        <v>74</v>
      </c>
      <c r="M478" t="s">
        <v>200</v>
      </c>
      <c r="N478" t="s">
        <v>79</v>
      </c>
      <c r="O478" t="s">
        <v>74</v>
      </c>
      <c r="P478" t="s">
        <v>74</v>
      </c>
      <c r="Q478" t="s">
        <v>74</v>
      </c>
      <c r="R478" t="s">
        <v>74</v>
      </c>
      <c r="S478" t="s">
        <v>74</v>
      </c>
      <c r="T478" t="s">
        <v>9098</v>
      </c>
      <c r="U478" t="s">
        <v>9099</v>
      </c>
      <c r="V478" t="s">
        <v>9100</v>
      </c>
      <c r="W478" t="s">
        <v>9101</v>
      </c>
      <c r="X478" t="s">
        <v>9102</v>
      </c>
      <c r="Y478" t="s">
        <v>9103</v>
      </c>
      <c r="Z478" t="s">
        <v>9104</v>
      </c>
      <c r="AA478" t="s">
        <v>9105</v>
      </c>
      <c r="AB478" t="s">
        <v>9106</v>
      </c>
      <c r="AC478" t="s">
        <v>9107</v>
      </c>
      <c r="AD478" t="s">
        <v>9108</v>
      </c>
      <c r="AE478" t="s">
        <v>9109</v>
      </c>
      <c r="AF478" t="s">
        <v>74</v>
      </c>
      <c r="AG478">
        <v>97</v>
      </c>
      <c r="AH478">
        <v>25</v>
      </c>
      <c r="AI478">
        <v>27</v>
      </c>
      <c r="AJ478">
        <v>1</v>
      </c>
      <c r="AK478">
        <v>7</v>
      </c>
      <c r="AL478" t="s">
        <v>9028</v>
      </c>
      <c r="AM478" t="s">
        <v>9029</v>
      </c>
      <c r="AN478" t="s">
        <v>9030</v>
      </c>
      <c r="AO478" t="s">
        <v>74</v>
      </c>
      <c r="AP478" t="s">
        <v>9110</v>
      </c>
      <c r="AQ478" t="s">
        <v>74</v>
      </c>
      <c r="AR478" t="s">
        <v>9111</v>
      </c>
      <c r="AS478" t="s">
        <v>9112</v>
      </c>
      <c r="AT478" t="s">
        <v>74</v>
      </c>
      <c r="AU478">
        <v>2016</v>
      </c>
      <c r="AV478">
        <v>3</v>
      </c>
      <c r="AW478" t="s">
        <v>74</v>
      </c>
      <c r="AX478" t="s">
        <v>74</v>
      </c>
      <c r="AY478" t="s">
        <v>74</v>
      </c>
      <c r="AZ478" t="s">
        <v>74</v>
      </c>
      <c r="BA478" t="s">
        <v>74</v>
      </c>
      <c r="BB478" t="s">
        <v>74</v>
      </c>
      <c r="BC478" t="s">
        <v>74</v>
      </c>
      <c r="BD478">
        <v>27</v>
      </c>
      <c r="BE478" t="s">
        <v>9113</v>
      </c>
      <c r="BF478" t="str">
        <f>HYPERLINK("http://dx.doi.org/10.3389/fmars.2016.00027","http://dx.doi.org/10.3389/fmars.2016.00027")</f>
        <v>http://dx.doi.org/10.3389/fmars.2016.00027</v>
      </c>
      <c r="BG478" t="s">
        <v>74</v>
      </c>
      <c r="BH478" t="s">
        <v>74</v>
      </c>
      <c r="BI478">
        <v>17</v>
      </c>
      <c r="BJ478" t="s">
        <v>8870</v>
      </c>
      <c r="BK478" t="s">
        <v>264</v>
      </c>
      <c r="BL478" t="s">
        <v>7314</v>
      </c>
      <c r="BM478" t="s">
        <v>9114</v>
      </c>
      <c r="BN478" t="s">
        <v>74</v>
      </c>
      <c r="BO478" t="s">
        <v>523</v>
      </c>
      <c r="BP478" t="s">
        <v>74</v>
      </c>
      <c r="BQ478" t="s">
        <v>74</v>
      </c>
      <c r="BR478" t="s">
        <v>100</v>
      </c>
      <c r="BS478" t="s">
        <v>9115</v>
      </c>
      <c r="BT478" t="str">
        <f>HYPERLINK("https%3A%2F%2Fwww.webofscience.com%2Fwos%2Fwoscc%2Ffull-record%2FWOS:000457358000026","View Full Record in Web of Science")</f>
        <v>View Full Record in Web of Science</v>
      </c>
    </row>
    <row r="479" spans="1:72" x14ac:dyDescent="0.15">
      <c r="A479" t="s">
        <v>72</v>
      </c>
      <c r="B479" t="s">
        <v>9116</v>
      </c>
      <c r="C479" t="s">
        <v>74</v>
      </c>
      <c r="D479" t="s">
        <v>74</v>
      </c>
      <c r="E479" t="s">
        <v>74</v>
      </c>
      <c r="F479" t="s">
        <v>9117</v>
      </c>
      <c r="G479" t="s">
        <v>74</v>
      </c>
      <c r="H479" t="s">
        <v>74</v>
      </c>
      <c r="I479" t="s">
        <v>9118</v>
      </c>
      <c r="J479" t="s">
        <v>9097</v>
      </c>
      <c r="K479" t="s">
        <v>74</v>
      </c>
      <c r="L479" t="s">
        <v>74</v>
      </c>
      <c r="M479" t="s">
        <v>200</v>
      </c>
      <c r="N479" t="s">
        <v>717</v>
      </c>
      <c r="O479" t="s">
        <v>74</v>
      </c>
      <c r="P479" t="s">
        <v>74</v>
      </c>
      <c r="Q479" t="s">
        <v>74</v>
      </c>
      <c r="R479" t="s">
        <v>74</v>
      </c>
      <c r="S479" t="s">
        <v>74</v>
      </c>
      <c r="T479" t="s">
        <v>9119</v>
      </c>
      <c r="U479" t="s">
        <v>9120</v>
      </c>
      <c r="V479" t="s">
        <v>9121</v>
      </c>
      <c r="W479" t="s">
        <v>9122</v>
      </c>
      <c r="X479" t="s">
        <v>9123</v>
      </c>
      <c r="Y479" t="s">
        <v>9124</v>
      </c>
      <c r="Z479" t="s">
        <v>9125</v>
      </c>
      <c r="AA479" t="s">
        <v>74</v>
      </c>
      <c r="AB479" t="s">
        <v>9126</v>
      </c>
      <c r="AC479" t="s">
        <v>74</v>
      </c>
      <c r="AD479" t="s">
        <v>74</v>
      </c>
      <c r="AE479" t="s">
        <v>74</v>
      </c>
      <c r="AF479" t="s">
        <v>74</v>
      </c>
      <c r="AG479">
        <v>48</v>
      </c>
      <c r="AH479">
        <v>25</v>
      </c>
      <c r="AI479">
        <v>26</v>
      </c>
      <c r="AJ479">
        <v>3</v>
      </c>
      <c r="AK479">
        <v>19</v>
      </c>
      <c r="AL479" t="s">
        <v>9028</v>
      </c>
      <c r="AM479" t="s">
        <v>9029</v>
      </c>
      <c r="AN479" t="s">
        <v>9030</v>
      </c>
      <c r="AO479" t="s">
        <v>74</v>
      </c>
      <c r="AP479" t="s">
        <v>9110</v>
      </c>
      <c r="AQ479" t="s">
        <v>74</v>
      </c>
      <c r="AR479" t="s">
        <v>9111</v>
      </c>
      <c r="AS479" t="s">
        <v>9112</v>
      </c>
      <c r="AT479" t="s">
        <v>74</v>
      </c>
      <c r="AU479">
        <v>2016</v>
      </c>
      <c r="AV479">
        <v>3</v>
      </c>
      <c r="AW479" t="s">
        <v>74</v>
      </c>
      <c r="AX479" t="s">
        <v>74</v>
      </c>
      <c r="AY479" t="s">
        <v>74</v>
      </c>
      <c r="AZ479" t="s">
        <v>74</v>
      </c>
      <c r="BA479" t="s">
        <v>74</v>
      </c>
      <c r="BB479" t="s">
        <v>74</v>
      </c>
      <c r="BC479" t="s">
        <v>74</v>
      </c>
      <c r="BD479">
        <v>149</v>
      </c>
      <c r="BE479" t="s">
        <v>9127</v>
      </c>
      <c r="BF479" t="str">
        <f>HYPERLINK("http://dx.doi.org/10.3389/fmars.2016.00149","http://dx.doi.org/10.3389/fmars.2016.00149")</f>
        <v>http://dx.doi.org/10.3389/fmars.2016.00149</v>
      </c>
      <c r="BG479" t="s">
        <v>74</v>
      </c>
      <c r="BH479" t="s">
        <v>74</v>
      </c>
      <c r="BI479">
        <v>10</v>
      </c>
      <c r="BJ479" t="s">
        <v>8870</v>
      </c>
      <c r="BK479" t="s">
        <v>264</v>
      </c>
      <c r="BL479" t="s">
        <v>7314</v>
      </c>
      <c r="BM479" t="s">
        <v>9114</v>
      </c>
      <c r="BN479" t="s">
        <v>74</v>
      </c>
      <c r="BO479" t="s">
        <v>523</v>
      </c>
      <c r="BP479" t="s">
        <v>74</v>
      </c>
      <c r="BQ479" t="s">
        <v>74</v>
      </c>
      <c r="BR479" t="s">
        <v>100</v>
      </c>
      <c r="BS479" t="s">
        <v>9128</v>
      </c>
      <c r="BT479" t="str">
        <f>HYPERLINK("https%3A%2F%2Fwww.webofscience.com%2Fwos%2Fwoscc%2Ffull-record%2FWOS:000457358000146","View Full Record in Web of Science")</f>
        <v>View Full Record in Web of Science</v>
      </c>
    </row>
    <row r="480" spans="1:72" x14ac:dyDescent="0.15">
      <c r="A480" t="s">
        <v>72</v>
      </c>
      <c r="B480" t="s">
        <v>9129</v>
      </c>
      <c r="C480" t="s">
        <v>74</v>
      </c>
      <c r="D480" t="s">
        <v>74</v>
      </c>
      <c r="E480" t="s">
        <v>74</v>
      </c>
      <c r="F480" t="s">
        <v>9130</v>
      </c>
      <c r="G480" t="s">
        <v>74</v>
      </c>
      <c r="H480" t="s">
        <v>74</v>
      </c>
      <c r="I480" t="s">
        <v>9131</v>
      </c>
      <c r="J480" t="s">
        <v>9097</v>
      </c>
      <c r="K480" t="s">
        <v>74</v>
      </c>
      <c r="L480" t="s">
        <v>74</v>
      </c>
      <c r="M480" t="s">
        <v>200</v>
      </c>
      <c r="N480" t="s">
        <v>79</v>
      </c>
      <c r="O480" t="s">
        <v>74</v>
      </c>
      <c r="P480" t="s">
        <v>74</v>
      </c>
      <c r="Q480" t="s">
        <v>74</v>
      </c>
      <c r="R480" t="s">
        <v>74</v>
      </c>
      <c r="S480" t="s">
        <v>74</v>
      </c>
      <c r="T480" t="s">
        <v>9132</v>
      </c>
      <c r="U480" t="s">
        <v>9133</v>
      </c>
      <c r="V480" t="s">
        <v>9134</v>
      </c>
      <c r="W480" t="s">
        <v>9135</v>
      </c>
      <c r="X480" t="s">
        <v>9136</v>
      </c>
      <c r="Y480" t="s">
        <v>9137</v>
      </c>
      <c r="Z480" t="s">
        <v>9138</v>
      </c>
      <c r="AA480" t="s">
        <v>9139</v>
      </c>
      <c r="AB480" t="s">
        <v>9140</v>
      </c>
      <c r="AC480" t="s">
        <v>9141</v>
      </c>
      <c r="AD480" t="s">
        <v>9142</v>
      </c>
      <c r="AE480" t="s">
        <v>9143</v>
      </c>
      <c r="AF480" t="s">
        <v>74</v>
      </c>
      <c r="AG480">
        <v>82</v>
      </c>
      <c r="AH480">
        <v>10</v>
      </c>
      <c r="AI480">
        <v>10</v>
      </c>
      <c r="AJ480">
        <v>0</v>
      </c>
      <c r="AK480">
        <v>4</v>
      </c>
      <c r="AL480" t="s">
        <v>9028</v>
      </c>
      <c r="AM480" t="s">
        <v>9029</v>
      </c>
      <c r="AN480" t="s">
        <v>9030</v>
      </c>
      <c r="AO480" t="s">
        <v>74</v>
      </c>
      <c r="AP480" t="s">
        <v>9110</v>
      </c>
      <c r="AQ480" t="s">
        <v>74</v>
      </c>
      <c r="AR480" t="s">
        <v>9111</v>
      </c>
      <c r="AS480" t="s">
        <v>9112</v>
      </c>
      <c r="AT480" t="s">
        <v>74</v>
      </c>
      <c r="AU480">
        <v>2016</v>
      </c>
      <c r="AV480">
        <v>3</v>
      </c>
      <c r="AW480" t="s">
        <v>74</v>
      </c>
      <c r="AX480" t="s">
        <v>74</v>
      </c>
      <c r="AY480" t="s">
        <v>74</v>
      </c>
      <c r="AZ480" t="s">
        <v>74</v>
      </c>
      <c r="BA480" t="s">
        <v>74</v>
      </c>
      <c r="BB480" t="s">
        <v>74</v>
      </c>
      <c r="BC480" t="s">
        <v>74</v>
      </c>
      <c r="BD480">
        <v>256</v>
      </c>
      <c r="BE480" t="s">
        <v>9144</v>
      </c>
      <c r="BF480" t="str">
        <f>HYPERLINK("http://dx.doi.org/10.3389/fmars.2016.00256","http://dx.doi.org/10.3389/fmars.2016.00256")</f>
        <v>http://dx.doi.org/10.3389/fmars.2016.00256</v>
      </c>
      <c r="BG480" t="s">
        <v>74</v>
      </c>
      <c r="BH480" t="s">
        <v>74</v>
      </c>
      <c r="BI480">
        <v>13</v>
      </c>
      <c r="BJ480" t="s">
        <v>8870</v>
      </c>
      <c r="BK480" t="s">
        <v>264</v>
      </c>
      <c r="BL480" t="s">
        <v>7314</v>
      </c>
      <c r="BM480" t="s">
        <v>9114</v>
      </c>
      <c r="BN480" t="s">
        <v>74</v>
      </c>
      <c r="BO480" t="s">
        <v>9145</v>
      </c>
      <c r="BP480" t="s">
        <v>74</v>
      </c>
      <c r="BQ480" t="s">
        <v>74</v>
      </c>
      <c r="BR480" t="s">
        <v>100</v>
      </c>
      <c r="BS480" t="s">
        <v>9146</v>
      </c>
      <c r="BT480" t="str">
        <f>HYPERLINK("https%3A%2F%2Fwww.webofscience.com%2Fwos%2Fwoscc%2Ffull-record%2FWOS:000457358000252","View Full Record in Web of Science")</f>
        <v>View Full Record in Web of Science</v>
      </c>
    </row>
    <row r="481" spans="1:72" x14ac:dyDescent="0.15">
      <c r="A481" t="s">
        <v>72</v>
      </c>
      <c r="B481" t="s">
        <v>9147</v>
      </c>
      <c r="C481" t="s">
        <v>74</v>
      </c>
      <c r="D481" t="s">
        <v>74</v>
      </c>
      <c r="E481" t="s">
        <v>74</v>
      </c>
      <c r="F481" t="s">
        <v>9148</v>
      </c>
      <c r="G481" t="s">
        <v>74</v>
      </c>
      <c r="H481" t="s">
        <v>74</v>
      </c>
      <c r="I481" t="s">
        <v>9149</v>
      </c>
      <c r="J481" t="s">
        <v>9097</v>
      </c>
      <c r="K481" t="s">
        <v>74</v>
      </c>
      <c r="L481" t="s">
        <v>74</v>
      </c>
      <c r="M481" t="s">
        <v>200</v>
      </c>
      <c r="N481" t="s">
        <v>79</v>
      </c>
      <c r="O481" t="s">
        <v>74</v>
      </c>
      <c r="P481" t="s">
        <v>74</v>
      </c>
      <c r="Q481" t="s">
        <v>74</v>
      </c>
      <c r="R481" t="s">
        <v>74</v>
      </c>
      <c r="S481" t="s">
        <v>74</v>
      </c>
      <c r="T481" t="s">
        <v>9150</v>
      </c>
      <c r="U481" t="s">
        <v>9151</v>
      </c>
      <c r="V481" t="s">
        <v>9152</v>
      </c>
      <c r="W481" t="s">
        <v>9153</v>
      </c>
      <c r="X481" t="s">
        <v>8621</v>
      </c>
      <c r="Y481" t="s">
        <v>9154</v>
      </c>
      <c r="Z481" t="s">
        <v>9155</v>
      </c>
      <c r="AA481" t="s">
        <v>9156</v>
      </c>
      <c r="AB481" t="s">
        <v>9157</v>
      </c>
      <c r="AC481" t="s">
        <v>9158</v>
      </c>
      <c r="AD481" t="s">
        <v>9158</v>
      </c>
      <c r="AE481" t="s">
        <v>9159</v>
      </c>
      <c r="AF481" t="s">
        <v>74</v>
      </c>
      <c r="AG481">
        <v>88</v>
      </c>
      <c r="AH481">
        <v>31</v>
      </c>
      <c r="AI481">
        <v>32</v>
      </c>
      <c r="AJ481">
        <v>5</v>
      </c>
      <c r="AK481">
        <v>18</v>
      </c>
      <c r="AL481" t="s">
        <v>9028</v>
      </c>
      <c r="AM481" t="s">
        <v>9029</v>
      </c>
      <c r="AN481" t="s">
        <v>9030</v>
      </c>
      <c r="AO481" t="s">
        <v>74</v>
      </c>
      <c r="AP481" t="s">
        <v>9110</v>
      </c>
      <c r="AQ481" t="s">
        <v>74</v>
      </c>
      <c r="AR481" t="s">
        <v>9111</v>
      </c>
      <c r="AS481" t="s">
        <v>9112</v>
      </c>
      <c r="AT481" t="s">
        <v>74</v>
      </c>
      <c r="AU481">
        <v>2016</v>
      </c>
      <c r="AV481">
        <v>3</v>
      </c>
      <c r="AW481" t="s">
        <v>74</v>
      </c>
      <c r="AX481" t="s">
        <v>74</v>
      </c>
      <c r="AY481" t="s">
        <v>74</v>
      </c>
      <c r="AZ481" t="s">
        <v>74</v>
      </c>
      <c r="BA481" t="s">
        <v>74</v>
      </c>
      <c r="BB481" t="s">
        <v>74</v>
      </c>
      <c r="BC481" t="s">
        <v>74</v>
      </c>
      <c r="BD481">
        <v>260</v>
      </c>
      <c r="BE481" t="s">
        <v>9160</v>
      </c>
      <c r="BF481" t="str">
        <f>HYPERLINK("http://dx.doi.org/10.3389/fmars.2016.00260","http://dx.doi.org/10.3389/fmars.2016.00260")</f>
        <v>http://dx.doi.org/10.3389/fmars.2016.00260</v>
      </c>
      <c r="BG481" t="s">
        <v>74</v>
      </c>
      <c r="BH481" t="s">
        <v>74</v>
      </c>
      <c r="BI481">
        <v>17</v>
      </c>
      <c r="BJ481" t="s">
        <v>8870</v>
      </c>
      <c r="BK481" t="s">
        <v>264</v>
      </c>
      <c r="BL481" t="s">
        <v>7314</v>
      </c>
      <c r="BM481" t="s">
        <v>9114</v>
      </c>
      <c r="BN481" t="s">
        <v>74</v>
      </c>
      <c r="BO481" t="s">
        <v>2110</v>
      </c>
      <c r="BP481" t="s">
        <v>74</v>
      </c>
      <c r="BQ481" t="s">
        <v>74</v>
      </c>
      <c r="BR481" t="s">
        <v>100</v>
      </c>
      <c r="BS481" t="s">
        <v>9161</v>
      </c>
      <c r="BT481" t="str">
        <f>HYPERLINK("https%3A%2F%2Fwww.webofscience.com%2Fwos%2Fwoscc%2Ffull-record%2FWOS:000457358000256","View Full Record in Web of Science")</f>
        <v>View Full Record in Web of Science</v>
      </c>
    </row>
    <row r="482" spans="1:72" x14ac:dyDescent="0.15">
      <c r="A482" t="s">
        <v>72</v>
      </c>
      <c r="B482" t="s">
        <v>9162</v>
      </c>
      <c r="C482" t="s">
        <v>74</v>
      </c>
      <c r="D482" t="s">
        <v>74</v>
      </c>
      <c r="E482" t="s">
        <v>74</v>
      </c>
      <c r="F482" t="s">
        <v>9163</v>
      </c>
      <c r="G482" t="s">
        <v>74</v>
      </c>
      <c r="H482" t="s">
        <v>74</v>
      </c>
      <c r="I482" t="s">
        <v>9164</v>
      </c>
      <c r="J482" t="s">
        <v>9097</v>
      </c>
      <c r="K482" t="s">
        <v>74</v>
      </c>
      <c r="L482" t="s">
        <v>74</v>
      </c>
      <c r="M482" t="s">
        <v>200</v>
      </c>
      <c r="N482" t="s">
        <v>79</v>
      </c>
      <c r="O482" t="s">
        <v>74</v>
      </c>
      <c r="P482" t="s">
        <v>74</v>
      </c>
      <c r="Q482" t="s">
        <v>74</v>
      </c>
      <c r="R482" t="s">
        <v>74</v>
      </c>
      <c r="S482" t="s">
        <v>74</v>
      </c>
      <c r="T482" t="s">
        <v>9165</v>
      </c>
      <c r="U482" t="s">
        <v>9166</v>
      </c>
      <c r="V482" t="s">
        <v>9167</v>
      </c>
      <c r="W482" t="s">
        <v>9168</v>
      </c>
      <c r="X482" t="s">
        <v>9169</v>
      </c>
      <c r="Y482" t="s">
        <v>9170</v>
      </c>
      <c r="Z482" t="s">
        <v>9171</v>
      </c>
      <c r="AA482" t="s">
        <v>9172</v>
      </c>
      <c r="AB482" t="s">
        <v>9173</v>
      </c>
      <c r="AC482" t="s">
        <v>9174</v>
      </c>
      <c r="AD482" t="s">
        <v>9175</v>
      </c>
      <c r="AE482" t="s">
        <v>9176</v>
      </c>
      <c r="AF482" t="s">
        <v>74</v>
      </c>
      <c r="AG482">
        <v>156</v>
      </c>
      <c r="AH482">
        <v>18</v>
      </c>
      <c r="AI482">
        <v>19</v>
      </c>
      <c r="AJ482">
        <v>4</v>
      </c>
      <c r="AK482">
        <v>24</v>
      </c>
      <c r="AL482" t="s">
        <v>9028</v>
      </c>
      <c r="AM482" t="s">
        <v>9029</v>
      </c>
      <c r="AN482" t="s">
        <v>9030</v>
      </c>
      <c r="AO482" t="s">
        <v>74</v>
      </c>
      <c r="AP482" t="s">
        <v>9110</v>
      </c>
      <c r="AQ482" t="s">
        <v>74</v>
      </c>
      <c r="AR482" t="s">
        <v>9111</v>
      </c>
      <c r="AS482" t="s">
        <v>9112</v>
      </c>
      <c r="AT482" t="s">
        <v>74</v>
      </c>
      <c r="AU482">
        <v>2016</v>
      </c>
      <c r="AV482">
        <v>3</v>
      </c>
      <c r="AW482" t="s">
        <v>74</v>
      </c>
      <c r="AX482" t="s">
        <v>74</v>
      </c>
      <c r="AY482" t="s">
        <v>74</v>
      </c>
      <c r="AZ482" t="s">
        <v>74</v>
      </c>
      <c r="BA482" t="s">
        <v>74</v>
      </c>
      <c r="BB482" t="s">
        <v>74</v>
      </c>
      <c r="BC482" t="s">
        <v>74</v>
      </c>
      <c r="BD482">
        <v>132</v>
      </c>
      <c r="BE482" t="s">
        <v>9177</v>
      </c>
      <c r="BF482" t="str">
        <f>HYPERLINK("http://dx.doi.org/10.3389/fmars.2016.00132","http://dx.doi.org/10.3389/fmars.2016.00132")</f>
        <v>http://dx.doi.org/10.3389/fmars.2016.00132</v>
      </c>
      <c r="BG482" t="s">
        <v>74</v>
      </c>
      <c r="BH482" t="s">
        <v>74</v>
      </c>
      <c r="BI482">
        <v>19</v>
      </c>
      <c r="BJ482" t="s">
        <v>8870</v>
      </c>
      <c r="BK482" t="s">
        <v>264</v>
      </c>
      <c r="BL482" t="s">
        <v>7314</v>
      </c>
      <c r="BM482" t="s">
        <v>9114</v>
      </c>
      <c r="BN482" t="s">
        <v>74</v>
      </c>
      <c r="BO482" t="s">
        <v>9178</v>
      </c>
      <c r="BP482" t="s">
        <v>74</v>
      </c>
      <c r="BQ482" t="s">
        <v>74</v>
      </c>
      <c r="BR482" t="s">
        <v>100</v>
      </c>
      <c r="BS482" t="s">
        <v>9179</v>
      </c>
      <c r="BT482" t="str">
        <f>HYPERLINK("https%3A%2F%2Fwww.webofscience.com%2Fwos%2Fwoscc%2Ffull-record%2FWOS:000457358000129","View Full Record in Web of Science")</f>
        <v>View Full Record in Web of Science</v>
      </c>
    </row>
    <row r="483" spans="1:72" x14ac:dyDescent="0.15">
      <c r="A483" t="s">
        <v>72</v>
      </c>
      <c r="B483" t="s">
        <v>9180</v>
      </c>
      <c r="C483" t="s">
        <v>74</v>
      </c>
      <c r="D483" t="s">
        <v>74</v>
      </c>
      <c r="E483" t="s">
        <v>74</v>
      </c>
      <c r="F483" t="s">
        <v>9181</v>
      </c>
      <c r="G483" t="s">
        <v>74</v>
      </c>
      <c r="H483" t="s">
        <v>74</v>
      </c>
      <c r="I483" t="s">
        <v>9182</v>
      </c>
      <c r="J483" t="s">
        <v>9097</v>
      </c>
      <c r="K483" t="s">
        <v>74</v>
      </c>
      <c r="L483" t="s">
        <v>74</v>
      </c>
      <c r="M483" t="s">
        <v>200</v>
      </c>
      <c r="N483" t="s">
        <v>79</v>
      </c>
      <c r="O483" t="s">
        <v>74</v>
      </c>
      <c r="P483" t="s">
        <v>74</v>
      </c>
      <c r="Q483" t="s">
        <v>74</v>
      </c>
      <c r="R483" t="s">
        <v>74</v>
      </c>
      <c r="S483" t="s">
        <v>74</v>
      </c>
      <c r="T483" t="s">
        <v>9183</v>
      </c>
      <c r="U483" t="s">
        <v>9184</v>
      </c>
      <c r="V483" t="s">
        <v>9185</v>
      </c>
      <c r="W483" t="s">
        <v>9186</v>
      </c>
      <c r="X483" t="s">
        <v>9187</v>
      </c>
      <c r="Y483" t="s">
        <v>9188</v>
      </c>
      <c r="Z483" t="s">
        <v>9189</v>
      </c>
      <c r="AA483" t="s">
        <v>9190</v>
      </c>
      <c r="AB483" t="s">
        <v>9191</v>
      </c>
      <c r="AC483" t="s">
        <v>9192</v>
      </c>
      <c r="AD483" t="s">
        <v>9193</v>
      </c>
      <c r="AE483" t="s">
        <v>9194</v>
      </c>
      <c r="AF483" t="s">
        <v>74</v>
      </c>
      <c r="AG483">
        <v>83</v>
      </c>
      <c r="AH483">
        <v>39</v>
      </c>
      <c r="AI483">
        <v>41</v>
      </c>
      <c r="AJ483">
        <v>4</v>
      </c>
      <c r="AK483">
        <v>36</v>
      </c>
      <c r="AL483" t="s">
        <v>9028</v>
      </c>
      <c r="AM483" t="s">
        <v>9029</v>
      </c>
      <c r="AN483" t="s">
        <v>9030</v>
      </c>
      <c r="AO483" t="s">
        <v>74</v>
      </c>
      <c r="AP483" t="s">
        <v>9110</v>
      </c>
      <c r="AQ483" t="s">
        <v>74</v>
      </c>
      <c r="AR483" t="s">
        <v>9111</v>
      </c>
      <c r="AS483" t="s">
        <v>9112</v>
      </c>
      <c r="AT483" t="s">
        <v>74</v>
      </c>
      <c r="AU483">
        <v>2016</v>
      </c>
      <c r="AV483">
        <v>3</v>
      </c>
      <c r="AW483" t="s">
        <v>74</v>
      </c>
      <c r="AX483" t="s">
        <v>74</v>
      </c>
      <c r="AY483" t="s">
        <v>74</v>
      </c>
      <c r="AZ483" t="s">
        <v>74</v>
      </c>
      <c r="BA483" t="s">
        <v>74</v>
      </c>
      <c r="BB483" t="s">
        <v>74</v>
      </c>
      <c r="BC483" t="s">
        <v>74</v>
      </c>
      <c r="BD483">
        <v>201</v>
      </c>
      <c r="BE483" t="s">
        <v>9195</v>
      </c>
      <c r="BF483" t="str">
        <f>HYPERLINK("http://dx.doi.org/10.3389/fmars.2016.00201","http://dx.doi.org/10.3389/fmars.2016.00201")</f>
        <v>http://dx.doi.org/10.3389/fmars.2016.00201</v>
      </c>
      <c r="BG483" t="s">
        <v>74</v>
      </c>
      <c r="BH483" t="s">
        <v>74</v>
      </c>
      <c r="BI483">
        <v>15</v>
      </c>
      <c r="BJ483" t="s">
        <v>8870</v>
      </c>
      <c r="BK483" t="s">
        <v>264</v>
      </c>
      <c r="BL483" t="s">
        <v>7314</v>
      </c>
      <c r="BM483" t="s">
        <v>9114</v>
      </c>
      <c r="BN483" t="s">
        <v>74</v>
      </c>
      <c r="BO483" t="s">
        <v>8797</v>
      </c>
      <c r="BP483" t="s">
        <v>74</v>
      </c>
      <c r="BQ483" t="s">
        <v>74</v>
      </c>
      <c r="BR483" t="s">
        <v>100</v>
      </c>
      <c r="BS483" t="s">
        <v>9196</v>
      </c>
      <c r="BT483" t="str">
        <f>HYPERLINK("https%3A%2F%2Fwww.webofscience.com%2Fwos%2Fwoscc%2Ffull-record%2FWOS:000457358000198","View Full Record in Web of Science")</f>
        <v>View Full Record in Web of Science</v>
      </c>
    </row>
    <row r="484" spans="1:72" x14ac:dyDescent="0.15">
      <c r="A484" t="s">
        <v>72</v>
      </c>
      <c r="B484" t="s">
        <v>9197</v>
      </c>
      <c r="C484" t="s">
        <v>74</v>
      </c>
      <c r="D484" t="s">
        <v>74</v>
      </c>
      <c r="E484" t="s">
        <v>74</v>
      </c>
      <c r="F484" t="s">
        <v>9198</v>
      </c>
      <c r="G484" t="s">
        <v>74</v>
      </c>
      <c r="H484" t="s">
        <v>74</v>
      </c>
      <c r="I484" t="s">
        <v>9199</v>
      </c>
      <c r="J484" t="s">
        <v>9097</v>
      </c>
      <c r="K484" t="s">
        <v>74</v>
      </c>
      <c r="L484" t="s">
        <v>74</v>
      </c>
      <c r="M484" t="s">
        <v>200</v>
      </c>
      <c r="N484" t="s">
        <v>79</v>
      </c>
      <c r="O484" t="s">
        <v>74</v>
      </c>
      <c r="P484" t="s">
        <v>74</v>
      </c>
      <c r="Q484" t="s">
        <v>74</v>
      </c>
      <c r="R484" t="s">
        <v>74</v>
      </c>
      <c r="S484" t="s">
        <v>74</v>
      </c>
      <c r="T484" t="s">
        <v>9200</v>
      </c>
      <c r="U484" t="s">
        <v>9201</v>
      </c>
      <c r="V484" t="s">
        <v>9202</v>
      </c>
      <c r="W484" t="s">
        <v>9203</v>
      </c>
      <c r="X484" t="s">
        <v>9204</v>
      </c>
      <c r="Y484" t="s">
        <v>9205</v>
      </c>
      <c r="Z484" t="s">
        <v>9206</v>
      </c>
      <c r="AA484" t="s">
        <v>9207</v>
      </c>
      <c r="AB484" t="s">
        <v>9208</v>
      </c>
      <c r="AC484" t="s">
        <v>9209</v>
      </c>
      <c r="AD484" t="s">
        <v>9210</v>
      </c>
      <c r="AE484" t="s">
        <v>9211</v>
      </c>
      <c r="AF484" t="s">
        <v>74</v>
      </c>
      <c r="AG484">
        <v>80</v>
      </c>
      <c r="AH484">
        <v>27</v>
      </c>
      <c r="AI484">
        <v>31</v>
      </c>
      <c r="AJ484">
        <v>1</v>
      </c>
      <c r="AK484">
        <v>15</v>
      </c>
      <c r="AL484" t="s">
        <v>9028</v>
      </c>
      <c r="AM484" t="s">
        <v>9029</v>
      </c>
      <c r="AN484" t="s">
        <v>9030</v>
      </c>
      <c r="AO484" t="s">
        <v>74</v>
      </c>
      <c r="AP484" t="s">
        <v>9110</v>
      </c>
      <c r="AQ484" t="s">
        <v>74</v>
      </c>
      <c r="AR484" t="s">
        <v>9111</v>
      </c>
      <c r="AS484" t="s">
        <v>9112</v>
      </c>
      <c r="AT484" t="s">
        <v>74</v>
      </c>
      <c r="AU484">
        <v>2016</v>
      </c>
      <c r="AV484">
        <v>3</v>
      </c>
      <c r="AW484" t="s">
        <v>74</v>
      </c>
      <c r="AX484" t="s">
        <v>74</v>
      </c>
      <c r="AY484" t="s">
        <v>74</v>
      </c>
      <c r="AZ484" t="s">
        <v>74</v>
      </c>
      <c r="BA484" t="s">
        <v>74</v>
      </c>
      <c r="BB484" t="s">
        <v>74</v>
      </c>
      <c r="BC484" t="s">
        <v>74</v>
      </c>
      <c r="BD484">
        <v>214</v>
      </c>
      <c r="BE484" t="s">
        <v>9212</v>
      </c>
      <c r="BF484" t="str">
        <f>HYPERLINK("http://dx.doi.org/10.3389/fmars.2016.00214","http://dx.doi.org/10.3389/fmars.2016.00214")</f>
        <v>http://dx.doi.org/10.3389/fmars.2016.00214</v>
      </c>
      <c r="BG484" t="s">
        <v>74</v>
      </c>
      <c r="BH484" t="s">
        <v>74</v>
      </c>
      <c r="BI484">
        <v>18</v>
      </c>
      <c r="BJ484" t="s">
        <v>8870</v>
      </c>
      <c r="BK484" t="s">
        <v>264</v>
      </c>
      <c r="BL484" t="s">
        <v>7314</v>
      </c>
      <c r="BM484" t="s">
        <v>9114</v>
      </c>
      <c r="BN484" t="s">
        <v>74</v>
      </c>
      <c r="BO484" t="s">
        <v>99</v>
      </c>
      <c r="BP484" t="s">
        <v>74</v>
      </c>
      <c r="BQ484" t="s">
        <v>74</v>
      </c>
      <c r="BR484" t="s">
        <v>100</v>
      </c>
      <c r="BS484" t="s">
        <v>9213</v>
      </c>
      <c r="BT484" t="str">
        <f>HYPERLINK("https%3A%2F%2Fwww.webofscience.com%2Fwos%2Fwoscc%2Ffull-record%2FWOS:000457358000210","View Full Record in Web of Science")</f>
        <v>View Full Record in Web of Science</v>
      </c>
    </row>
    <row r="485" spans="1:72" x14ac:dyDescent="0.15">
      <c r="A485" t="s">
        <v>72</v>
      </c>
      <c r="B485" t="s">
        <v>9214</v>
      </c>
      <c r="C485" t="s">
        <v>74</v>
      </c>
      <c r="D485" t="s">
        <v>74</v>
      </c>
      <c r="E485" t="s">
        <v>74</v>
      </c>
      <c r="F485" t="s">
        <v>9215</v>
      </c>
      <c r="G485" t="s">
        <v>74</v>
      </c>
      <c r="H485" t="s">
        <v>74</v>
      </c>
      <c r="I485" t="s">
        <v>9216</v>
      </c>
      <c r="J485" t="s">
        <v>9097</v>
      </c>
      <c r="K485" t="s">
        <v>74</v>
      </c>
      <c r="L485" t="s">
        <v>74</v>
      </c>
      <c r="M485" t="s">
        <v>200</v>
      </c>
      <c r="N485" t="s">
        <v>79</v>
      </c>
      <c r="O485" t="s">
        <v>74</v>
      </c>
      <c r="P485" t="s">
        <v>74</v>
      </c>
      <c r="Q485" t="s">
        <v>74</v>
      </c>
      <c r="R485" t="s">
        <v>74</v>
      </c>
      <c r="S485" t="s">
        <v>74</v>
      </c>
      <c r="T485" t="s">
        <v>9217</v>
      </c>
      <c r="U485" t="s">
        <v>9218</v>
      </c>
      <c r="V485" t="s">
        <v>9219</v>
      </c>
      <c r="W485" t="s">
        <v>9220</v>
      </c>
      <c r="X485" t="s">
        <v>9221</v>
      </c>
      <c r="Y485" t="s">
        <v>9222</v>
      </c>
      <c r="Z485" t="s">
        <v>9223</v>
      </c>
      <c r="AA485" t="s">
        <v>9224</v>
      </c>
      <c r="AB485" t="s">
        <v>9225</v>
      </c>
      <c r="AC485" t="s">
        <v>9226</v>
      </c>
      <c r="AD485" t="s">
        <v>9227</v>
      </c>
      <c r="AE485" t="s">
        <v>9228</v>
      </c>
      <c r="AF485" t="s">
        <v>74</v>
      </c>
      <c r="AG485">
        <v>65</v>
      </c>
      <c r="AH485">
        <v>42</v>
      </c>
      <c r="AI485">
        <v>46</v>
      </c>
      <c r="AJ485">
        <v>1</v>
      </c>
      <c r="AK485">
        <v>9</v>
      </c>
      <c r="AL485" t="s">
        <v>9028</v>
      </c>
      <c r="AM485" t="s">
        <v>9029</v>
      </c>
      <c r="AN485" t="s">
        <v>9030</v>
      </c>
      <c r="AO485" t="s">
        <v>74</v>
      </c>
      <c r="AP485" t="s">
        <v>9110</v>
      </c>
      <c r="AQ485" t="s">
        <v>74</v>
      </c>
      <c r="AR485" t="s">
        <v>9111</v>
      </c>
      <c r="AS485" t="s">
        <v>9112</v>
      </c>
      <c r="AT485" t="s">
        <v>74</v>
      </c>
      <c r="AU485">
        <v>2016</v>
      </c>
      <c r="AV485">
        <v>3</v>
      </c>
      <c r="AW485" t="s">
        <v>74</v>
      </c>
      <c r="AX485" t="s">
        <v>74</v>
      </c>
      <c r="AY485" t="s">
        <v>74</v>
      </c>
      <c r="AZ485" t="s">
        <v>74</v>
      </c>
      <c r="BA485" t="s">
        <v>74</v>
      </c>
      <c r="BB485" t="s">
        <v>74</v>
      </c>
      <c r="BC485" t="s">
        <v>74</v>
      </c>
      <c r="BD485">
        <v>29</v>
      </c>
      <c r="BE485" t="s">
        <v>9229</v>
      </c>
      <c r="BF485" t="str">
        <f>HYPERLINK("http://dx.doi.org/10.3389/fmars.2016.00029","http://dx.doi.org/10.3389/fmars.2016.00029")</f>
        <v>http://dx.doi.org/10.3389/fmars.2016.00029</v>
      </c>
      <c r="BG485" t="s">
        <v>74</v>
      </c>
      <c r="BH485" t="s">
        <v>74</v>
      </c>
      <c r="BI485">
        <v>17</v>
      </c>
      <c r="BJ485" t="s">
        <v>8870</v>
      </c>
      <c r="BK485" t="s">
        <v>264</v>
      </c>
      <c r="BL485" t="s">
        <v>7314</v>
      </c>
      <c r="BM485" t="s">
        <v>9114</v>
      </c>
      <c r="BN485" t="s">
        <v>74</v>
      </c>
      <c r="BO485" t="s">
        <v>9230</v>
      </c>
      <c r="BP485" t="s">
        <v>74</v>
      </c>
      <c r="BQ485" t="s">
        <v>74</v>
      </c>
      <c r="BR485" t="s">
        <v>100</v>
      </c>
      <c r="BS485" t="s">
        <v>9231</v>
      </c>
      <c r="BT485" t="str">
        <f>HYPERLINK("https%3A%2F%2Fwww.webofscience.com%2Fwos%2Fwoscc%2Ffull-record%2FWOS:000457358000028","View Full Record in Web of Science")</f>
        <v>View Full Record in Web of Science</v>
      </c>
    </row>
    <row r="486" spans="1:72" x14ac:dyDescent="0.15">
      <c r="A486" t="s">
        <v>72</v>
      </c>
      <c r="B486" t="s">
        <v>9232</v>
      </c>
      <c r="C486" t="s">
        <v>74</v>
      </c>
      <c r="D486" t="s">
        <v>74</v>
      </c>
      <c r="E486" t="s">
        <v>74</v>
      </c>
      <c r="F486" t="s">
        <v>9233</v>
      </c>
      <c r="G486" t="s">
        <v>74</v>
      </c>
      <c r="H486" t="s">
        <v>74</v>
      </c>
      <c r="I486" t="s">
        <v>9234</v>
      </c>
      <c r="J486" t="s">
        <v>9097</v>
      </c>
      <c r="K486" t="s">
        <v>74</v>
      </c>
      <c r="L486" t="s">
        <v>74</v>
      </c>
      <c r="M486" t="s">
        <v>200</v>
      </c>
      <c r="N486" t="s">
        <v>79</v>
      </c>
      <c r="O486" t="s">
        <v>74</v>
      </c>
      <c r="P486" t="s">
        <v>74</v>
      </c>
      <c r="Q486" t="s">
        <v>74</v>
      </c>
      <c r="R486" t="s">
        <v>74</v>
      </c>
      <c r="S486" t="s">
        <v>74</v>
      </c>
      <c r="T486" t="s">
        <v>9235</v>
      </c>
      <c r="U486" t="s">
        <v>9236</v>
      </c>
      <c r="V486" t="s">
        <v>9237</v>
      </c>
      <c r="W486" t="s">
        <v>9238</v>
      </c>
      <c r="X486" t="s">
        <v>9239</v>
      </c>
      <c r="Y486" t="s">
        <v>9240</v>
      </c>
      <c r="Z486" t="s">
        <v>9241</v>
      </c>
      <c r="AA486" t="s">
        <v>9242</v>
      </c>
      <c r="AB486" t="s">
        <v>9243</v>
      </c>
      <c r="AC486" t="s">
        <v>9244</v>
      </c>
      <c r="AD486" t="s">
        <v>9245</v>
      </c>
      <c r="AE486" t="s">
        <v>9246</v>
      </c>
      <c r="AF486" t="s">
        <v>74</v>
      </c>
      <c r="AG486">
        <v>51</v>
      </c>
      <c r="AH486">
        <v>33</v>
      </c>
      <c r="AI486">
        <v>33</v>
      </c>
      <c r="AJ486">
        <v>1</v>
      </c>
      <c r="AK486">
        <v>15</v>
      </c>
      <c r="AL486" t="s">
        <v>9028</v>
      </c>
      <c r="AM486" t="s">
        <v>9029</v>
      </c>
      <c r="AN486" t="s">
        <v>9030</v>
      </c>
      <c r="AO486" t="s">
        <v>74</v>
      </c>
      <c r="AP486" t="s">
        <v>9110</v>
      </c>
      <c r="AQ486" t="s">
        <v>74</v>
      </c>
      <c r="AR486" t="s">
        <v>9111</v>
      </c>
      <c r="AS486" t="s">
        <v>9112</v>
      </c>
      <c r="AT486" t="s">
        <v>74</v>
      </c>
      <c r="AU486">
        <v>2016</v>
      </c>
      <c r="AV486">
        <v>3</v>
      </c>
      <c r="AW486" t="s">
        <v>74</v>
      </c>
      <c r="AX486" t="s">
        <v>74</v>
      </c>
      <c r="AY486" t="s">
        <v>74</v>
      </c>
      <c r="AZ486" t="s">
        <v>74</v>
      </c>
      <c r="BA486" t="s">
        <v>74</v>
      </c>
      <c r="BB486" t="s">
        <v>74</v>
      </c>
      <c r="BC486" t="s">
        <v>74</v>
      </c>
      <c r="BD486">
        <v>136</v>
      </c>
      <c r="BE486" t="s">
        <v>9247</v>
      </c>
      <c r="BF486" t="str">
        <f>HYPERLINK("http://dx.doi.org/10.3389/fmars.2016.00136","http://dx.doi.org/10.3389/fmars.2016.00136")</f>
        <v>http://dx.doi.org/10.3389/fmars.2016.00136</v>
      </c>
      <c r="BG486" t="s">
        <v>74</v>
      </c>
      <c r="BH486" t="s">
        <v>74</v>
      </c>
      <c r="BI486">
        <v>7</v>
      </c>
      <c r="BJ486" t="s">
        <v>8870</v>
      </c>
      <c r="BK486" t="s">
        <v>264</v>
      </c>
      <c r="BL486" t="s">
        <v>7314</v>
      </c>
      <c r="BM486" t="s">
        <v>9114</v>
      </c>
      <c r="BN486" t="s">
        <v>74</v>
      </c>
      <c r="BO486" t="s">
        <v>8797</v>
      </c>
      <c r="BP486" t="s">
        <v>74</v>
      </c>
      <c r="BQ486" t="s">
        <v>74</v>
      </c>
      <c r="BR486" t="s">
        <v>100</v>
      </c>
      <c r="BS486" t="s">
        <v>9248</v>
      </c>
      <c r="BT486" t="str">
        <f>HYPERLINK("https%3A%2F%2Fwww.webofscience.com%2Fwos%2Fwoscc%2Ffull-record%2FWOS:000457358000133","View Full Record in Web of Science")</f>
        <v>View Full Record in Web of Science</v>
      </c>
    </row>
    <row r="487" spans="1:72" x14ac:dyDescent="0.15">
      <c r="A487" t="s">
        <v>72</v>
      </c>
      <c r="B487" t="s">
        <v>9249</v>
      </c>
      <c r="C487" t="s">
        <v>74</v>
      </c>
      <c r="D487" t="s">
        <v>74</v>
      </c>
      <c r="E487" t="s">
        <v>74</v>
      </c>
      <c r="F487" t="s">
        <v>9250</v>
      </c>
      <c r="G487" t="s">
        <v>74</v>
      </c>
      <c r="H487" t="s">
        <v>74</v>
      </c>
      <c r="I487" t="s">
        <v>9251</v>
      </c>
      <c r="J487" t="s">
        <v>9097</v>
      </c>
      <c r="K487" t="s">
        <v>74</v>
      </c>
      <c r="L487" t="s">
        <v>74</v>
      </c>
      <c r="M487" t="s">
        <v>200</v>
      </c>
      <c r="N487" t="s">
        <v>79</v>
      </c>
      <c r="O487" t="s">
        <v>74</v>
      </c>
      <c r="P487" t="s">
        <v>74</v>
      </c>
      <c r="Q487" t="s">
        <v>74</v>
      </c>
      <c r="R487" t="s">
        <v>74</v>
      </c>
      <c r="S487" t="s">
        <v>74</v>
      </c>
      <c r="T487" t="s">
        <v>9252</v>
      </c>
      <c r="U487" t="s">
        <v>9253</v>
      </c>
      <c r="V487" t="s">
        <v>9254</v>
      </c>
      <c r="W487" t="s">
        <v>9255</v>
      </c>
      <c r="X487" t="s">
        <v>9256</v>
      </c>
      <c r="Y487" t="s">
        <v>9257</v>
      </c>
      <c r="Z487" t="s">
        <v>9258</v>
      </c>
      <c r="AA487" t="s">
        <v>9259</v>
      </c>
      <c r="AB487" t="s">
        <v>9260</v>
      </c>
      <c r="AC487" t="s">
        <v>9261</v>
      </c>
      <c r="AD487" t="s">
        <v>9262</v>
      </c>
      <c r="AE487" t="s">
        <v>9263</v>
      </c>
      <c r="AF487" t="s">
        <v>74</v>
      </c>
      <c r="AG487">
        <v>102</v>
      </c>
      <c r="AH487">
        <v>101</v>
      </c>
      <c r="AI487">
        <v>111</v>
      </c>
      <c r="AJ487">
        <v>5</v>
      </c>
      <c r="AK487">
        <v>40</v>
      </c>
      <c r="AL487" t="s">
        <v>9028</v>
      </c>
      <c r="AM487" t="s">
        <v>9029</v>
      </c>
      <c r="AN487" t="s">
        <v>9030</v>
      </c>
      <c r="AO487" t="s">
        <v>74</v>
      </c>
      <c r="AP487" t="s">
        <v>9110</v>
      </c>
      <c r="AQ487" t="s">
        <v>74</v>
      </c>
      <c r="AR487" t="s">
        <v>9111</v>
      </c>
      <c r="AS487" t="s">
        <v>9112</v>
      </c>
      <c r="AT487" t="s">
        <v>74</v>
      </c>
      <c r="AU487">
        <v>2016</v>
      </c>
      <c r="AV487">
        <v>3</v>
      </c>
      <c r="AW487" t="s">
        <v>74</v>
      </c>
      <c r="AX487" t="s">
        <v>74</v>
      </c>
      <c r="AY487" t="s">
        <v>74</v>
      </c>
      <c r="AZ487" t="s">
        <v>74</v>
      </c>
      <c r="BA487" t="s">
        <v>74</v>
      </c>
      <c r="BB487" t="s">
        <v>74</v>
      </c>
      <c r="BC487" t="s">
        <v>74</v>
      </c>
      <c r="BD487">
        <v>92</v>
      </c>
      <c r="BE487" t="s">
        <v>9264</v>
      </c>
      <c r="BF487" t="str">
        <f>HYPERLINK("http://dx.doi.org/10.3389/fmars.2016.00092","http://dx.doi.org/10.3389/fmars.2016.00092")</f>
        <v>http://dx.doi.org/10.3389/fmars.2016.00092</v>
      </c>
      <c r="BG487" t="s">
        <v>74</v>
      </c>
      <c r="BH487" t="s">
        <v>74</v>
      </c>
      <c r="BI487">
        <v>14</v>
      </c>
      <c r="BJ487" t="s">
        <v>8870</v>
      </c>
      <c r="BK487" t="s">
        <v>264</v>
      </c>
      <c r="BL487" t="s">
        <v>7314</v>
      </c>
      <c r="BM487" t="s">
        <v>9114</v>
      </c>
      <c r="BN487" t="s">
        <v>74</v>
      </c>
      <c r="BO487" t="s">
        <v>523</v>
      </c>
      <c r="BP487" t="s">
        <v>74</v>
      </c>
      <c r="BQ487" t="s">
        <v>74</v>
      </c>
      <c r="BR487" t="s">
        <v>100</v>
      </c>
      <c r="BS487" t="s">
        <v>9265</v>
      </c>
      <c r="BT487" t="str">
        <f>HYPERLINK("https%3A%2F%2Fwww.webofscience.com%2Fwos%2Fwoscc%2Ffull-record%2FWOS:000457358000090","View Full Record in Web of Science")</f>
        <v>View Full Record in Web of Science</v>
      </c>
    </row>
    <row r="488" spans="1:72" x14ac:dyDescent="0.15">
      <c r="A488" t="s">
        <v>72</v>
      </c>
      <c r="B488" t="s">
        <v>9266</v>
      </c>
      <c r="C488" t="s">
        <v>74</v>
      </c>
      <c r="D488" t="s">
        <v>74</v>
      </c>
      <c r="E488" t="s">
        <v>74</v>
      </c>
      <c r="F488" t="s">
        <v>9267</v>
      </c>
      <c r="G488" t="s">
        <v>74</v>
      </c>
      <c r="H488" t="s">
        <v>74</v>
      </c>
      <c r="I488" t="s">
        <v>9268</v>
      </c>
      <c r="J488" t="s">
        <v>9097</v>
      </c>
      <c r="K488" t="s">
        <v>74</v>
      </c>
      <c r="L488" t="s">
        <v>74</v>
      </c>
      <c r="M488" t="s">
        <v>200</v>
      </c>
      <c r="N488" t="s">
        <v>79</v>
      </c>
      <c r="O488" t="s">
        <v>74</v>
      </c>
      <c r="P488" t="s">
        <v>74</v>
      </c>
      <c r="Q488" t="s">
        <v>74</v>
      </c>
      <c r="R488" t="s">
        <v>74</v>
      </c>
      <c r="S488" t="s">
        <v>74</v>
      </c>
      <c r="T488" t="s">
        <v>9269</v>
      </c>
      <c r="U488" t="s">
        <v>9270</v>
      </c>
      <c r="V488" t="s">
        <v>9271</v>
      </c>
      <c r="W488" t="s">
        <v>9272</v>
      </c>
      <c r="X488" t="s">
        <v>9273</v>
      </c>
      <c r="Y488" t="s">
        <v>9274</v>
      </c>
      <c r="Z488" t="s">
        <v>9275</v>
      </c>
      <c r="AA488" t="s">
        <v>9276</v>
      </c>
      <c r="AB488" t="s">
        <v>9277</v>
      </c>
      <c r="AC488" t="s">
        <v>9278</v>
      </c>
      <c r="AD488" t="s">
        <v>9279</v>
      </c>
      <c r="AE488" t="s">
        <v>9280</v>
      </c>
      <c r="AF488" t="s">
        <v>74</v>
      </c>
      <c r="AG488">
        <v>61</v>
      </c>
      <c r="AH488">
        <v>36</v>
      </c>
      <c r="AI488">
        <v>39</v>
      </c>
      <c r="AJ488">
        <v>0</v>
      </c>
      <c r="AK488">
        <v>7</v>
      </c>
      <c r="AL488" t="s">
        <v>9028</v>
      </c>
      <c r="AM488" t="s">
        <v>9029</v>
      </c>
      <c r="AN488" t="s">
        <v>9030</v>
      </c>
      <c r="AO488" t="s">
        <v>74</v>
      </c>
      <c r="AP488" t="s">
        <v>9110</v>
      </c>
      <c r="AQ488" t="s">
        <v>74</v>
      </c>
      <c r="AR488" t="s">
        <v>9111</v>
      </c>
      <c r="AS488" t="s">
        <v>9112</v>
      </c>
      <c r="AT488" t="s">
        <v>74</v>
      </c>
      <c r="AU488">
        <v>2016</v>
      </c>
      <c r="AV488">
        <v>3</v>
      </c>
      <c r="AW488" t="s">
        <v>74</v>
      </c>
      <c r="AX488" t="s">
        <v>74</v>
      </c>
      <c r="AY488" t="s">
        <v>74</v>
      </c>
      <c r="AZ488" t="s">
        <v>74</v>
      </c>
      <c r="BA488" t="s">
        <v>74</v>
      </c>
      <c r="BB488" t="s">
        <v>74</v>
      </c>
      <c r="BC488" t="s">
        <v>74</v>
      </c>
      <c r="BD488">
        <v>172</v>
      </c>
      <c r="BE488" t="s">
        <v>9281</v>
      </c>
      <c r="BF488" t="str">
        <f>HYPERLINK("http://dx.doi.org/10.3389/fmars.2016.00172","http://dx.doi.org/10.3389/fmars.2016.00172")</f>
        <v>http://dx.doi.org/10.3389/fmars.2016.00172</v>
      </c>
      <c r="BG488" t="s">
        <v>74</v>
      </c>
      <c r="BH488" t="s">
        <v>74</v>
      </c>
      <c r="BI488">
        <v>14</v>
      </c>
      <c r="BJ488" t="s">
        <v>8870</v>
      </c>
      <c r="BK488" t="s">
        <v>264</v>
      </c>
      <c r="BL488" t="s">
        <v>7314</v>
      </c>
      <c r="BM488" t="s">
        <v>9114</v>
      </c>
      <c r="BN488" t="s">
        <v>74</v>
      </c>
      <c r="BO488" t="s">
        <v>8797</v>
      </c>
      <c r="BP488" t="s">
        <v>74</v>
      </c>
      <c r="BQ488" t="s">
        <v>74</v>
      </c>
      <c r="BR488" t="s">
        <v>100</v>
      </c>
      <c r="BS488" t="s">
        <v>9282</v>
      </c>
      <c r="BT488" t="str">
        <f>HYPERLINK("https%3A%2F%2Fwww.webofscience.com%2Fwos%2Fwoscc%2Ffull-record%2FWOS:000457358000169","View Full Record in Web of Science")</f>
        <v>View Full Record in Web of Science</v>
      </c>
    </row>
    <row r="489" spans="1:72" x14ac:dyDescent="0.15">
      <c r="A489" t="s">
        <v>72</v>
      </c>
      <c r="B489" t="s">
        <v>9283</v>
      </c>
      <c r="C489" t="s">
        <v>74</v>
      </c>
      <c r="D489" t="s">
        <v>74</v>
      </c>
      <c r="E489" t="s">
        <v>74</v>
      </c>
      <c r="F489" t="s">
        <v>9284</v>
      </c>
      <c r="G489" t="s">
        <v>74</v>
      </c>
      <c r="H489" t="s">
        <v>74</v>
      </c>
      <c r="I489" t="s">
        <v>9285</v>
      </c>
      <c r="J489" t="s">
        <v>9097</v>
      </c>
      <c r="K489" t="s">
        <v>74</v>
      </c>
      <c r="L489" t="s">
        <v>74</v>
      </c>
      <c r="M489" t="s">
        <v>200</v>
      </c>
      <c r="N489" t="s">
        <v>717</v>
      </c>
      <c r="O489" t="s">
        <v>74</v>
      </c>
      <c r="P489" t="s">
        <v>74</v>
      </c>
      <c r="Q489" t="s">
        <v>74</v>
      </c>
      <c r="R489" t="s">
        <v>74</v>
      </c>
      <c r="S489" t="s">
        <v>74</v>
      </c>
      <c r="T489" t="s">
        <v>9286</v>
      </c>
      <c r="U489" t="s">
        <v>9287</v>
      </c>
      <c r="V489" t="s">
        <v>9288</v>
      </c>
      <c r="W489" t="s">
        <v>9289</v>
      </c>
      <c r="X489" t="s">
        <v>9290</v>
      </c>
      <c r="Y489" t="s">
        <v>9291</v>
      </c>
      <c r="Z489" t="s">
        <v>9292</v>
      </c>
      <c r="AA489" t="s">
        <v>9293</v>
      </c>
      <c r="AB489" t="s">
        <v>9294</v>
      </c>
      <c r="AC489" t="s">
        <v>9295</v>
      </c>
      <c r="AD489" t="s">
        <v>9296</v>
      </c>
      <c r="AE489" t="s">
        <v>9297</v>
      </c>
      <c r="AF489" t="s">
        <v>74</v>
      </c>
      <c r="AG489">
        <v>70</v>
      </c>
      <c r="AH489">
        <v>45</v>
      </c>
      <c r="AI489">
        <v>48</v>
      </c>
      <c r="AJ489">
        <v>2</v>
      </c>
      <c r="AK489">
        <v>23</v>
      </c>
      <c r="AL489" t="s">
        <v>9028</v>
      </c>
      <c r="AM489" t="s">
        <v>9029</v>
      </c>
      <c r="AN489" t="s">
        <v>9030</v>
      </c>
      <c r="AO489" t="s">
        <v>74</v>
      </c>
      <c r="AP489" t="s">
        <v>9110</v>
      </c>
      <c r="AQ489" t="s">
        <v>74</v>
      </c>
      <c r="AR489" t="s">
        <v>9111</v>
      </c>
      <c r="AS489" t="s">
        <v>9112</v>
      </c>
      <c r="AT489" t="s">
        <v>74</v>
      </c>
      <c r="AU489">
        <v>2016</v>
      </c>
      <c r="AV489">
        <v>3</v>
      </c>
      <c r="AW489" t="s">
        <v>74</v>
      </c>
      <c r="AX489" t="s">
        <v>74</v>
      </c>
      <c r="AY489" t="s">
        <v>74</v>
      </c>
      <c r="AZ489" t="s">
        <v>74</v>
      </c>
      <c r="BA489" t="s">
        <v>74</v>
      </c>
      <c r="BB489" t="s">
        <v>74</v>
      </c>
      <c r="BC489" t="s">
        <v>74</v>
      </c>
      <c r="BD489">
        <v>94</v>
      </c>
      <c r="BE489" t="s">
        <v>9298</v>
      </c>
      <c r="BF489" t="str">
        <f>HYPERLINK("http://dx.doi.org/10.3389/fmars.2016.00094","http://dx.doi.org/10.3389/fmars.2016.00094")</f>
        <v>http://dx.doi.org/10.3389/fmars.2016.00094</v>
      </c>
      <c r="BG489" t="s">
        <v>74</v>
      </c>
      <c r="BH489" t="s">
        <v>74</v>
      </c>
      <c r="BI489">
        <v>9</v>
      </c>
      <c r="BJ489" t="s">
        <v>8870</v>
      </c>
      <c r="BK489" t="s">
        <v>264</v>
      </c>
      <c r="BL489" t="s">
        <v>7314</v>
      </c>
      <c r="BM489" t="s">
        <v>9114</v>
      </c>
      <c r="BN489" t="s">
        <v>74</v>
      </c>
      <c r="BO489" t="s">
        <v>523</v>
      </c>
      <c r="BP489" t="s">
        <v>74</v>
      </c>
      <c r="BQ489" t="s">
        <v>74</v>
      </c>
      <c r="BR489" t="s">
        <v>100</v>
      </c>
      <c r="BS489" t="s">
        <v>9299</v>
      </c>
      <c r="BT489" t="str">
        <f>HYPERLINK("https%3A%2F%2Fwww.webofscience.com%2Fwos%2Fwoscc%2Ffull-record%2FWOS:000457358000092","View Full Record in Web of Science")</f>
        <v>View Full Record in Web of Science</v>
      </c>
    </row>
    <row r="490" spans="1:72" x14ac:dyDescent="0.15">
      <c r="A490" t="s">
        <v>72</v>
      </c>
      <c r="B490" t="s">
        <v>9300</v>
      </c>
      <c r="C490" t="s">
        <v>74</v>
      </c>
      <c r="D490" t="s">
        <v>74</v>
      </c>
      <c r="E490" t="s">
        <v>74</v>
      </c>
      <c r="F490" t="s">
        <v>9301</v>
      </c>
      <c r="G490" t="s">
        <v>74</v>
      </c>
      <c r="H490" t="s">
        <v>74</v>
      </c>
      <c r="I490" t="s">
        <v>9302</v>
      </c>
      <c r="J490" t="s">
        <v>9303</v>
      </c>
      <c r="K490" t="s">
        <v>74</v>
      </c>
      <c r="L490" t="s">
        <v>74</v>
      </c>
      <c r="M490" t="s">
        <v>200</v>
      </c>
      <c r="N490" t="s">
        <v>79</v>
      </c>
      <c r="O490" t="s">
        <v>74</v>
      </c>
      <c r="P490" t="s">
        <v>74</v>
      </c>
      <c r="Q490" t="s">
        <v>74</v>
      </c>
      <c r="R490" t="s">
        <v>74</v>
      </c>
      <c r="S490" t="s">
        <v>74</v>
      </c>
      <c r="T490" t="s">
        <v>9304</v>
      </c>
      <c r="U490" t="s">
        <v>9305</v>
      </c>
      <c r="V490" t="s">
        <v>9306</v>
      </c>
      <c r="W490" t="s">
        <v>9307</v>
      </c>
      <c r="X490" t="s">
        <v>9308</v>
      </c>
      <c r="Y490" t="s">
        <v>9309</v>
      </c>
      <c r="Z490" t="s">
        <v>9310</v>
      </c>
      <c r="AA490" t="s">
        <v>9311</v>
      </c>
      <c r="AB490" t="s">
        <v>9312</v>
      </c>
      <c r="AC490" t="s">
        <v>9313</v>
      </c>
      <c r="AD490" t="s">
        <v>9313</v>
      </c>
      <c r="AE490" t="s">
        <v>9314</v>
      </c>
      <c r="AF490" t="s">
        <v>74</v>
      </c>
      <c r="AG490">
        <v>89</v>
      </c>
      <c r="AH490">
        <v>104</v>
      </c>
      <c r="AI490">
        <v>117</v>
      </c>
      <c r="AJ490">
        <v>1</v>
      </c>
      <c r="AK490">
        <v>35</v>
      </c>
      <c r="AL490" t="s">
        <v>3560</v>
      </c>
      <c r="AM490" t="s">
        <v>289</v>
      </c>
      <c r="AN490" t="s">
        <v>6124</v>
      </c>
      <c r="AO490" t="s">
        <v>9315</v>
      </c>
      <c r="AP490" t="s">
        <v>9316</v>
      </c>
      <c r="AQ490" t="s">
        <v>74</v>
      </c>
      <c r="AR490" t="s">
        <v>9317</v>
      </c>
      <c r="AS490" t="s">
        <v>9318</v>
      </c>
      <c r="AT490" t="s">
        <v>315</v>
      </c>
      <c r="AU490">
        <v>2016</v>
      </c>
      <c r="AV490">
        <v>76</v>
      </c>
      <c r="AW490">
        <v>1</v>
      </c>
      <c r="AX490" t="s">
        <v>74</v>
      </c>
      <c r="AY490" t="s">
        <v>74</v>
      </c>
      <c r="AZ490" t="s">
        <v>2540</v>
      </c>
      <c r="BA490" t="s">
        <v>74</v>
      </c>
      <c r="BB490">
        <v>75</v>
      </c>
      <c r="BC490">
        <v>96</v>
      </c>
      <c r="BD490" t="s">
        <v>74</v>
      </c>
      <c r="BE490" t="s">
        <v>9319</v>
      </c>
      <c r="BF490" t="str">
        <f>HYPERLINK("http://dx.doi.org/10.1007/s13225-015-0342-9","http://dx.doi.org/10.1007/s13225-015-0342-9")</f>
        <v>http://dx.doi.org/10.1007/s13225-015-0342-9</v>
      </c>
      <c r="BG490" t="s">
        <v>74</v>
      </c>
      <c r="BH490" t="s">
        <v>74</v>
      </c>
      <c r="BI490">
        <v>22</v>
      </c>
      <c r="BJ490" t="s">
        <v>9320</v>
      </c>
      <c r="BK490" t="s">
        <v>264</v>
      </c>
      <c r="BL490" t="s">
        <v>9320</v>
      </c>
      <c r="BM490" t="s">
        <v>9321</v>
      </c>
      <c r="BN490" t="s">
        <v>74</v>
      </c>
      <c r="BO490" t="s">
        <v>74</v>
      </c>
      <c r="BP490" t="s">
        <v>74</v>
      </c>
      <c r="BQ490" t="s">
        <v>74</v>
      </c>
      <c r="BR490" t="s">
        <v>100</v>
      </c>
      <c r="BS490" t="s">
        <v>9322</v>
      </c>
      <c r="BT490" t="str">
        <f>HYPERLINK("https%3A%2F%2Fwww.webofscience.com%2Fwos%2Fwoscc%2Ffull-record%2FWOS:000368367400004","View Full Record in Web of Science")</f>
        <v>View Full Record in Web of Science</v>
      </c>
    </row>
    <row r="491" spans="1:72" x14ac:dyDescent="0.15">
      <c r="A491" t="s">
        <v>72</v>
      </c>
      <c r="B491" t="s">
        <v>9323</v>
      </c>
      <c r="C491" t="s">
        <v>74</v>
      </c>
      <c r="D491" t="s">
        <v>74</v>
      </c>
      <c r="E491" t="s">
        <v>74</v>
      </c>
      <c r="F491" t="s">
        <v>9324</v>
      </c>
      <c r="G491" t="s">
        <v>74</v>
      </c>
      <c r="H491" t="s">
        <v>74</v>
      </c>
      <c r="I491" t="s">
        <v>9325</v>
      </c>
      <c r="J491" t="s">
        <v>9326</v>
      </c>
      <c r="K491" t="s">
        <v>74</v>
      </c>
      <c r="L491" t="s">
        <v>74</v>
      </c>
      <c r="M491" t="s">
        <v>200</v>
      </c>
      <c r="N491" t="s">
        <v>79</v>
      </c>
      <c r="O491" t="s">
        <v>74</v>
      </c>
      <c r="P491" t="s">
        <v>74</v>
      </c>
      <c r="Q491" t="s">
        <v>74</v>
      </c>
      <c r="R491" t="s">
        <v>74</v>
      </c>
      <c r="S491" t="s">
        <v>74</v>
      </c>
      <c r="T491" t="s">
        <v>74</v>
      </c>
      <c r="U491" t="s">
        <v>9327</v>
      </c>
      <c r="V491" t="s">
        <v>9328</v>
      </c>
      <c r="W491" t="s">
        <v>9329</v>
      </c>
      <c r="X491" t="s">
        <v>9330</v>
      </c>
      <c r="Y491" t="s">
        <v>9331</v>
      </c>
      <c r="Z491" t="s">
        <v>9332</v>
      </c>
      <c r="AA491" t="s">
        <v>9333</v>
      </c>
      <c r="AB491" t="s">
        <v>9334</v>
      </c>
      <c r="AC491" t="s">
        <v>9335</v>
      </c>
      <c r="AD491" t="s">
        <v>9336</v>
      </c>
      <c r="AE491" t="s">
        <v>9337</v>
      </c>
      <c r="AF491" t="s">
        <v>74</v>
      </c>
      <c r="AG491">
        <v>15</v>
      </c>
      <c r="AH491">
        <v>14</v>
      </c>
      <c r="AI491">
        <v>14</v>
      </c>
      <c r="AJ491">
        <v>0</v>
      </c>
      <c r="AK491">
        <v>7</v>
      </c>
      <c r="AL491" t="s">
        <v>7609</v>
      </c>
      <c r="AM491" t="s">
        <v>1559</v>
      </c>
      <c r="AN491" t="s">
        <v>7610</v>
      </c>
      <c r="AO491" t="s">
        <v>74</v>
      </c>
      <c r="AP491" t="s">
        <v>9338</v>
      </c>
      <c r="AQ491" t="s">
        <v>74</v>
      </c>
      <c r="AR491" t="s">
        <v>9326</v>
      </c>
      <c r="AS491" t="s">
        <v>9339</v>
      </c>
      <c r="AT491" t="s">
        <v>4470</v>
      </c>
      <c r="AU491">
        <v>2016</v>
      </c>
      <c r="AV491">
        <v>4</v>
      </c>
      <c r="AW491">
        <v>1</v>
      </c>
      <c r="AX491" t="s">
        <v>74</v>
      </c>
      <c r="AY491" t="s">
        <v>74</v>
      </c>
      <c r="AZ491" t="s">
        <v>74</v>
      </c>
      <c r="BA491" t="s">
        <v>74</v>
      </c>
      <c r="BB491" t="s">
        <v>74</v>
      </c>
      <c r="BC491" t="s">
        <v>74</v>
      </c>
      <c r="BD491" t="s">
        <v>9340</v>
      </c>
      <c r="BE491" t="s">
        <v>9341</v>
      </c>
      <c r="BF491" t="str">
        <f>HYPERLINK("http://dx.doi.org/10.1128/genomeA.01600-15","http://dx.doi.org/10.1128/genomeA.01600-15")</f>
        <v>http://dx.doi.org/10.1128/genomeA.01600-15</v>
      </c>
      <c r="BG491" t="s">
        <v>74</v>
      </c>
      <c r="BH491" t="s">
        <v>74</v>
      </c>
      <c r="BI491">
        <v>2</v>
      </c>
      <c r="BJ491" t="s">
        <v>5726</v>
      </c>
      <c r="BK491" t="s">
        <v>96</v>
      </c>
      <c r="BL491" t="s">
        <v>5726</v>
      </c>
      <c r="BM491" t="s">
        <v>9342</v>
      </c>
      <c r="BN491">
        <v>26798103</v>
      </c>
      <c r="BO491" t="s">
        <v>523</v>
      </c>
      <c r="BP491" t="s">
        <v>74</v>
      </c>
      <c r="BQ491" t="s">
        <v>74</v>
      </c>
      <c r="BR491" t="s">
        <v>100</v>
      </c>
      <c r="BS491" t="s">
        <v>9343</v>
      </c>
      <c r="BT491" t="str">
        <f>HYPERLINK("https%3A%2F%2Fwww.webofscience.com%2Fwos%2Fwoscc%2Ffull-record%2FWOS:000460649500096","View Full Record in Web of Science")</f>
        <v>View Full Record in Web of Science</v>
      </c>
    </row>
    <row r="492" spans="1:72" x14ac:dyDescent="0.15">
      <c r="A492" t="s">
        <v>72</v>
      </c>
      <c r="B492" t="s">
        <v>9344</v>
      </c>
      <c r="C492" t="s">
        <v>74</v>
      </c>
      <c r="D492" t="s">
        <v>74</v>
      </c>
      <c r="E492" t="s">
        <v>74</v>
      </c>
      <c r="F492" t="s">
        <v>9345</v>
      </c>
      <c r="G492" t="s">
        <v>74</v>
      </c>
      <c r="H492" t="s">
        <v>74</v>
      </c>
      <c r="I492" t="s">
        <v>9346</v>
      </c>
      <c r="J492" t="s">
        <v>9326</v>
      </c>
      <c r="K492" t="s">
        <v>74</v>
      </c>
      <c r="L492" t="s">
        <v>74</v>
      </c>
      <c r="M492" t="s">
        <v>200</v>
      </c>
      <c r="N492" t="s">
        <v>79</v>
      </c>
      <c r="O492" t="s">
        <v>74</v>
      </c>
      <c r="P492" t="s">
        <v>74</v>
      </c>
      <c r="Q492" t="s">
        <v>74</v>
      </c>
      <c r="R492" t="s">
        <v>74</v>
      </c>
      <c r="S492" t="s">
        <v>74</v>
      </c>
      <c r="T492" t="s">
        <v>74</v>
      </c>
      <c r="U492" t="s">
        <v>74</v>
      </c>
      <c r="V492" t="s">
        <v>9347</v>
      </c>
      <c r="W492" t="s">
        <v>9348</v>
      </c>
      <c r="X492" t="s">
        <v>9349</v>
      </c>
      <c r="Y492" t="s">
        <v>9350</v>
      </c>
      <c r="Z492" t="s">
        <v>9351</v>
      </c>
      <c r="AA492" t="s">
        <v>74</v>
      </c>
      <c r="AB492" t="s">
        <v>9352</v>
      </c>
      <c r="AC492" t="s">
        <v>9353</v>
      </c>
      <c r="AD492" t="s">
        <v>9354</v>
      </c>
      <c r="AE492" t="s">
        <v>9355</v>
      </c>
      <c r="AF492" t="s">
        <v>74</v>
      </c>
      <c r="AG492">
        <v>13</v>
      </c>
      <c r="AH492">
        <v>15</v>
      </c>
      <c r="AI492">
        <v>16</v>
      </c>
      <c r="AJ492">
        <v>0</v>
      </c>
      <c r="AK492">
        <v>7</v>
      </c>
      <c r="AL492" t="s">
        <v>7609</v>
      </c>
      <c r="AM492" t="s">
        <v>1559</v>
      </c>
      <c r="AN492" t="s">
        <v>7610</v>
      </c>
      <c r="AO492" t="s">
        <v>74</v>
      </c>
      <c r="AP492" t="s">
        <v>9338</v>
      </c>
      <c r="AQ492" t="s">
        <v>74</v>
      </c>
      <c r="AR492" t="s">
        <v>9326</v>
      </c>
      <c r="AS492" t="s">
        <v>9339</v>
      </c>
      <c r="AT492" t="s">
        <v>4470</v>
      </c>
      <c r="AU492">
        <v>2016</v>
      </c>
      <c r="AV492">
        <v>4</v>
      </c>
      <c r="AW492">
        <v>1</v>
      </c>
      <c r="AX492" t="s">
        <v>74</v>
      </c>
      <c r="AY492" t="s">
        <v>74</v>
      </c>
      <c r="AZ492" t="s">
        <v>74</v>
      </c>
      <c r="BA492" t="s">
        <v>74</v>
      </c>
      <c r="BB492" t="s">
        <v>74</v>
      </c>
      <c r="BC492" t="s">
        <v>74</v>
      </c>
      <c r="BD492" t="s">
        <v>9356</v>
      </c>
      <c r="BE492" t="s">
        <v>9357</v>
      </c>
      <c r="BF492" t="str">
        <f>HYPERLINK("http://dx.doi.org/10.1128/genomeA.01468-15","http://dx.doi.org/10.1128/genomeA.01468-15")</f>
        <v>http://dx.doi.org/10.1128/genomeA.01468-15</v>
      </c>
      <c r="BG492" t="s">
        <v>74</v>
      </c>
      <c r="BH492" t="s">
        <v>74</v>
      </c>
      <c r="BI492">
        <v>2</v>
      </c>
      <c r="BJ492" t="s">
        <v>5726</v>
      </c>
      <c r="BK492" t="s">
        <v>96</v>
      </c>
      <c r="BL492" t="s">
        <v>5726</v>
      </c>
      <c r="BM492" t="s">
        <v>9342</v>
      </c>
      <c r="BN492">
        <v>26823573</v>
      </c>
      <c r="BO492" t="s">
        <v>523</v>
      </c>
      <c r="BP492" t="s">
        <v>74</v>
      </c>
      <c r="BQ492" t="s">
        <v>74</v>
      </c>
      <c r="BR492" t="s">
        <v>100</v>
      </c>
      <c r="BS492" t="s">
        <v>9358</v>
      </c>
      <c r="BT492" t="str">
        <f>HYPERLINK("https%3A%2F%2Fwww.webofscience.com%2Fwos%2Fwoscc%2Ffull-record%2FWOS:000460649500029","View Full Record in Web of Science")</f>
        <v>View Full Record in Web of Science</v>
      </c>
    </row>
    <row r="493" spans="1:72" x14ac:dyDescent="0.15">
      <c r="A493" t="s">
        <v>72</v>
      </c>
      <c r="B493" t="s">
        <v>9359</v>
      </c>
      <c r="C493" t="s">
        <v>74</v>
      </c>
      <c r="D493" t="s">
        <v>74</v>
      </c>
      <c r="E493" t="s">
        <v>74</v>
      </c>
      <c r="F493" t="s">
        <v>9360</v>
      </c>
      <c r="G493" t="s">
        <v>74</v>
      </c>
      <c r="H493" t="s">
        <v>74</v>
      </c>
      <c r="I493" t="s">
        <v>9361</v>
      </c>
      <c r="J493" t="s">
        <v>9362</v>
      </c>
      <c r="K493" t="s">
        <v>74</v>
      </c>
      <c r="L493" t="s">
        <v>74</v>
      </c>
      <c r="M493" t="s">
        <v>200</v>
      </c>
      <c r="N493" t="s">
        <v>79</v>
      </c>
      <c r="O493" t="s">
        <v>74</v>
      </c>
      <c r="P493" t="s">
        <v>74</v>
      </c>
      <c r="Q493" t="s">
        <v>74</v>
      </c>
      <c r="R493" t="s">
        <v>74</v>
      </c>
      <c r="S493" t="s">
        <v>74</v>
      </c>
      <c r="T493" t="s">
        <v>9363</v>
      </c>
      <c r="U493" t="s">
        <v>9364</v>
      </c>
      <c r="V493" t="s">
        <v>9365</v>
      </c>
      <c r="W493" t="s">
        <v>9366</v>
      </c>
      <c r="X493" t="s">
        <v>9367</v>
      </c>
      <c r="Y493" t="s">
        <v>9368</v>
      </c>
      <c r="Z493" t="s">
        <v>9369</v>
      </c>
      <c r="AA493" t="s">
        <v>74</v>
      </c>
      <c r="AB493" t="s">
        <v>9370</v>
      </c>
      <c r="AC493" t="s">
        <v>74</v>
      </c>
      <c r="AD493" t="s">
        <v>74</v>
      </c>
      <c r="AE493" t="s">
        <v>74</v>
      </c>
      <c r="AF493" t="s">
        <v>74</v>
      </c>
      <c r="AG493">
        <v>179</v>
      </c>
      <c r="AH493">
        <v>74</v>
      </c>
      <c r="AI493">
        <v>78</v>
      </c>
      <c r="AJ493">
        <v>0</v>
      </c>
      <c r="AK493">
        <v>16</v>
      </c>
      <c r="AL493" t="s">
        <v>9371</v>
      </c>
      <c r="AM493" t="s">
        <v>3175</v>
      </c>
      <c r="AN493" t="s">
        <v>9372</v>
      </c>
      <c r="AO493" t="s">
        <v>9373</v>
      </c>
      <c r="AP493" t="s">
        <v>9374</v>
      </c>
      <c r="AQ493" t="s">
        <v>74</v>
      </c>
      <c r="AR493" t="s">
        <v>9375</v>
      </c>
      <c r="AS493" t="s">
        <v>9376</v>
      </c>
      <c r="AT493" t="s">
        <v>74</v>
      </c>
      <c r="AU493">
        <v>2016</v>
      </c>
      <c r="AV493">
        <v>50</v>
      </c>
      <c r="AW493">
        <v>1</v>
      </c>
      <c r="AX493" t="s">
        <v>74</v>
      </c>
      <c r="AY493" t="s">
        <v>74</v>
      </c>
      <c r="AZ493" t="s">
        <v>2540</v>
      </c>
      <c r="BA493" t="s">
        <v>74</v>
      </c>
      <c r="BB493">
        <v>3</v>
      </c>
      <c r="BC493">
        <v>25</v>
      </c>
      <c r="BD493" t="s">
        <v>74</v>
      </c>
      <c r="BE493" t="s">
        <v>9377</v>
      </c>
      <c r="BF493" t="str">
        <f>HYPERLINK("http://dx.doi.org/10.2343/geochemj.2.0377","http://dx.doi.org/10.2343/geochemj.2.0377")</f>
        <v>http://dx.doi.org/10.2343/geochemj.2.0377</v>
      </c>
      <c r="BG493" t="s">
        <v>74</v>
      </c>
      <c r="BH493" t="s">
        <v>74</v>
      </c>
      <c r="BI493">
        <v>23</v>
      </c>
      <c r="BJ493" t="s">
        <v>4474</v>
      </c>
      <c r="BK493" t="s">
        <v>264</v>
      </c>
      <c r="BL493" t="s">
        <v>4474</v>
      </c>
      <c r="BM493" t="s">
        <v>9378</v>
      </c>
      <c r="BN493" t="s">
        <v>74</v>
      </c>
      <c r="BO493" t="s">
        <v>99</v>
      </c>
      <c r="BP493" t="s">
        <v>74</v>
      </c>
      <c r="BQ493" t="s">
        <v>74</v>
      </c>
      <c r="BR493" t="s">
        <v>100</v>
      </c>
      <c r="BS493" t="s">
        <v>9379</v>
      </c>
      <c r="BT493" t="str">
        <f>HYPERLINK("https%3A%2F%2Fwww.webofscience.com%2Fwos%2Fwoscc%2Ffull-record%2FWOS:000383256900002","View Full Record in Web of Science")</f>
        <v>View Full Record in Web of Science</v>
      </c>
    </row>
    <row r="494" spans="1:72" x14ac:dyDescent="0.15">
      <c r="A494" t="s">
        <v>72</v>
      </c>
      <c r="B494" t="s">
        <v>9380</v>
      </c>
      <c r="C494" t="s">
        <v>74</v>
      </c>
      <c r="D494" t="s">
        <v>74</v>
      </c>
      <c r="E494" t="s">
        <v>74</v>
      </c>
      <c r="F494" t="s">
        <v>9381</v>
      </c>
      <c r="G494" t="s">
        <v>74</v>
      </c>
      <c r="H494" t="s">
        <v>74</v>
      </c>
      <c r="I494" t="s">
        <v>9382</v>
      </c>
      <c r="J494" t="s">
        <v>9383</v>
      </c>
      <c r="K494" t="s">
        <v>74</v>
      </c>
      <c r="L494" t="s">
        <v>74</v>
      </c>
      <c r="M494" t="s">
        <v>200</v>
      </c>
      <c r="N494" t="s">
        <v>79</v>
      </c>
      <c r="O494" t="s">
        <v>74</v>
      </c>
      <c r="P494" t="s">
        <v>74</v>
      </c>
      <c r="Q494" t="s">
        <v>74</v>
      </c>
      <c r="R494" t="s">
        <v>74</v>
      </c>
      <c r="S494" t="s">
        <v>74</v>
      </c>
      <c r="T494" t="s">
        <v>74</v>
      </c>
      <c r="U494" t="s">
        <v>9384</v>
      </c>
      <c r="V494" t="s">
        <v>9385</v>
      </c>
      <c r="W494" t="s">
        <v>9386</v>
      </c>
      <c r="X494" t="s">
        <v>9387</v>
      </c>
      <c r="Y494" t="s">
        <v>9388</v>
      </c>
      <c r="Z494" t="s">
        <v>9389</v>
      </c>
      <c r="AA494" t="s">
        <v>9390</v>
      </c>
      <c r="AB494" t="s">
        <v>9391</v>
      </c>
      <c r="AC494" t="s">
        <v>9392</v>
      </c>
      <c r="AD494" t="s">
        <v>9393</v>
      </c>
      <c r="AE494" t="s">
        <v>9394</v>
      </c>
      <c r="AF494" t="s">
        <v>74</v>
      </c>
      <c r="AG494">
        <v>26</v>
      </c>
      <c r="AH494">
        <v>18</v>
      </c>
      <c r="AI494">
        <v>19</v>
      </c>
      <c r="AJ494">
        <v>2</v>
      </c>
      <c r="AK494">
        <v>16</v>
      </c>
      <c r="AL494" t="s">
        <v>9395</v>
      </c>
      <c r="AM494" t="s">
        <v>9396</v>
      </c>
      <c r="AN494" t="s">
        <v>9397</v>
      </c>
      <c r="AO494" t="s">
        <v>9398</v>
      </c>
      <c r="AP494" t="s">
        <v>9399</v>
      </c>
      <c r="AQ494" t="s">
        <v>74</v>
      </c>
      <c r="AR494" t="s">
        <v>9400</v>
      </c>
      <c r="AS494" t="s">
        <v>9401</v>
      </c>
      <c r="AT494" t="s">
        <v>74</v>
      </c>
      <c r="AU494">
        <v>2016</v>
      </c>
      <c r="AV494">
        <v>2</v>
      </c>
      <c r="AW494">
        <v>1</v>
      </c>
      <c r="AX494" t="s">
        <v>74</v>
      </c>
      <c r="AY494" t="s">
        <v>74</v>
      </c>
      <c r="AZ494" t="s">
        <v>74</v>
      </c>
      <c r="BA494" t="s">
        <v>74</v>
      </c>
      <c r="BB494">
        <v>44</v>
      </c>
      <c r="BC494" t="s">
        <v>7262</v>
      </c>
      <c r="BD494" t="s">
        <v>74</v>
      </c>
      <c r="BE494" t="s">
        <v>9402</v>
      </c>
      <c r="BF494" t="str">
        <f>HYPERLINK("http://dx.doi.org/10.7185/geochemlet.1605","http://dx.doi.org/10.7185/geochemlet.1605")</f>
        <v>http://dx.doi.org/10.7185/geochemlet.1605</v>
      </c>
      <c r="BG494" t="s">
        <v>74</v>
      </c>
      <c r="BH494" t="s">
        <v>74</v>
      </c>
      <c r="BI494">
        <v>6</v>
      </c>
      <c r="BJ494" t="s">
        <v>4474</v>
      </c>
      <c r="BK494" t="s">
        <v>264</v>
      </c>
      <c r="BL494" t="s">
        <v>4474</v>
      </c>
      <c r="BM494" t="s">
        <v>9403</v>
      </c>
      <c r="BN494" t="s">
        <v>74</v>
      </c>
      <c r="BO494" t="s">
        <v>9145</v>
      </c>
      <c r="BP494" t="s">
        <v>74</v>
      </c>
      <c r="BQ494" t="s">
        <v>74</v>
      </c>
      <c r="BR494" t="s">
        <v>100</v>
      </c>
      <c r="BS494" t="s">
        <v>9404</v>
      </c>
      <c r="BT494" t="str">
        <f>HYPERLINK("https%3A%2F%2Fwww.webofscience.com%2Fwos%2Fwoscc%2Ffull-record%2FWOS:000386348300005","View Full Record in Web of Science")</f>
        <v>View Full Record in Web of Science</v>
      </c>
    </row>
    <row r="495" spans="1:72" x14ac:dyDescent="0.15">
      <c r="A495" t="s">
        <v>193</v>
      </c>
      <c r="B495" t="s">
        <v>9405</v>
      </c>
      <c r="C495" t="s">
        <v>74</v>
      </c>
      <c r="D495" t="s">
        <v>2174</v>
      </c>
      <c r="E495" t="s">
        <v>74</v>
      </c>
      <c r="F495" t="s">
        <v>9406</v>
      </c>
      <c r="G495" t="s">
        <v>74</v>
      </c>
      <c r="H495" t="s">
        <v>74</v>
      </c>
      <c r="I495" t="s">
        <v>9407</v>
      </c>
      <c r="J495" t="s">
        <v>2177</v>
      </c>
      <c r="K495" t="s">
        <v>2178</v>
      </c>
      <c r="L495" t="s">
        <v>74</v>
      </c>
      <c r="M495" t="s">
        <v>200</v>
      </c>
      <c r="N495" t="s">
        <v>201</v>
      </c>
      <c r="O495" t="s">
        <v>74</v>
      </c>
      <c r="P495" t="s">
        <v>74</v>
      </c>
      <c r="Q495" t="s">
        <v>74</v>
      </c>
      <c r="R495" t="s">
        <v>74</v>
      </c>
      <c r="S495" t="s">
        <v>74</v>
      </c>
      <c r="T495" t="s">
        <v>9408</v>
      </c>
      <c r="U495" t="s">
        <v>9409</v>
      </c>
      <c r="V495" t="s">
        <v>9410</v>
      </c>
      <c r="W495" t="s">
        <v>9411</v>
      </c>
      <c r="X495" t="s">
        <v>9412</v>
      </c>
      <c r="Y495" t="s">
        <v>9413</v>
      </c>
      <c r="Z495" t="s">
        <v>9414</v>
      </c>
      <c r="AA495" t="s">
        <v>9415</v>
      </c>
      <c r="AB495" t="s">
        <v>74</v>
      </c>
      <c r="AC495" t="s">
        <v>74</v>
      </c>
      <c r="AD495" t="s">
        <v>74</v>
      </c>
      <c r="AE495" t="s">
        <v>74</v>
      </c>
      <c r="AF495" t="s">
        <v>74</v>
      </c>
      <c r="AG495">
        <v>115</v>
      </c>
      <c r="AH495">
        <v>46</v>
      </c>
      <c r="AI495">
        <v>48</v>
      </c>
      <c r="AJ495">
        <v>0</v>
      </c>
      <c r="AK495">
        <v>5</v>
      </c>
      <c r="AL495" t="s">
        <v>393</v>
      </c>
      <c r="AM495" t="s">
        <v>394</v>
      </c>
      <c r="AN495" t="s">
        <v>395</v>
      </c>
      <c r="AO495" t="s">
        <v>2186</v>
      </c>
      <c r="AP495" t="s">
        <v>2187</v>
      </c>
      <c r="AQ495" t="s">
        <v>2188</v>
      </c>
      <c r="AR495" t="s">
        <v>2189</v>
      </c>
      <c r="AS495" t="s">
        <v>74</v>
      </c>
      <c r="AT495" t="s">
        <v>74</v>
      </c>
      <c r="AU495">
        <v>2016</v>
      </c>
      <c r="AV495" t="s">
        <v>74</v>
      </c>
      <c r="AW495" t="s">
        <v>74</v>
      </c>
      <c r="AX495" t="s">
        <v>74</v>
      </c>
      <c r="AY495" t="s">
        <v>74</v>
      </c>
      <c r="AZ495" t="s">
        <v>74</v>
      </c>
      <c r="BA495" t="s">
        <v>74</v>
      </c>
      <c r="BB495">
        <v>7</v>
      </c>
      <c r="BC495">
        <v>36</v>
      </c>
      <c r="BD495" t="s">
        <v>74</v>
      </c>
      <c r="BE495" t="s">
        <v>9416</v>
      </c>
      <c r="BF495" t="str">
        <f>HYPERLINK("http://dx.doi.org/10.1007/978-3-319-39727-6_2","http://dx.doi.org/10.1007/978-3-319-39727-6_2")</f>
        <v>http://dx.doi.org/10.1007/978-3-319-39727-6_2</v>
      </c>
      <c r="BG495" t="s">
        <v>2191</v>
      </c>
      <c r="BH495" t="s">
        <v>74</v>
      </c>
      <c r="BI495">
        <v>30</v>
      </c>
      <c r="BJ495" t="s">
        <v>2192</v>
      </c>
      <c r="BK495" t="s">
        <v>216</v>
      </c>
      <c r="BL495" t="s">
        <v>2192</v>
      </c>
      <c r="BM495" t="s">
        <v>2193</v>
      </c>
      <c r="BN495" t="s">
        <v>74</v>
      </c>
      <c r="BO495" t="s">
        <v>74</v>
      </c>
      <c r="BP495" t="s">
        <v>74</v>
      </c>
      <c r="BQ495" t="s">
        <v>74</v>
      </c>
      <c r="BR495" t="s">
        <v>100</v>
      </c>
      <c r="BS495" t="s">
        <v>9417</v>
      </c>
      <c r="BT495" t="str">
        <f>HYPERLINK("https%3A%2F%2Fwww.webofscience.com%2Fwos%2Fwoscc%2Ffull-record%2FWOS:000389035800003","View Full Record in Web of Science")</f>
        <v>View Full Record in Web of Science</v>
      </c>
    </row>
    <row r="496" spans="1:72" x14ac:dyDescent="0.15">
      <c r="A496" t="s">
        <v>72</v>
      </c>
      <c r="B496" t="s">
        <v>9418</v>
      </c>
      <c r="C496" t="s">
        <v>74</v>
      </c>
      <c r="D496" t="s">
        <v>74</v>
      </c>
      <c r="E496" t="s">
        <v>74</v>
      </c>
      <c r="F496" t="s">
        <v>9419</v>
      </c>
      <c r="G496" t="s">
        <v>74</v>
      </c>
      <c r="H496" t="s">
        <v>74</v>
      </c>
      <c r="I496" t="s">
        <v>9420</v>
      </c>
      <c r="J496" t="s">
        <v>9421</v>
      </c>
      <c r="K496" t="s">
        <v>74</v>
      </c>
      <c r="L496" t="s">
        <v>74</v>
      </c>
      <c r="M496" t="s">
        <v>200</v>
      </c>
      <c r="N496" t="s">
        <v>79</v>
      </c>
      <c r="O496" t="s">
        <v>74</v>
      </c>
      <c r="P496" t="s">
        <v>74</v>
      </c>
      <c r="Q496" t="s">
        <v>74</v>
      </c>
      <c r="R496" t="s">
        <v>74</v>
      </c>
      <c r="S496" t="s">
        <v>74</v>
      </c>
      <c r="T496" t="s">
        <v>9422</v>
      </c>
      <c r="U496" t="s">
        <v>9423</v>
      </c>
      <c r="V496" t="s">
        <v>9424</v>
      </c>
      <c r="W496" t="s">
        <v>9425</v>
      </c>
      <c r="X496" t="s">
        <v>9426</v>
      </c>
      <c r="Y496" t="s">
        <v>9427</v>
      </c>
      <c r="Z496" t="s">
        <v>9428</v>
      </c>
      <c r="AA496" t="s">
        <v>9429</v>
      </c>
      <c r="AB496" t="s">
        <v>9430</v>
      </c>
      <c r="AC496" t="s">
        <v>9431</v>
      </c>
      <c r="AD496" t="s">
        <v>9432</v>
      </c>
      <c r="AE496" t="s">
        <v>9433</v>
      </c>
      <c r="AF496" t="s">
        <v>74</v>
      </c>
      <c r="AG496">
        <v>39</v>
      </c>
      <c r="AH496">
        <v>21</v>
      </c>
      <c r="AI496">
        <v>22</v>
      </c>
      <c r="AJ496">
        <v>1</v>
      </c>
      <c r="AK496">
        <v>5</v>
      </c>
      <c r="AL496" t="s">
        <v>1385</v>
      </c>
      <c r="AM496" t="s">
        <v>1386</v>
      </c>
      <c r="AN496" t="s">
        <v>1387</v>
      </c>
      <c r="AO496" t="s">
        <v>9434</v>
      </c>
      <c r="AP496" t="s">
        <v>9435</v>
      </c>
      <c r="AQ496" t="s">
        <v>74</v>
      </c>
      <c r="AR496" t="s">
        <v>9436</v>
      </c>
      <c r="AS496" t="s">
        <v>9437</v>
      </c>
      <c r="AT496" t="s">
        <v>315</v>
      </c>
      <c r="AU496">
        <v>2016</v>
      </c>
      <c r="AV496">
        <v>204</v>
      </c>
      <c r="AW496">
        <v>1</v>
      </c>
      <c r="AX496" t="s">
        <v>74</v>
      </c>
      <c r="AY496" t="s">
        <v>74</v>
      </c>
      <c r="AZ496" t="s">
        <v>74</v>
      </c>
      <c r="BA496" t="s">
        <v>74</v>
      </c>
      <c r="BB496">
        <v>324</v>
      </c>
      <c r="BC496">
        <v>330</v>
      </c>
      <c r="BD496" t="s">
        <v>74</v>
      </c>
      <c r="BE496" t="s">
        <v>9438</v>
      </c>
      <c r="BF496" t="str">
        <f>HYPERLINK("http://dx.doi.org/10.1093/gji/ggv461","http://dx.doi.org/10.1093/gji/ggv461")</f>
        <v>http://dx.doi.org/10.1093/gji/ggv461</v>
      </c>
      <c r="BG496" t="s">
        <v>74</v>
      </c>
      <c r="BH496" t="s">
        <v>74</v>
      </c>
      <c r="BI496">
        <v>7</v>
      </c>
      <c r="BJ496" t="s">
        <v>4474</v>
      </c>
      <c r="BK496" t="s">
        <v>264</v>
      </c>
      <c r="BL496" t="s">
        <v>4474</v>
      </c>
      <c r="BM496" t="s">
        <v>9439</v>
      </c>
      <c r="BN496" t="s">
        <v>74</v>
      </c>
      <c r="BO496" t="s">
        <v>9440</v>
      </c>
      <c r="BP496" t="s">
        <v>74</v>
      </c>
      <c r="BQ496" t="s">
        <v>74</v>
      </c>
      <c r="BR496" t="s">
        <v>100</v>
      </c>
      <c r="BS496" t="s">
        <v>9441</v>
      </c>
      <c r="BT496" t="str">
        <f>HYPERLINK("https%3A%2F%2Fwww.webofscience.com%2Fwos%2Fwoscc%2Ffull-record%2FWOS:000368427000020","View Full Record in Web of Science")</f>
        <v>View Full Record in Web of Science</v>
      </c>
    </row>
    <row r="497" spans="1:72" x14ac:dyDescent="0.15">
      <c r="A497" t="s">
        <v>72</v>
      </c>
      <c r="B497" t="s">
        <v>9442</v>
      </c>
      <c r="C497" t="s">
        <v>74</v>
      </c>
      <c r="D497" t="s">
        <v>74</v>
      </c>
      <c r="E497" t="s">
        <v>74</v>
      </c>
      <c r="F497" t="s">
        <v>9443</v>
      </c>
      <c r="G497" t="s">
        <v>74</v>
      </c>
      <c r="H497" t="s">
        <v>74</v>
      </c>
      <c r="I497" t="s">
        <v>9444</v>
      </c>
      <c r="J497" t="s">
        <v>9445</v>
      </c>
      <c r="K497" t="s">
        <v>74</v>
      </c>
      <c r="L497" t="s">
        <v>74</v>
      </c>
      <c r="M497" t="s">
        <v>200</v>
      </c>
      <c r="N497" t="s">
        <v>717</v>
      </c>
      <c r="O497" t="s">
        <v>74</v>
      </c>
      <c r="P497" t="s">
        <v>74</v>
      </c>
      <c r="Q497" t="s">
        <v>74</v>
      </c>
      <c r="R497" t="s">
        <v>74</v>
      </c>
      <c r="S497" t="s">
        <v>74</v>
      </c>
      <c r="T497" t="s">
        <v>74</v>
      </c>
      <c r="U497" t="s">
        <v>9446</v>
      </c>
      <c r="V497" t="s">
        <v>9447</v>
      </c>
      <c r="W497" t="s">
        <v>9448</v>
      </c>
      <c r="X497" t="s">
        <v>9449</v>
      </c>
      <c r="Y497" t="s">
        <v>9450</v>
      </c>
      <c r="Z497" t="s">
        <v>9451</v>
      </c>
      <c r="AA497" t="s">
        <v>74</v>
      </c>
      <c r="AB497" t="s">
        <v>74</v>
      </c>
      <c r="AC497" t="s">
        <v>9452</v>
      </c>
      <c r="AD497" t="s">
        <v>9452</v>
      </c>
      <c r="AE497" t="s">
        <v>9453</v>
      </c>
      <c r="AF497" t="s">
        <v>74</v>
      </c>
      <c r="AG497">
        <v>34</v>
      </c>
      <c r="AH497">
        <v>1</v>
      </c>
      <c r="AI497">
        <v>1</v>
      </c>
      <c r="AJ497">
        <v>0</v>
      </c>
      <c r="AK497">
        <v>1</v>
      </c>
      <c r="AL497" t="s">
        <v>3560</v>
      </c>
      <c r="AM497" t="s">
        <v>289</v>
      </c>
      <c r="AN497" t="s">
        <v>6124</v>
      </c>
      <c r="AO497" t="s">
        <v>9454</v>
      </c>
      <c r="AP497" t="s">
        <v>74</v>
      </c>
      <c r="AQ497" t="s">
        <v>74</v>
      </c>
      <c r="AR497" t="s">
        <v>9455</v>
      </c>
      <c r="AS497" t="s">
        <v>9456</v>
      </c>
      <c r="AT497" t="s">
        <v>74</v>
      </c>
      <c r="AU497">
        <v>2016</v>
      </c>
      <c r="AV497">
        <v>3</v>
      </c>
      <c r="AW497" t="s">
        <v>74</v>
      </c>
      <c r="AX497" t="s">
        <v>74</v>
      </c>
      <c r="AY497" t="s">
        <v>74</v>
      </c>
      <c r="AZ497" t="s">
        <v>74</v>
      </c>
      <c r="BA497" t="s">
        <v>74</v>
      </c>
      <c r="BB497" t="s">
        <v>74</v>
      </c>
      <c r="BC497" t="s">
        <v>74</v>
      </c>
      <c r="BD497">
        <v>23</v>
      </c>
      <c r="BE497" t="s">
        <v>9457</v>
      </c>
      <c r="BF497" t="str">
        <f>HYPERLINK("http://dx.doi.org/10.1186/s40562-016-0050-7","http://dx.doi.org/10.1186/s40562-016-0050-7")</f>
        <v>http://dx.doi.org/10.1186/s40562-016-0050-7</v>
      </c>
      <c r="BG497" t="s">
        <v>74</v>
      </c>
      <c r="BH497" t="s">
        <v>74</v>
      </c>
      <c r="BI497">
        <v>11</v>
      </c>
      <c r="BJ497" t="s">
        <v>4328</v>
      </c>
      <c r="BK497" t="s">
        <v>96</v>
      </c>
      <c r="BL497" t="s">
        <v>4329</v>
      </c>
      <c r="BM497" t="s">
        <v>9458</v>
      </c>
      <c r="BN497" t="s">
        <v>74</v>
      </c>
      <c r="BO497" t="s">
        <v>99</v>
      </c>
      <c r="BP497" t="s">
        <v>74</v>
      </c>
      <c r="BQ497" t="s">
        <v>74</v>
      </c>
      <c r="BR497" t="s">
        <v>100</v>
      </c>
      <c r="BS497" t="s">
        <v>9459</v>
      </c>
      <c r="BT497" t="str">
        <f>HYPERLINK("https%3A%2F%2Fwww.webofscience.com%2Fwos%2Fwoscc%2Ffull-record%2FWOS:000445927600023","View Full Record in Web of Science")</f>
        <v>View Full Record in Web of Science</v>
      </c>
    </row>
    <row r="498" spans="1:72" x14ac:dyDescent="0.15">
      <c r="A498" t="s">
        <v>72</v>
      </c>
      <c r="B498" t="s">
        <v>9460</v>
      </c>
      <c r="C498" t="s">
        <v>74</v>
      </c>
      <c r="D498" t="s">
        <v>74</v>
      </c>
      <c r="E498" t="s">
        <v>74</v>
      </c>
      <c r="F498" t="s">
        <v>9461</v>
      </c>
      <c r="G498" t="s">
        <v>74</v>
      </c>
      <c r="H498" t="s">
        <v>74</v>
      </c>
      <c r="I498" t="s">
        <v>9462</v>
      </c>
      <c r="J498" t="s">
        <v>9445</v>
      </c>
      <c r="K498" t="s">
        <v>74</v>
      </c>
      <c r="L498" t="s">
        <v>74</v>
      </c>
      <c r="M498" t="s">
        <v>200</v>
      </c>
      <c r="N498" t="s">
        <v>717</v>
      </c>
      <c r="O498" t="s">
        <v>74</v>
      </c>
      <c r="P498" t="s">
        <v>74</v>
      </c>
      <c r="Q498" t="s">
        <v>74</v>
      </c>
      <c r="R498" t="s">
        <v>74</v>
      </c>
      <c r="S498" t="s">
        <v>74</v>
      </c>
      <c r="T498" t="s">
        <v>9463</v>
      </c>
      <c r="U498" t="s">
        <v>9464</v>
      </c>
      <c r="V498" t="s">
        <v>9465</v>
      </c>
      <c r="W498" t="s">
        <v>9466</v>
      </c>
      <c r="X498" t="s">
        <v>9467</v>
      </c>
      <c r="Y498" t="s">
        <v>9468</v>
      </c>
      <c r="Z498" t="s">
        <v>9469</v>
      </c>
      <c r="AA498" t="s">
        <v>9470</v>
      </c>
      <c r="AB498" t="s">
        <v>74</v>
      </c>
      <c r="AC498" t="s">
        <v>9471</v>
      </c>
      <c r="AD498" t="s">
        <v>9472</v>
      </c>
      <c r="AE498" t="s">
        <v>9473</v>
      </c>
      <c r="AF498" t="s">
        <v>74</v>
      </c>
      <c r="AG498">
        <v>93</v>
      </c>
      <c r="AH498">
        <v>65</v>
      </c>
      <c r="AI498">
        <v>70</v>
      </c>
      <c r="AJ498">
        <v>1</v>
      </c>
      <c r="AK498">
        <v>15</v>
      </c>
      <c r="AL498" t="s">
        <v>3560</v>
      </c>
      <c r="AM498" t="s">
        <v>289</v>
      </c>
      <c r="AN498" t="s">
        <v>6124</v>
      </c>
      <c r="AO498" t="s">
        <v>9454</v>
      </c>
      <c r="AP498" t="s">
        <v>74</v>
      </c>
      <c r="AQ498" t="s">
        <v>74</v>
      </c>
      <c r="AR498" t="s">
        <v>9455</v>
      </c>
      <c r="AS498" t="s">
        <v>9456</v>
      </c>
      <c r="AT498" t="s">
        <v>74</v>
      </c>
      <c r="AU498">
        <v>2016</v>
      </c>
      <c r="AV498">
        <v>3</v>
      </c>
      <c r="AW498" t="s">
        <v>74</v>
      </c>
      <c r="AX498" t="s">
        <v>74</v>
      </c>
      <c r="AY498" t="s">
        <v>74</v>
      </c>
      <c r="AZ498" t="s">
        <v>74</v>
      </c>
      <c r="BA498" t="s">
        <v>74</v>
      </c>
      <c r="BB498" t="s">
        <v>74</v>
      </c>
      <c r="BC498" t="s">
        <v>74</v>
      </c>
      <c r="BD498">
        <v>13</v>
      </c>
      <c r="BE498" t="s">
        <v>9474</v>
      </c>
      <c r="BF498" t="str">
        <f>HYPERLINK("http://dx.doi.org/10.1186/s40562-016-0045-4","http://dx.doi.org/10.1186/s40562-016-0045-4")</f>
        <v>http://dx.doi.org/10.1186/s40562-016-0045-4</v>
      </c>
      <c r="BG498" t="s">
        <v>74</v>
      </c>
      <c r="BH498" t="s">
        <v>74</v>
      </c>
      <c r="BI498">
        <v>14</v>
      </c>
      <c r="BJ498" t="s">
        <v>4328</v>
      </c>
      <c r="BK498" t="s">
        <v>96</v>
      </c>
      <c r="BL498" t="s">
        <v>4329</v>
      </c>
      <c r="BM498" t="s">
        <v>9458</v>
      </c>
      <c r="BN498" t="s">
        <v>74</v>
      </c>
      <c r="BO498" t="s">
        <v>99</v>
      </c>
      <c r="BP498" t="s">
        <v>74</v>
      </c>
      <c r="BQ498" t="s">
        <v>74</v>
      </c>
      <c r="BR498" t="s">
        <v>100</v>
      </c>
      <c r="BS498" t="s">
        <v>9475</v>
      </c>
      <c r="BT498" t="str">
        <f>HYPERLINK("https%3A%2F%2Fwww.webofscience.com%2Fwos%2Fwoscc%2Ffull-record%2FWOS:000445927600013","View Full Record in Web of Science")</f>
        <v>View Full Record in Web of Science</v>
      </c>
    </row>
    <row r="499" spans="1:72" x14ac:dyDescent="0.15">
      <c r="A499" t="s">
        <v>72</v>
      </c>
      <c r="B499" t="s">
        <v>9476</v>
      </c>
      <c r="C499" t="s">
        <v>74</v>
      </c>
      <c r="D499" t="s">
        <v>74</v>
      </c>
      <c r="E499" t="s">
        <v>74</v>
      </c>
      <c r="F499" t="s">
        <v>9477</v>
      </c>
      <c r="G499" t="s">
        <v>74</v>
      </c>
      <c r="H499" t="s">
        <v>74</v>
      </c>
      <c r="I499" t="s">
        <v>9478</v>
      </c>
      <c r="J499" t="s">
        <v>9479</v>
      </c>
      <c r="K499" t="s">
        <v>74</v>
      </c>
      <c r="L499" t="s">
        <v>74</v>
      </c>
      <c r="M499" t="s">
        <v>200</v>
      </c>
      <c r="N499" t="s">
        <v>79</v>
      </c>
      <c r="O499" t="s">
        <v>74</v>
      </c>
      <c r="P499" t="s">
        <v>74</v>
      </c>
      <c r="Q499" t="s">
        <v>74</v>
      </c>
      <c r="R499" t="s">
        <v>74</v>
      </c>
      <c r="S499" t="s">
        <v>74</v>
      </c>
      <c r="T499" t="s">
        <v>74</v>
      </c>
      <c r="U499" t="s">
        <v>74</v>
      </c>
      <c r="V499" t="s">
        <v>9480</v>
      </c>
      <c r="W499" t="s">
        <v>9481</v>
      </c>
      <c r="X499" t="s">
        <v>468</v>
      </c>
      <c r="Y499" t="s">
        <v>9482</v>
      </c>
      <c r="Z499" t="s">
        <v>9483</v>
      </c>
      <c r="AA499" t="s">
        <v>9484</v>
      </c>
      <c r="AB499" t="s">
        <v>9485</v>
      </c>
      <c r="AC499" t="s">
        <v>9486</v>
      </c>
      <c r="AD499" t="s">
        <v>9487</v>
      </c>
      <c r="AE499" t="s">
        <v>9488</v>
      </c>
      <c r="AF499" t="s">
        <v>74</v>
      </c>
      <c r="AG499">
        <v>21</v>
      </c>
      <c r="AH499">
        <v>3</v>
      </c>
      <c r="AI499">
        <v>3</v>
      </c>
      <c r="AJ499">
        <v>1</v>
      </c>
      <c r="AK499">
        <v>3</v>
      </c>
      <c r="AL499" t="s">
        <v>358</v>
      </c>
      <c r="AM499" t="s">
        <v>359</v>
      </c>
      <c r="AN499" t="s">
        <v>3238</v>
      </c>
      <c r="AO499" t="s">
        <v>9489</v>
      </c>
      <c r="AP499" t="s">
        <v>9490</v>
      </c>
      <c r="AQ499" t="s">
        <v>74</v>
      </c>
      <c r="AR499" t="s">
        <v>9491</v>
      </c>
      <c r="AS499" t="s">
        <v>9492</v>
      </c>
      <c r="AT499" t="s">
        <v>74</v>
      </c>
      <c r="AU499">
        <v>2016</v>
      </c>
      <c r="AV499">
        <v>5</v>
      </c>
      <c r="AW499">
        <v>1</v>
      </c>
      <c r="AX499" t="s">
        <v>74</v>
      </c>
      <c r="AY499" t="s">
        <v>74</v>
      </c>
      <c r="AZ499" t="s">
        <v>74</v>
      </c>
      <c r="BA499" t="s">
        <v>74</v>
      </c>
      <c r="BB499">
        <v>65</v>
      </c>
      <c r="BC499">
        <v>73</v>
      </c>
      <c r="BD499" t="s">
        <v>74</v>
      </c>
      <c r="BE499" t="s">
        <v>9493</v>
      </c>
      <c r="BF499" t="str">
        <f>HYPERLINK("http://dx.doi.org/10.5194/gi-5-65-2016","http://dx.doi.org/10.5194/gi-5-65-2016")</f>
        <v>http://dx.doi.org/10.5194/gi-5-65-2016</v>
      </c>
      <c r="BG499" t="s">
        <v>74</v>
      </c>
      <c r="BH499" t="s">
        <v>74</v>
      </c>
      <c r="BI499">
        <v>9</v>
      </c>
      <c r="BJ499" t="s">
        <v>4328</v>
      </c>
      <c r="BK499" t="s">
        <v>264</v>
      </c>
      <c r="BL499" t="s">
        <v>4329</v>
      </c>
      <c r="BM499" t="s">
        <v>9494</v>
      </c>
      <c r="BN499" t="s">
        <v>74</v>
      </c>
      <c r="BO499" t="s">
        <v>3415</v>
      </c>
      <c r="BP499" t="s">
        <v>74</v>
      </c>
      <c r="BQ499" t="s">
        <v>74</v>
      </c>
      <c r="BR499" t="s">
        <v>100</v>
      </c>
      <c r="BS499" t="s">
        <v>9495</v>
      </c>
      <c r="BT499" t="str">
        <f>HYPERLINK("https%3A%2F%2Fwww.webofscience.com%2Fwos%2Fwoscc%2Ffull-record%2FWOS:000378207600006","View Full Record in Web of Science")</f>
        <v>View Full Record in Web of Science</v>
      </c>
    </row>
    <row r="500" spans="1:72" x14ac:dyDescent="0.15">
      <c r="A500" t="s">
        <v>72</v>
      </c>
      <c r="B500" t="s">
        <v>9496</v>
      </c>
      <c r="C500" t="s">
        <v>74</v>
      </c>
      <c r="D500" t="s">
        <v>74</v>
      </c>
      <c r="E500" t="s">
        <v>74</v>
      </c>
      <c r="F500" t="s">
        <v>9497</v>
      </c>
      <c r="G500" t="s">
        <v>74</v>
      </c>
      <c r="H500" t="s">
        <v>74</v>
      </c>
      <c r="I500" t="s">
        <v>9498</v>
      </c>
      <c r="J500" t="s">
        <v>4153</v>
      </c>
      <c r="K500" t="s">
        <v>74</v>
      </c>
      <c r="L500" t="s">
        <v>74</v>
      </c>
      <c r="M500" t="s">
        <v>200</v>
      </c>
      <c r="N500" t="s">
        <v>79</v>
      </c>
      <c r="O500" t="s">
        <v>74</v>
      </c>
      <c r="P500" t="s">
        <v>74</v>
      </c>
      <c r="Q500" t="s">
        <v>74</v>
      </c>
      <c r="R500" t="s">
        <v>74</v>
      </c>
      <c r="S500" t="s">
        <v>74</v>
      </c>
      <c r="T500" t="s">
        <v>74</v>
      </c>
      <c r="U500" t="s">
        <v>9499</v>
      </c>
      <c r="V500" t="s">
        <v>9500</v>
      </c>
      <c r="W500" t="s">
        <v>9501</v>
      </c>
      <c r="X500" t="s">
        <v>9502</v>
      </c>
      <c r="Y500" t="s">
        <v>9503</v>
      </c>
      <c r="Z500" t="s">
        <v>9504</v>
      </c>
      <c r="AA500" t="s">
        <v>9505</v>
      </c>
      <c r="AB500" t="s">
        <v>9506</v>
      </c>
      <c r="AC500" t="s">
        <v>9507</v>
      </c>
      <c r="AD500" t="s">
        <v>9508</v>
      </c>
      <c r="AE500" t="s">
        <v>9509</v>
      </c>
      <c r="AF500" t="s">
        <v>74</v>
      </c>
      <c r="AG500">
        <v>79</v>
      </c>
      <c r="AH500">
        <v>63</v>
      </c>
      <c r="AI500">
        <v>73</v>
      </c>
      <c r="AJ500">
        <v>0</v>
      </c>
      <c r="AK500">
        <v>17</v>
      </c>
      <c r="AL500" t="s">
        <v>358</v>
      </c>
      <c r="AM500" t="s">
        <v>359</v>
      </c>
      <c r="AN500" t="s">
        <v>3238</v>
      </c>
      <c r="AO500" t="s">
        <v>4164</v>
      </c>
      <c r="AP500" t="s">
        <v>4165</v>
      </c>
      <c r="AQ500" t="s">
        <v>74</v>
      </c>
      <c r="AR500" t="s">
        <v>4166</v>
      </c>
      <c r="AS500" t="s">
        <v>4167</v>
      </c>
      <c r="AT500" t="s">
        <v>74</v>
      </c>
      <c r="AU500">
        <v>2016</v>
      </c>
      <c r="AV500">
        <v>9</v>
      </c>
      <c r="AW500">
        <v>5</v>
      </c>
      <c r="AX500" t="s">
        <v>74</v>
      </c>
      <c r="AY500" t="s">
        <v>74</v>
      </c>
      <c r="AZ500" t="s">
        <v>74</v>
      </c>
      <c r="BA500" t="s">
        <v>74</v>
      </c>
      <c r="BB500">
        <v>1697</v>
      </c>
      <c r="BC500">
        <v>1723</v>
      </c>
      <c r="BD500" t="s">
        <v>74</v>
      </c>
      <c r="BE500" t="s">
        <v>9510</v>
      </c>
      <c r="BF500" t="str">
        <f>HYPERLINK("http://dx.doi.org/10.5194/gmd-9-1697-2016","http://dx.doi.org/10.5194/gmd-9-1697-2016")</f>
        <v>http://dx.doi.org/10.5194/gmd-9-1697-2016</v>
      </c>
      <c r="BG500" t="s">
        <v>74</v>
      </c>
      <c r="BH500" t="s">
        <v>74</v>
      </c>
      <c r="BI500">
        <v>27</v>
      </c>
      <c r="BJ500" t="s">
        <v>95</v>
      </c>
      <c r="BK500" t="s">
        <v>264</v>
      </c>
      <c r="BL500" t="s">
        <v>97</v>
      </c>
      <c r="BM500" t="s">
        <v>9511</v>
      </c>
      <c r="BN500" t="s">
        <v>74</v>
      </c>
      <c r="BO500" t="s">
        <v>2134</v>
      </c>
      <c r="BP500" t="s">
        <v>74</v>
      </c>
      <c r="BQ500" t="s">
        <v>74</v>
      </c>
      <c r="BR500" t="s">
        <v>100</v>
      </c>
      <c r="BS500" t="s">
        <v>9512</v>
      </c>
      <c r="BT500" t="str">
        <f>HYPERLINK("https%3A%2F%2Fwww.webofscience.com%2Fwos%2Fwoscc%2Ffull-record%2FWOS:000376937800004","View Full Record in Web of Science")</f>
        <v>View Full Record in Web of Science</v>
      </c>
    </row>
    <row r="501" spans="1:72" x14ac:dyDescent="0.15">
      <c r="A501" t="s">
        <v>72</v>
      </c>
      <c r="B501" t="s">
        <v>9513</v>
      </c>
      <c r="C501" t="s">
        <v>74</v>
      </c>
      <c r="D501" t="s">
        <v>74</v>
      </c>
      <c r="E501" t="s">
        <v>74</v>
      </c>
      <c r="F501" t="s">
        <v>9514</v>
      </c>
      <c r="G501" t="s">
        <v>74</v>
      </c>
      <c r="H501" t="s">
        <v>74</v>
      </c>
      <c r="I501" t="s">
        <v>9515</v>
      </c>
      <c r="J501" t="s">
        <v>4153</v>
      </c>
      <c r="K501" t="s">
        <v>74</v>
      </c>
      <c r="L501" t="s">
        <v>74</v>
      </c>
      <c r="M501" t="s">
        <v>200</v>
      </c>
      <c r="N501" t="s">
        <v>79</v>
      </c>
      <c r="O501" t="s">
        <v>74</v>
      </c>
      <c r="P501" t="s">
        <v>74</v>
      </c>
      <c r="Q501" t="s">
        <v>74</v>
      </c>
      <c r="R501" t="s">
        <v>74</v>
      </c>
      <c r="S501" t="s">
        <v>74</v>
      </c>
      <c r="T501" t="s">
        <v>74</v>
      </c>
      <c r="U501" t="s">
        <v>9516</v>
      </c>
      <c r="V501" t="s">
        <v>9517</v>
      </c>
      <c r="W501" t="s">
        <v>9518</v>
      </c>
      <c r="X501" t="s">
        <v>9519</v>
      </c>
      <c r="Y501" t="s">
        <v>9520</v>
      </c>
      <c r="Z501" t="s">
        <v>9521</v>
      </c>
      <c r="AA501" t="s">
        <v>9522</v>
      </c>
      <c r="AB501" t="s">
        <v>9523</v>
      </c>
      <c r="AC501" t="s">
        <v>9524</v>
      </c>
      <c r="AD501" t="s">
        <v>9525</v>
      </c>
      <c r="AE501" t="s">
        <v>9526</v>
      </c>
      <c r="AF501" t="s">
        <v>74</v>
      </c>
      <c r="AG501">
        <v>59</v>
      </c>
      <c r="AH501">
        <v>102</v>
      </c>
      <c r="AI501">
        <v>108</v>
      </c>
      <c r="AJ501">
        <v>0</v>
      </c>
      <c r="AK501">
        <v>7</v>
      </c>
      <c r="AL501" t="s">
        <v>358</v>
      </c>
      <c r="AM501" t="s">
        <v>359</v>
      </c>
      <c r="AN501" t="s">
        <v>3238</v>
      </c>
      <c r="AO501" t="s">
        <v>4164</v>
      </c>
      <c r="AP501" t="s">
        <v>4165</v>
      </c>
      <c r="AQ501" t="s">
        <v>74</v>
      </c>
      <c r="AR501" t="s">
        <v>4166</v>
      </c>
      <c r="AS501" t="s">
        <v>4167</v>
      </c>
      <c r="AT501" t="s">
        <v>74</v>
      </c>
      <c r="AU501">
        <v>2016</v>
      </c>
      <c r="AV501">
        <v>9</v>
      </c>
      <c r="AW501">
        <v>7</v>
      </c>
      <c r="AX501" t="s">
        <v>74</v>
      </c>
      <c r="AY501" t="s">
        <v>74</v>
      </c>
      <c r="AZ501" t="s">
        <v>74</v>
      </c>
      <c r="BA501" t="s">
        <v>74</v>
      </c>
      <c r="BB501">
        <v>2471</v>
      </c>
      <c r="BC501">
        <v>2497</v>
      </c>
      <c r="BD501" t="s">
        <v>74</v>
      </c>
      <c r="BE501" t="s">
        <v>9527</v>
      </c>
      <c r="BF501" t="str">
        <f>HYPERLINK("http://dx.doi.org/10.5194/gmd-9-2471-2016","http://dx.doi.org/10.5194/gmd-9-2471-2016")</f>
        <v>http://dx.doi.org/10.5194/gmd-9-2471-2016</v>
      </c>
      <c r="BG501" t="s">
        <v>74</v>
      </c>
      <c r="BH501" t="s">
        <v>74</v>
      </c>
      <c r="BI501">
        <v>27</v>
      </c>
      <c r="BJ501" t="s">
        <v>95</v>
      </c>
      <c r="BK501" t="s">
        <v>264</v>
      </c>
      <c r="BL501" t="s">
        <v>97</v>
      </c>
      <c r="BM501" t="s">
        <v>9528</v>
      </c>
      <c r="BN501" t="s">
        <v>74</v>
      </c>
      <c r="BO501" t="s">
        <v>7860</v>
      </c>
      <c r="BP501" t="s">
        <v>74</v>
      </c>
      <c r="BQ501" t="s">
        <v>74</v>
      </c>
      <c r="BR501" t="s">
        <v>100</v>
      </c>
      <c r="BS501" t="s">
        <v>9529</v>
      </c>
      <c r="BT501" t="str">
        <f>HYPERLINK("https%3A%2F%2Fwww.webofscience.com%2Fwos%2Fwoscc%2Ffull-record%2FWOS:000381432100005","View Full Record in Web of Science")</f>
        <v>View Full Record in Web of Science</v>
      </c>
    </row>
    <row r="502" spans="1:72" x14ac:dyDescent="0.15">
      <c r="A502" t="s">
        <v>72</v>
      </c>
      <c r="B502" t="s">
        <v>9530</v>
      </c>
      <c r="C502" t="s">
        <v>74</v>
      </c>
      <c r="D502" t="s">
        <v>74</v>
      </c>
      <c r="E502" t="s">
        <v>74</v>
      </c>
      <c r="F502" t="s">
        <v>9531</v>
      </c>
      <c r="G502" t="s">
        <v>74</v>
      </c>
      <c r="H502" t="s">
        <v>74</v>
      </c>
      <c r="I502" t="s">
        <v>9532</v>
      </c>
      <c r="J502" t="s">
        <v>4153</v>
      </c>
      <c r="K502" t="s">
        <v>74</v>
      </c>
      <c r="L502" t="s">
        <v>74</v>
      </c>
      <c r="M502" t="s">
        <v>200</v>
      </c>
      <c r="N502" t="s">
        <v>79</v>
      </c>
      <c r="O502" t="s">
        <v>74</v>
      </c>
      <c r="P502" t="s">
        <v>74</v>
      </c>
      <c r="Q502" t="s">
        <v>74</v>
      </c>
      <c r="R502" t="s">
        <v>74</v>
      </c>
      <c r="S502" t="s">
        <v>74</v>
      </c>
      <c r="T502" t="s">
        <v>74</v>
      </c>
      <c r="U502" t="s">
        <v>9533</v>
      </c>
      <c r="V502" t="s">
        <v>9534</v>
      </c>
      <c r="W502" t="s">
        <v>9535</v>
      </c>
      <c r="X502" t="s">
        <v>9536</v>
      </c>
      <c r="Y502" t="s">
        <v>9537</v>
      </c>
      <c r="Z502" t="s">
        <v>9538</v>
      </c>
      <c r="AA502" t="s">
        <v>9539</v>
      </c>
      <c r="AB502" t="s">
        <v>9540</v>
      </c>
      <c r="AC502" t="s">
        <v>9541</v>
      </c>
      <c r="AD502" t="s">
        <v>9542</v>
      </c>
      <c r="AE502" t="s">
        <v>9543</v>
      </c>
      <c r="AF502" t="s">
        <v>74</v>
      </c>
      <c r="AG502">
        <v>178</v>
      </c>
      <c r="AH502">
        <v>82</v>
      </c>
      <c r="AI502">
        <v>84</v>
      </c>
      <c r="AJ502">
        <v>0</v>
      </c>
      <c r="AK502">
        <v>25</v>
      </c>
      <c r="AL502" t="s">
        <v>358</v>
      </c>
      <c r="AM502" t="s">
        <v>359</v>
      </c>
      <c r="AN502" t="s">
        <v>3238</v>
      </c>
      <c r="AO502" t="s">
        <v>4164</v>
      </c>
      <c r="AP502" t="s">
        <v>4165</v>
      </c>
      <c r="AQ502" t="s">
        <v>74</v>
      </c>
      <c r="AR502" t="s">
        <v>4166</v>
      </c>
      <c r="AS502" t="s">
        <v>4167</v>
      </c>
      <c r="AT502" t="s">
        <v>74</v>
      </c>
      <c r="AU502">
        <v>2016</v>
      </c>
      <c r="AV502">
        <v>9</v>
      </c>
      <c r="AW502">
        <v>7</v>
      </c>
      <c r="AX502" t="s">
        <v>74</v>
      </c>
      <c r="AY502" t="s">
        <v>74</v>
      </c>
      <c r="AZ502" t="s">
        <v>74</v>
      </c>
      <c r="BA502" t="s">
        <v>74</v>
      </c>
      <c r="BB502">
        <v>2563</v>
      </c>
      <c r="BC502">
        <v>2587</v>
      </c>
      <c r="BD502" t="s">
        <v>74</v>
      </c>
      <c r="BE502" t="s">
        <v>9544</v>
      </c>
      <c r="BF502" t="str">
        <f>HYPERLINK("http://dx.doi.org/10.5194/gmd-9-2563-2016","http://dx.doi.org/10.5194/gmd-9-2563-2016")</f>
        <v>http://dx.doi.org/10.5194/gmd-9-2563-2016</v>
      </c>
      <c r="BG502" t="s">
        <v>74</v>
      </c>
      <c r="BH502" t="s">
        <v>74</v>
      </c>
      <c r="BI502">
        <v>25</v>
      </c>
      <c r="BJ502" t="s">
        <v>95</v>
      </c>
      <c r="BK502" t="s">
        <v>264</v>
      </c>
      <c r="BL502" t="s">
        <v>97</v>
      </c>
      <c r="BM502" t="s">
        <v>9528</v>
      </c>
      <c r="BN502" t="s">
        <v>74</v>
      </c>
      <c r="BO502" t="s">
        <v>2134</v>
      </c>
      <c r="BP502" t="s">
        <v>74</v>
      </c>
      <c r="BQ502" t="s">
        <v>74</v>
      </c>
      <c r="BR502" t="s">
        <v>100</v>
      </c>
      <c r="BS502" t="s">
        <v>9545</v>
      </c>
      <c r="BT502" t="str">
        <f>HYPERLINK("https%3A%2F%2Fwww.webofscience.com%2Fwos%2Fwoscc%2Ffull-record%2FWOS:000381432100009","View Full Record in Web of Science")</f>
        <v>View Full Record in Web of Science</v>
      </c>
    </row>
    <row r="503" spans="1:72" x14ac:dyDescent="0.15">
      <c r="A503" t="s">
        <v>72</v>
      </c>
      <c r="B503" t="s">
        <v>9546</v>
      </c>
      <c r="C503" t="s">
        <v>74</v>
      </c>
      <c r="D503" t="s">
        <v>74</v>
      </c>
      <c r="E503" t="s">
        <v>74</v>
      </c>
      <c r="F503" t="s">
        <v>9547</v>
      </c>
      <c r="G503" t="s">
        <v>74</v>
      </c>
      <c r="H503" t="s">
        <v>74</v>
      </c>
      <c r="I503" t="s">
        <v>9548</v>
      </c>
      <c r="J503" t="s">
        <v>9549</v>
      </c>
      <c r="K503" t="s">
        <v>74</v>
      </c>
      <c r="L503" t="s">
        <v>74</v>
      </c>
      <c r="M503" t="s">
        <v>200</v>
      </c>
      <c r="N503" t="s">
        <v>79</v>
      </c>
      <c r="O503" t="s">
        <v>74</v>
      </c>
      <c r="P503" t="s">
        <v>74</v>
      </c>
      <c r="Q503" t="s">
        <v>74</v>
      </c>
      <c r="R503" t="s">
        <v>74</v>
      </c>
      <c r="S503" t="s">
        <v>74</v>
      </c>
      <c r="T503" t="s">
        <v>9550</v>
      </c>
      <c r="U503" t="s">
        <v>9551</v>
      </c>
      <c r="V503" t="s">
        <v>9552</v>
      </c>
      <c r="W503" t="s">
        <v>9553</v>
      </c>
      <c r="X503" t="s">
        <v>9554</v>
      </c>
      <c r="Y503" t="s">
        <v>9555</v>
      </c>
      <c r="Z503" t="s">
        <v>74</v>
      </c>
      <c r="AA503" t="s">
        <v>9556</v>
      </c>
      <c r="AB503" t="s">
        <v>9557</v>
      </c>
      <c r="AC503" t="s">
        <v>9558</v>
      </c>
      <c r="AD503" t="s">
        <v>9559</v>
      </c>
      <c r="AE503" t="s">
        <v>9560</v>
      </c>
      <c r="AF503" t="s">
        <v>74</v>
      </c>
      <c r="AG503">
        <v>141</v>
      </c>
      <c r="AH503">
        <v>90</v>
      </c>
      <c r="AI503">
        <v>94</v>
      </c>
      <c r="AJ503">
        <v>1</v>
      </c>
      <c r="AK503">
        <v>23</v>
      </c>
      <c r="AL503" t="s">
        <v>208</v>
      </c>
      <c r="AM503" t="s">
        <v>209</v>
      </c>
      <c r="AN503" t="s">
        <v>7114</v>
      </c>
      <c r="AO503" t="s">
        <v>9561</v>
      </c>
      <c r="AP503" t="s">
        <v>9562</v>
      </c>
      <c r="AQ503" t="s">
        <v>74</v>
      </c>
      <c r="AR503" t="s">
        <v>9563</v>
      </c>
      <c r="AS503" t="s">
        <v>9564</v>
      </c>
      <c r="AT503" t="s">
        <v>315</v>
      </c>
      <c r="AU503">
        <v>2016</v>
      </c>
      <c r="AV503">
        <v>29</v>
      </c>
      <c r="AW503">
        <v>1</v>
      </c>
      <c r="AX503" t="s">
        <v>74</v>
      </c>
      <c r="AY503" t="s">
        <v>74</v>
      </c>
      <c r="AZ503" t="s">
        <v>74</v>
      </c>
      <c r="BA503" t="s">
        <v>74</v>
      </c>
      <c r="BB503">
        <v>136</v>
      </c>
      <c r="BC503">
        <v>152</v>
      </c>
      <c r="BD503" t="s">
        <v>74</v>
      </c>
      <c r="BE503" t="s">
        <v>9565</v>
      </c>
      <c r="BF503" t="str">
        <f>HYPERLINK("http://dx.doi.org/10.1016/j.gr.2014.10.019","http://dx.doi.org/10.1016/j.gr.2014.10.019")</f>
        <v>http://dx.doi.org/10.1016/j.gr.2014.10.019</v>
      </c>
      <c r="BG503" t="s">
        <v>74</v>
      </c>
      <c r="BH503" t="s">
        <v>74</v>
      </c>
      <c r="BI503">
        <v>17</v>
      </c>
      <c r="BJ503" t="s">
        <v>95</v>
      </c>
      <c r="BK503" t="s">
        <v>264</v>
      </c>
      <c r="BL503" t="s">
        <v>97</v>
      </c>
      <c r="BM503" t="s">
        <v>9566</v>
      </c>
      <c r="BN503" t="s">
        <v>74</v>
      </c>
      <c r="BO503" t="s">
        <v>5581</v>
      </c>
      <c r="BP503" t="s">
        <v>74</v>
      </c>
      <c r="BQ503" t="s">
        <v>74</v>
      </c>
      <c r="BR503" t="s">
        <v>100</v>
      </c>
      <c r="BS503" t="s">
        <v>9567</v>
      </c>
      <c r="BT503" t="str">
        <f>HYPERLINK("https%3A%2F%2Fwww.webofscience.com%2Fwos%2Fwoscc%2Ffull-record%2FWOS:000367485100006","View Full Record in Web of Science")</f>
        <v>View Full Record in Web of Science</v>
      </c>
    </row>
    <row r="504" spans="1:72" x14ac:dyDescent="0.15">
      <c r="A504" t="s">
        <v>267</v>
      </c>
      <c r="B504" t="s">
        <v>9568</v>
      </c>
      <c r="C504" t="s">
        <v>74</v>
      </c>
      <c r="D504" t="s">
        <v>1425</v>
      </c>
      <c r="E504" t="s">
        <v>74</v>
      </c>
      <c r="F504" t="s">
        <v>9569</v>
      </c>
      <c r="G504" t="s">
        <v>74</v>
      </c>
      <c r="H504" t="s">
        <v>74</v>
      </c>
      <c r="I504" t="s">
        <v>9570</v>
      </c>
      <c r="J504" t="s">
        <v>1428</v>
      </c>
      <c r="K504" t="s">
        <v>1053</v>
      </c>
      <c r="L504" t="s">
        <v>74</v>
      </c>
      <c r="M504" t="s">
        <v>200</v>
      </c>
      <c r="N504" t="s">
        <v>273</v>
      </c>
      <c r="O504" t="s">
        <v>1429</v>
      </c>
      <c r="P504" t="s">
        <v>1430</v>
      </c>
      <c r="Q504" t="s">
        <v>1129</v>
      </c>
      <c r="R504" t="s">
        <v>74</v>
      </c>
      <c r="S504" t="s">
        <v>74</v>
      </c>
      <c r="T504" t="s">
        <v>9571</v>
      </c>
      <c r="U504" t="s">
        <v>9572</v>
      </c>
      <c r="V504" t="s">
        <v>9573</v>
      </c>
      <c r="W504" t="s">
        <v>9574</v>
      </c>
      <c r="X504" t="s">
        <v>9575</v>
      </c>
      <c r="Y504" t="s">
        <v>9576</v>
      </c>
      <c r="Z504" t="s">
        <v>9577</v>
      </c>
      <c r="AA504" t="s">
        <v>9578</v>
      </c>
      <c r="AB504" t="s">
        <v>9579</v>
      </c>
      <c r="AC504" t="s">
        <v>74</v>
      </c>
      <c r="AD504" t="s">
        <v>74</v>
      </c>
      <c r="AE504" t="s">
        <v>74</v>
      </c>
      <c r="AF504" t="s">
        <v>74</v>
      </c>
      <c r="AG504">
        <v>21</v>
      </c>
      <c r="AH504">
        <v>2</v>
      </c>
      <c r="AI504">
        <v>2</v>
      </c>
      <c r="AJ504">
        <v>1</v>
      </c>
      <c r="AK504">
        <v>1</v>
      </c>
      <c r="AL504" t="s">
        <v>1067</v>
      </c>
      <c r="AM504" t="s">
        <v>1068</v>
      </c>
      <c r="AN504" t="s">
        <v>1069</v>
      </c>
      <c r="AO504" t="s">
        <v>1070</v>
      </c>
      <c r="AP504" t="s">
        <v>1107</v>
      </c>
      <c r="AQ504" t="s">
        <v>1438</v>
      </c>
      <c r="AR504" t="s">
        <v>1072</v>
      </c>
      <c r="AS504" t="s">
        <v>74</v>
      </c>
      <c r="AT504" t="s">
        <v>74</v>
      </c>
      <c r="AU504">
        <v>2016</v>
      </c>
      <c r="AV504">
        <v>9908</v>
      </c>
      <c r="AW504" t="s">
        <v>74</v>
      </c>
      <c r="AX504" t="s">
        <v>74</v>
      </c>
      <c r="AY504" t="s">
        <v>74</v>
      </c>
      <c r="AZ504" t="s">
        <v>74</v>
      </c>
      <c r="BA504" t="s">
        <v>74</v>
      </c>
      <c r="BB504" t="s">
        <v>74</v>
      </c>
      <c r="BC504" t="s">
        <v>74</v>
      </c>
      <c r="BD504">
        <v>990851</v>
      </c>
      <c r="BE504" t="s">
        <v>9580</v>
      </c>
      <c r="BF504" t="str">
        <f>HYPERLINK("http://dx.doi.org/10.1117/12.2233317","http://dx.doi.org/10.1117/12.2233317")</f>
        <v>http://dx.doi.org/10.1117/12.2233317</v>
      </c>
      <c r="BG504" t="s">
        <v>74</v>
      </c>
      <c r="BH504" t="s">
        <v>74</v>
      </c>
      <c r="BI504">
        <v>9</v>
      </c>
      <c r="BJ504" t="s">
        <v>1441</v>
      </c>
      <c r="BK504" t="s">
        <v>293</v>
      </c>
      <c r="BL504" t="s">
        <v>1441</v>
      </c>
      <c r="BM504" t="s">
        <v>1442</v>
      </c>
      <c r="BN504" t="s">
        <v>74</v>
      </c>
      <c r="BO504" t="s">
        <v>431</v>
      </c>
      <c r="BP504" t="s">
        <v>74</v>
      </c>
      <c r="BQ504" t="s">
        <v>74</v>
      </c>
      <c r="BR504" t="s">
        <v>100</v>
      </c>
      <c r="BS504" t="s">
        <v>9581</v>
      </c>
      <c r="BT504" t="str">
        <f>HYPERLINK("https%3A%2F%2Fwww.webofscience.com%2Fwos%2Fwoscc%2Ffull-record%2FWOS:000391509100143","View Full Record in Web of Science")</f>
        <v>View Full Record in Web of Science</v>
      </c>
    </row>
    <row r="505" spans="1:72" x14ac:dyDescent="0.15">
      <c r="A505" t="s">
        <v>72</v>
      </c>
      <c r="B505" t="s">
        <v>9582</v>
      </c>
      <c r="C505" t="s">
        <v>74</v>
      </c>
      <c r="D505" t="s">
        <v>74</v>
      </c>
      <c r="E505" t="s">
        <v>74</v>
      </c>
      <c r="F505" t="s">
        <v>9583</v>
      </c>
      <c r="G505" t="s">
        <v>74</v>
      </c>
      <c r="H505" t="s">
        <v>74</v>
      </c>
      <c r="I505" t="s">
        <v>9584</v>
      </c>
      <c r="J505" t="s">
        <v>9585</v>
      </c>
      <c r="K505" t="s">
        <v>74</v>
      </c>
      <c r="L505" t="s">
        <v>74</v>
      </c>
      <c r="M505" t="s">
        <v>200</v>
      </c>
      <c r="N505" t="s">
        <v>79</v>
      </c>
      <c r="O505" t="s">
        <v>74</v>
      </c>
      <c r="P505" t="s">
        <v>74</v>
      </c>
      <c r="Q505" t="s">
        <v>74</v>
      </c>
      <c r="R505" t="s">
        <v>74</v>
      </c>
      <c r="S505" t="s">
        <v>74</v>
      </c>
      <c r="T505" t="s">
        <v>9586</v>
      </c>
      <c r="U505" t="s">
        <v>9587</v>
      </c>
      <c r="V505" t="s">
        <v>9588</v>
      </c>
      <c r="W505" t="s">
        <v>9589</v>
      </c>
      <c r="X505" t="s">
        <v>9590</v>
      </c>
      <c r="Y505" t="s">
        <v>9591</v>
      </c>
      <c r="Z505" t="s">
        <v>9592</v>
      </c>
      <c r="AA505" t="s">
        <v>9593</v>
      </c>
      <c r="AB505" t="s">
        <v>9594</v>
      </c>
      <c r="AC505" t="s">
        <v>9595</v>
      </c>
      <c r="AD505" t="s">
        <v>9596</v>
      </c>
      <c r="AE505" t="s">
        <v>9597</v>
      </c>
      <c r="AF505" t="s">
        <v>74</v>
      </c>
      <c r="AG505">
        <v>46</v>
      </c>
      <c r="AH505">
        <v>16</v>
      </c>
      <c r="AI505">
        <v>18</v>
      </c>
      <c r="AJ505">
        <v>1</v>
      </c>
      <c r="AK505">
        <v>27</v>
      </c>
      <c r="AL505" t="s">
        <v>9598</v>
      </c>
      <c r="AM505" t="s">
        <v>2100</v>
      </c>
      <c r="AN505" t="s">
        <v>9599</v>
      </c>
      <c r="AO505" t="s">
        <v>9600</v>
      </c>
      <c r="AP505" t="s">
        <v>9601</v>
      </c>
      <c r="AQ505" t="s">
        <v>74</v>
      </c>
      <c r="AR505" t="s">
        <v>9585</v>
      </c>
      <c r="AS505" t="s">
        <v>9602</v>
      </c>
      <c r="AT505" t="s">
        <v>315</v>
      </c>
      <c r="AU505">
        <v>2016</v>
      </c>
      <c r="AV505">
        <v>26</v>
      </c>
      <c r="AW505">
        <v>1</v>
      </c>
      <c r="AX505" t="s">
        <v>74</v>
      </c>
      <c r="AY505" t="s">
        <v>74</v>
      </c>
      <c r="AZ505" t="s">
        <v>74</v>
      </c>
      <c r="BA505" t="s">
        <v>74</v>
      </c>
      <c r="BB505">
        <v>154</v>
      </c>
      <c r="BC505">
        <v>158</v>
      </c>
      <c r="BD505" t="s">
        <v>74</v>
      </c>
      <c r="BE505" t="s">
        <v>9603</v>
      </c>
      <c r="BF505" t="str">
        <f>HYPERLINK("http://dx.doi.org/10.1177/0959683615596827","http://dx.doi.org/10.1177/0959683615596827")</f>
        <v>http://dx.doi.org/10.1177/0959683615596827</v>
      </c>
      <c r="BG505" t="s">
        <v>74</v>
      </c>
      <c r="BH505" t="s">
        <v>74</v>
      </c>
      <c r="BI505">
        <v>5</v>
      </c>
      <c r="BJ505" t="s">
        <v>2247</v>
      </c>
      <c r="BK505" t="s">
        <v>264</v>
      </c>
      <c r="BL505" t="s">
        <v>2248</v>
      </c>
      <c r="BM505" t="s">
        <v>9604</v>
      </c>
      <c r="BN505" t="s">
        <v>74</v>
      </c>
      <c r="BO505" t="s">
        <v>431</v>
      </c>
      <c r="BP505" t="s">
        <v>74</v>
      </c>
      <c r="BQ505" t="s">
        <v>74</v>
      </c>
      <c r="BR505" t="s">
        <v>100</v>
      </c>
      <c r="BS505" t="s">
        <v>9605</v>
      </c>
      <c r="BT505" t="str">
        <f>HYPERLINK("https%3A%2F%2Fwww.webofscience.com%2Fwos%2Fwoscc%2Ffull-record%2FWOS:000367628300014","View Full Record in Web of Science")</f>
        <v>View Full Record in Web of Science</v>
      </c>
    </row>
    <row r="506" spans="1:72" x14ac:dyDescent="0.15">
      <c r="A506" t="s">
        <v>72</v>
      </c>
      <c r="B506" t="s">
        <v>9606</v>
      </c>
      <c r="C506" t="s">
        <v>74</v>
      </c>
      <c r="D506" t="s">
        <v>74</v>
      </c>
      <c r="E506" t="s">
        <v>74</v>
      </c>
      <c r="F506" t="s">
        <v>9607</v>
      </c>
      <c r="G506" t="s">
        <v>74</v>
      </c>
      <c r="H506" t="s">
        <v>74</v>
      </c>
      <c r="I506" t="s">
        <v>9608</v>
      </c>
      <c r="J506" t="s">
        <v>9609</v>
      </c>
      <c r="K506" t="s">
        <v>74</v>
      </c>
      <c r="L506" t="s">
        <v>74</v>
      </c>
      <c r="M506" t="s">
        <v>200</v>
      </c>
      <c r="N506" t="s">
        <v>1639</v>
      </c>
      <c r="O506" t="s">
        <v>9610</v>
      </c>
      <c r="P506" t="s">
        <v>9611</v>
      </c>
      <c r="Q506" t="s">
        <v>9612</v>
      </c>
      <c r="R506" t="s">
        <v>74</v>
      </c>
      <c r="S506" t="s">
        <v>74</v>
      </c>
      <c r="T506" t="s">
        <v>9613</v>
      </c>
      <c r="U506" t="s">
        <v>9614</v>
      </c>
      <c r="V506" t="s">
        <v>9615</v>
      </c>
      <c r="W506" t="s">
        <v>9616</v>
      </c>
      <c r="X506" t="s">
        <v>9617</v>
      </c>
      <c r="Y506" t="s">
        <v>9618</v>
      </c>
      <c r="Z506" t="s">
        <v>9619</v>
      </c>
      <c r="AA506" t="s">
        <v>9620</v>
      </c>
      <c r="AB506" t="s">
        <v>9621</v>
      </c>
      <c r="AC506" t="s">
        <v>9622</v>
      </c>
      <c r="AD506" t="s">
        <v>9623</v>
      </c>
      <c r="AE506" t="s">
        <v>9624</v>
      </c>
      <c r="AF506" t="s">
        <v>74</v>
      </c>
      <c r="AG506">
        <v>70</v>
      </c>
      <c r="AH506">
        <v>30</v>
      </c>
      <c r="AI506">
        <v>32</v>
      </c>
      <c r="AJ506">
        <v>5</v>
      </c>
      <c r="AK506">
        <v>105</v>
      </c>
      <c r="AL506" t="s">
        <v>3560</v>
      </c>
      <c r="AM506" t="s">
        <v>4093</v>
      </c>
      <c r="AN506" t="s">
        <v>6706</v>
      </c>
      <c r="AO506" t="s">
        <v>9625</v>
      </c>
      <c r="AP506" t="s">
        <v>9626</v>
      </c>
      <c r="AQ506" t="s">
        <v>74</v>
      </c>
      <c r="AR506" t="s">
        <v>9609</v>
      </c>
      <c r="AS506" t="s">
        <v>9627</v>
      </c>
      <c r="AT506" t="s">
        <v>315</v>
      </c>
      <c r="AU506">
        <v>2016</v>
      </c>
      <c r="AV506">
        <v>764</v>
      </c>
      <c r="AW506">
        <v>1</v>
      </c>
      <c r="AX506" t="s">
        <v>74</v>
      </c>
      <c r="AY506" t="s">
        <v>74</v>
      </c>
      <c r="AZ506" t="s">
        <v>74</v>
      </c>
      <c r="BA506" t="s">
        <v>74</v>
      </c>
      <c r="BB506">
        <v>157</v>
      </c>
      <c r="BC506">
        <v>170</v>
      </c>
      <c r="BD506" t="s">
        <v>74</v>
      </c>
      <c r="BE506" t="s">
        <v>9628</v>
      </c>
      <c r="BF506" t="str">
        <f>HYPERLINK("http://dx.doi.org/10.1007/s10750-015-2269-2","http://dx.doi.org/10.1007/s10750-015-2269-2")</f>
        <v>http://dx.doi.org/10.1007/s10750-015-2269-2</v>
      </c>
      <c r="BG506" t="s">
        <v>74</v>
      </c>
      <c r="BH506" t="s">
        <v>74</v>
      </c>
      <c r="BI506">
        <v>14</v>
      </c>
      <c r="BJ506" t="s">
        <v>1479</v>
      </c>
      <c r="BK506" t="s">
        <v>1661</v>
      </c>
      <c r="BL506" t="s">
        <v>1479</v>
      </c>
      <c r="BM506" t="s">
        <v>9629</v>
      </c>
      <c r="BN506" t="s">
        <v>74</v>
      </c>
      <c r="BO506" t="s">
        <v>74</v>
      </c>
      <c r="BP506" t="s">
        <v>74</v>
      </c>
      <c r="BQ506" t="s">
        <v>74</v>
      </c>
      <c r="BR506" t="s">
        <v>100</v>
      </c>
      <c r="BS506" t="s">
        <v>9630</v>
      </c>
      <c r="BT506" t="str">
        <f>HYPERLINK("https%3A%2F%2Fwww.webofscience.com%2Fwos%2Fwoscc%2Ffull-record%2FWOS:000365727500013","View Full Record in Web of Science")</f>
        <v>View Full Record in Web of Science</v>
      </c>
    </row>
    <row r="507" spans="1:72" x14ac:dyDescent="0.15">
      <c r="A507" t="s">
        <v>72</v>
      </c>
      <c r="B507" t="s">
        <v>9631</v>
      </c>
      <c r="C507" t="s">
        <v>74</v>
      </c>
      <c r="D507" t="s">
        <v>74</v>
      </c>
      <c r="E507" t="s">
        <v>74</v>
      </c>
      <c r="F507" t="s">
        <v>9632</v>
      </c>
      <c r="G507" t="s">
        <v>74</v>
      </c>
      <c r="H507" t="s">
        <v>74</v>
      </c>
      <c r="I507" t="s">
        <v>9633</v>
      </c>
      <c r="J507" t="s">
        <v>9634</v>
      </c>
      <c r="K507" t="s">
        <v>74</v>
      </c>
      <c r="L507" t="s">
        <v>74</v>
      </c>
      <c r="M507" t="s">
        <v>200</v>
      </c>
      <c r="N507" t="s">
        <v>79</v>
      </c>
      <c r="O507" t="s">
        <v>74</v>
      </c>
      <c r="P507" t="s">
        <v>74</v>
      </c>
      <c r="Q507" t="s">
        <v>74</v>
      </c>
      <c r="R507" t="s">
        <v>74</v>
      </c>
      <c r="S507" t="s">
        <v>74</v>
      </c>
      <c r="T507" t="s">
        <v>74</v>
      </c>
      <c r="U507" t="s">
        <v>9635</v>
      </c>
      <c r="V507" t="s">
        <v>9636</v>
      </c>
      <c r="W507" t="s">
        <v>9637</v>
      </c>
      <c r="X507" t="s">
        <v>9638</v>
      </c>
      <c r="Y507" t="s">
        <v>9639</v>
      </c>
      <c r="Z507" t="s">
        <v>9640</v>
      </c>
      <c r="AA507" t="s">
        <v>9641</v>
      </c>
      <c r="AB507" t="s">
        <v>9642</v>
      </c>
      <c r="AC507" t="s">
        <v>9643</v>
      </c>
      <c r="AD507" t="s">
        <v>9644</v>
      </c>
      <c r="AE507" t="s">
        <v>74</v>
      </c>
      <c r="AF507" t="s">
        <v>74</v>
      </c>
      <c r="AG507">
        <v>100</v>
      </c>
      <c r="AH507">
        <v>17</v>
      </c>
      <c r="AI507">
        <v>18</v>
      </c>
      <c r="AJ507">
        <v>0</v>
      </c>
      <c r="AK507">
        <v>26</v>
      </c>
      <c r="AL507" t="s">
        <v>358</v>
      </c>
      <c r="AM507" t="s">
        <v>359</v>
      </c>
      <c r="AN507" t="s">
        <v>3238</v>
      </c>
      <c r="AO507" t="s">
        <v>9645</v>
      </c>
      <c r="AP507" t="s">
        <v>9646</v>
      </c>
      <c r="AQ507" t="s">
        <v>74</v>
      </c>
      <c r="AR507" t="s">
        <v>9647</v>
      </c>
      <c r="AS507" t="s">
        <v>9648</v>
      </c>
      <c r="AT507" t="s">
        <v>74</v>
      </c>
      <c r="AU507">
        <v>2016</v>
      </c>
      <c r="AV507">
        <v>20</v>
      </c>
      <c r="AW507">
        <v>3</v>
      </c>
      <c r="AX507" t="s">
        <v>74</v>
      </c>
      <c r="AY507" t="s">
        <v>74</v>
      </c>
      <c r="AZ507" t="s">
        <v>74</v>
      </c>
      <c r="BA507" t="s">
        <v>74</v>
      </c>
      <c r="BB507">
        <v>1197</v>
      </c>
      <c r="BC507">
        <v>1210</v>
      </c>
      <c r="BD507" t="s">
        <v>74</v>
      </c>
      <c r="BE507" t="s">
        <v>9649</v>
      </c>
      <c r="BF507" t="str">
        <f>HYPERLINK("http://dx.doi.org/10.5194/hess-20-1197-2016","http://dx.doi.org/10.5194/hess-20-1197-2016")</f>
        <v>http://dx.doi.org/10.5194/hess-20-1197-2016</v>
      </c>
      <c r="BG507" t="s">
        <v>74</v>
      </c>
      <c r="BH507" t="s">
        <v>74</v>
      </c>
      <c r="BI507">
        <v>14</v>
      </c>
      <c r="BJ507" t="s">
        <v>9650</v>
      </c>
      <c r="BK507" t="s">
        <v>264</v>
      </c>
      <c r="BL507" t="s">
        <v>9651</v>
      </c>
      <c r="BM507" t="s">
        <v>9652</v>
      </c>
      <c r="BN507" t="s">
        <v>74</v>
      </c>
      <c r="BO507" t="s">
        <v>2519</v>
      </c>
      <c r="BP507" t="s">
        <v>74</v>
      </c>
      <c r="BQ507" t="s">
        <v>74</v>
      </c>
      <c r="BR507" t="s">
        <v>100</v>
      </c>
      <c r="BS507" t="s">
        <v>9653</v>
      </c>
      <c r="BT507" t="str">
        <f>HYPERLINK("https%3A%2F%2Fwww.webofscience.com%2Fwos%2Fwoscc%2Ffull-record%2FWOS:000377856000013","View Full Record in Web of Science")</f>
        <v>View Full Record in Web of Science</v>
      </c>
    </row>
    <row r="508" spans="1:72" x14ac:dyDescent="0.15">
      <c r="A508" t="s">
        <v>72</v>
      </c>
      <c r="B508" t="s">
        <v>9654</v>
      </c>
      <c r="C508" t="s">
        <v>74</v>
      </c>
      <c r="D508" t="s">
        <v>74</v>
      </c>
      <c r="E508" t="s">
        <v>74</v>
      </c>
      <c r="F508" t="s">
        <v>9655</v>
      </c>
      <c r="G508" t="s">
        <v>74</v>
      </c>
      <c r="H508" t="s">
        <v>74</v>
      </c>
      <c r="I508" t="s">
        <v>9656</v>
      </c>
      <c r="J508" t="s">
        <v>9634</v>
      </c>
      <c r="K508" t="s">
        <v>74</v>
      </c>
      <c r="L508" t="s">
        <v>74</v>
      </c>
      <c r="M508" t="s">
        <v>200</v>
      </c>
      <c r="N508" t="s">
        <v>79</v>
      </c>
      <c r="O508" t="s">
        <v>74</v>
      </c>
      <c r="P508" t="s">
        <v>74</v>
      </c>
      <c r="Q508" t="s">
        <v>74</v>
      </c>
      <c r="R508" t="s">
        <v>74</v>
      </c>
      <c r="S508" t="s">
        <v>74</v>
      </c>
      <c r="T508" t="s">
        <v>74</v>
      </c>
      <c r="U508" t="s">
        <v>9657</v>
      </c>
      <c r="V508" t="s">
        <v>9658</v>
      </c>
      <c r="W508" t="s">
        <v>9659</v>
      </c>
      <c r="X508" t="s">
        <v>9660</v>
      </c>
      <c r="Y508" t="s">
        <v>9661</v>
      </c>
      <c r="Z508" t="s">
        <v>9662</v>
      </c>
      <c r="AA508" t="s">
        <v>9663</v>
      </c>
      <c r="AB508" t="s">
        <v>9664</v>
      </c>
      <c r="AC508" t="s">
        <v>9665</v>
      </c>
      <c r="AD508" t="s">
        <v>9666</v>
      </c>
      <c r="AE508" t="s">
        <v>9667</v>
      </c>
      <c r="AF508" t="s">
        <v>74</v>
      </c>
      <c r="AG508">
        <v>70</v>
      </c>
      <c r="AH508">
        <v>32</v>
      </c>
      <c r="AI508">
        <v>33</v>
      </c>
      <c r="AJ508">
        <v>1</v>
      </c>
      <c r="AK508">
        <v>19</v>
      </c>
      <c r="AL508" t="s">
        <v>358</v>
      </c>
      <c r="AM508" t="s">
        <v>359</v>
      </c>
      <c r="AN508" t="s">
        <v>3238</v>
      </c>
      <c r="AO508" t="s">
        <v>9645</v>
      </c>
      <c r="AP508" t="s">
        <v>9646</v>
      </c>
      <c r="AQ508" t="s">
        <v>74</v>
      </c>
      <c r="AR508" t="s">
        <v>9647</v>
      </c>
      <c r="AS508" t="s">
        <v>9648</v>
      </c>
      <c r="AT508" t="s">
        <v>74</v>
      </c>
      <c r="AU508">
        <v>2016</v>
      </c>
      <c r="AV508">
        <v>20</v>
      </c>
      <c r="AW508">
        <v>5</v>
      </c>
      <c r="AX508" t="s">
        <v>74</v>
      </c>
      <c r="AY508" t="s">
        <v>74</v>
      </c>
      <c r="AZ508" t="s">
        <v>74</v>
      </c>
      <c r="BA508" t="s">
        <v>74</v>
      </c>
      <c r="BB508">
        <v>1703</v>
      </c>
      <c r="BC508">
        <v>1717</v>
      </c>
      <c r="BD508" t="s">
        <v>74</v>
      </c>
      <c r="BE508" t="s">
        <v>9668</v>
      </c>
      <c r="BF508" t="str">
        <f>HYPERLINK("http://dx.doi.org/10.5194/hess-20-1703-2016","http://dx.doi.org/10.5194/hess-20-1703-2016")</f>
        <v>http://dx.doi.org/10.5194/hess-20-1703-2016</v>
      </c>
      <c r="BG508" t="s">
        <v>74</v>
      </c>
      <c r="BH508" t="s">
        <v>74</v>
      </c>
      <c r="BI508">
        <v>15</v>
      </c>
      <c r="BJ508" t="s">
        <v>9650</v>
      </c>
      <c r="BK508" t="s">
        <v>264</v>
      </c>
      <c r="BL508" t="s">
        <v>9651</v>
      </c>
      <c r="BM508" t="s">
        <v>9669</v>
      </c>
      <c r="BN508" t="s">
        <v>74</v>
      </c>
      <c r="BO508" t="s">
        <v>4373</v>
      </c>
      <c r="BP508" t="s">
        <v>74</v>
      </c>
      <c r="BQ508" t="s">
        <v>74</v>
      </c>
      <c r="BR508" t="s">
        <v>100</v>
      </c>
      <c r="BS508" t="s">
        <v>9670</v>
      </c>
      <c r="BT508" t="str">
        <f>HYPERLINK("https%3A%2F%2Fwww.webofscience.com%2Fwos%2Fwoscc%2Ffull-record%2FWOS:000377862900004","View Full Record in Web of Science")</f>
        <v>View Full Record in Web of Science</v>
      </c>
    </row>
    <row r="509" spans="1:72" x14ac:dyDescent="0.15">
      <c r="A509" t="s">
        <v>267</v>
      </c>
      <c r="B509" t="s">
        <v>9671</v>
      </c>
      <c r="C509" t="s">
        <v>74</v>
      </c>
      <c r="D509" t="s">
        <v>9672</v>
      </c>
      <c r="E509" t="s">
        <v>74</v>
      </c>
      <c r="F509" t="s">
        <v>9673</v>
      </c>
      <c r="G509" t="s">
        <v>74</v>
      </c>
      <c r="H509" t="s">
        <v>74</v>
      </c>
      <c r="I509" t="s">
        <v>9674</v>
      </c>
      <c r="J509" t="s">
        <v>9675</v>
      </c>
      <c r="K509" t="s">
        <v>9676</v>
      </c>
      <c r="L509" t="s">
        <v>74</v>
      </c>
      <c r="M509" t="s">
        <v>200</v>
      </c>
      <c r="N509" t="s">
        <v>273</v>
      </c>
      <c r="O509" t="s">
        <v>9677</v>
      </c>
      <c r="P509" t="s">
        <v>9678</v>
      </c>
      <c r="Q509" t="s">
        <v>9679</v>
      </c>
      <c r="R509" t="s">
        <v>74</v>
      </c>
      <c r="S509" t="s">
        <v>74</v>
      </c>
      <c r="T509" t="s">
        <v>9680</v>
      </c>
      <c r="U509" t="s">
        <v>9681</v>
      </c>
      <c r="V509" t="s">
        <v>9682</v>
      </c>
      <c r="W509" t="s">
        <v>9683</v>
      </c>
      <c r="X509" t="s">
        <v>9684</v>
      </c>
      <c r="Y509" t="s">
        <v>9685</v>
      </c>
      <c r="Z509" t="s">
        <v>9686</v>
      </c>
      <c r="AA509" t="s">
        <v>9687</v>
      </c>
      <c r="AB509" t="s">
        <v>9688</v>
      </c>
      <c r="AC509" t="s">
        <v>9689</v>
      </c>
      <c r="AD509" t="s">
        <v>429</v>
      </c>
      <c r="AE509" t="s">
        <v>74</v>
      </c>
      <c r="AF509" t="s">
        <v>74</v>
      </c>
      <c r="AG509">
        <v>27</v>
      </c>
      <c r="AH509">
        <v>2</v>
      </c>
      <c r="AI509">
        <v>2</v>
      </c>
      <c r="AJ509">
        <v>0</v>
      </c>
      <c r="AK509">
        <v>5</v>
      </c>
      <c r="AL509" t="s">
        <v>393</v>
      </c>
      <c r="AM509" t="s">
        <v>394</v>
      </c>
      <c r="AN509" t="s">
        <v>395</v>
      </c>
      <c r="AO509" t="s">
        <v>9690</v>
      </c>
      <c r="AP509" t="s">
        <v>74</v>
      </c>
      <c r="AQ509" t="s">
        <v>9691</v>
      </c>
      <c r="AR509" t="s">
        <v>9692</v>
      </c>
      <c r="AS509" t="s">
        <v>74</v>
      </c>
      <c r="AT509" t="s">
        <v>74</v>
      </c>
      <c r="AU509">
        <v>2016</v>
      </c>
      <c r="AV509">
        <v>143</v>
      </c>
      <c r="AW509" t="s">
        <v>74</v>
      </c>
      <c r="AX509" t="s">
        <v>74</v>
      </c>
      <c r="AY509" t="s">
        <v>74</v>
      </c>
      <c r="AZ509" t="s">
        <v>74</v>
      </c>
      <c r="BA509" t="s">
        <v>74</v>
      </c>
      <c r="BB509">
        <v>133</v>
      </c>
      <c r="BC509">
        <v>139</v>
      </c>
      <c r="BD509" t="s">
        <v>74</v>
      </c>
      <c r="BE509" t="s">
        <v>9693</v>
      </c>
      <c r="BF509" t="str">
        <f>HYPERLINK("http://dx.doi.org/10.1007/1345_2015_79","http://dx.doi.org/10.1007/1345_2015_79")</f>
        <v>http://dx.doi.org/10.1007/1345_2015_79</v>
      </c>
      <c r="BG509" t="s">
        <v>74</v>
      </c>
      <c r="BH509" t="s">
        <v>74</v>
      </c>
      <c r="BI509">
        <v>7</v>
      </c>
      <c r="BJ509" t="s">
        <v>9694</v>
      </c>
      <c r="BK509" t="s">
        <v>293</v>
      </c>
      <c r="BL509" t="s">
        <v>9694</v>
      </c>
      <c r="BM509" t="s">
        <v>9695</v>
      </c>
      <c r="BN509" t="s">
        <v>74</v>
      </c>
      <c r="BO509" t="s">
        <v>403</v>
      </c>
      <c r="BP509" t="s">
        <v>74</v>
      </c>
      <c r="BQ509" t="s">
        <v>74</v>
      </c>
      <c r="BR509" t="s">
        <v>100</v>
      </c>
      <c r="BS509" t="s">
        <v>9696</v>
      </c>
      <c r="BT509" t="str">
        <f>HYPERLINK("https%3A%2F%2Fwww.webofscience.com%2Fwos%2Fwoscc%2Ffull-record%2FWOS:000428775500017","View Full Record in Web of Science")</f>
        <v>View Full Record in Web of Science</v>
      </c>
    </row>
    <row r="510" spans="1:72" x14ac:dyDescent="0.15">
      <c r="A510" t="s">
        <v>267</v>
      </c>
      <c r="B510" t="s">
        <v>9697</v>
      </c>
      <c r="C510" t="s">
        <v>74</v>
      </c>
      <c r="D510" t="s">
        <v>9672</v>
      </c>
      <c r="E510" t="s">
        <v>74</v>
      </c>
      <c r="F510" t="s">
        <v>9698</v>
      </c>
      <c r="G510" t="s">
        <v>74</v>
      </c>
      <c r="H510" t="s">
        <v>74</v>
      </c>
      <c r="I510" t="s">
        <v>9699</v>
      </c>
      <c r="J510" t="s">
        <v>9675</v>
      </c>
      <c r="K510" t="s">
        <v>9676</v>
      </c>
      <c r="L510" t="s">
        <v>74</v>
      </c>
      <c r="M510" t="s">
        <v>200</v>
      </c>
      <c r="N510" t="s">
        <v>273</v>
      </c>
      <c r="O510" t="s">
        <v>9677</v>
      </c>
      <c r="P510" t="s">
        <v>9678</v>
      </c>
      <c r="Q510" t="s">
        <v>9679</v>
      </c>
      <c r="R510" t="s">
        <v>74</v>
      </c>
      <c r="S510" t="s">
        <v>74</v>
      </c>
      <c r="T510" t="s">
        <v>9700</v>
      </c>
      <c r="U510" t="s">
        <v>9701</v>
      </c>
      <c r="V510" t="s">
        <v>9702</v>
      </c>
      <c r="W510" t="s">
        <v>9703</v>
      </c>
      <c r="X510" t="s">
        <v>9704</v>
      </c>
      <c r="Y510" t="s">
        <v>9705</v>
      </c>
      <c r="Z510" t="s">
        <v>9706</v>
      </c>
      <c r="AA510" t="s">
        <v>9707</v>
      </c>
      <c r="AB510" t="s">
        <v>9708</v>
      </c>
      <c r="AC510" t="s">
        <v>74</v>
      </c>
      <c r="AD510" t="s">
        <v>74</v>
      </c>
      <c r="AE510" t="s">
        <v>74</v>
      </c>
      <c r="AF510" t="s">
        <v>74</v>
      </c>
      <c r="AG510">
        <v>22</v>
      </c>
      <c r="AH510">
        <v>0</v>
      </c>
      <c r="AI510">
        <v>0</v>
      </c>
      <c r="AJ510">
        <v>1</v>
      </c>
      <c r="AK510">
        <v>3</v>
      </c>
      <c r="AL510" t="s">
        <v>393</v>
      </c>
      <c r="AM510" t="s">
        <v>394</v>
      </c>
      <c r="AN510" t="s">
        <v>395</v>
      </c>
      <c r="AO510" t="s">
        <v>9690</v>
      </c>
      <c r="AP510" t="s">
        <v>74</v>
      </c>
      <c r="AQ510" t="s">
        <v>9691</v>
      </c>
      <c r="AR510" t="s">
        <v>9692</v>
      </c>
      <c r="AS510" t="s">
        <v>74</v>
      </c>
      <c r="AT510" t="s">
        <v>74</v>
      </c>
      <c r="AU510">
        <v>2016</v>
      </c>
      <c r="AV510">
        <v>143</v>
      </c>
      <c r="AW510" t="s">
        <v>74</v>
      </c>
      <c r="AX510" t="s">
        <v>74</v>
      </c>
      <c r="AY510" t="s">
        <v>74</v>
      </c>
      <c r="AZ510" t="s">
        <v>74</v>
      </c>
      <c r="BA510" t="s">
        <v>74</v>
      </c>
      <c r="BB510">
        <v>625</v>
      </c>
      <c r="BC510">
        <v>630</v>
      </c>
      <c r="BD510" t="s">
        <v>74</v>
      </c>
      <c r="BE510" t="s">
        <v>9709</v>
      </c>
      <c r="BF510" t="str">
        <f>HYPERLINK("http://dx.doi.org/10.1007/1345_2015_175","http://dx.doi.org/10.1007/1345_2015_175")</f>
        <v>http://dx.doi.org/10.1007/1345_2015_175</v>
      </c>
      <c r="BG510" t="s">
        <v>74</v>
      </c>
      <c r="BH510" t="s">
        <v>74</v>
      </c>
      <c r="BI510">
        <v>6</v>
      </c>
      <c r="BJ510" t="s">
        <v>9694</v>
      </c>
      <c r="BK510" t="s">
        <v>293</v>
      </c>
      <c r="BL510" t="s">
        <v>9694</v>
      </c>
      <c r="BM510" t="s">
        <v>9695</v>
      </c>
      <c r="BN510" t="s">
        <v>74</v>
      </c>
      <c r="BO510" t="s">
        <v>74</v>
      </c>
      <c r="BP510" t="s">
        <v>74</v>
      </c>
      <c r="BQ510" t="s">
        <v>74</v>
      </c>
      <c r="BR510" t="s">
        <v>100</v>
      </c>
      <c r="BS510" t="s">
        <v>9710</v>
      </c>
      <c r="BT510" t="str">
        <f>HYPERLINK("https%3A%2F%2Fwww.webofscience.com%2Fwos%2Fwoscc%2Ffull-record%2FWOS:000428775500079","View Full Record in Web of Science")</f>
        <v>View Full Record in Web of Science</v>
      </c>
    </row>
    <row r="511" spans="1:72" x14ac:dyDescent="0.15">
      <c r="A511" t="s">
        <v>72</v>
      </c>
      <c r="B511" t="s">
        <v>9711</v>
      </c>
      <c r="C511" t="s">
        <v>74</v>
      </c>
      <c r="D511" t="s">
        <v>74</v>
      </c>
      <c r="E511" t="s">
        <v>74</v>
      </c>
      <c r="F511" t="s">
        <v>9712</v>
      </c>
      <c r="G511" t="s">
        <v>74</v>
      </c>
      <c r="H511" t="s">
        <v>74</v>
      </c>
      <c r="I511" t="s">
        <v>9713</v>
      </c>
      <c r="J511" t="s">
        <v>9714</v>
      </c>
      <c r="K511" t="s">
        <v>74</v>
      </c>
      <c r="L511" t="s">
        <v>74</v>
      </c>
      <c r="M511" t="s">
        <v>200</v>
      </c>
      <c r="N511" t="s">
        <v>79</v>
      </c>
      <c r="O511" t="s">
        <v>74</v>
      </c>
      <c r="P511" t="s">
        <v>74</v>
      </c>
      <c r="Q511" t="s">
        <v>74</v>
      </c>
      <c r="R511" t="s">
        <v>74</v>
      </c>
      <c r="S511" t="s">
        <v>74</v>
      </c>
      <c r="T511" t="s">
        <v>9715</v>
      </c>
      <c r="U511" t="s">
        <v>9716</v>
      </c>
      <c r="V511" t="s">
        <v>9717</v>
      </c>
      <c r="W511" t="s">
        <v>9718</v>
      </c>
      <c r="X511" t="s">
        <v>9719</v>
      </c>
      <c r="Y511" t="s">
        <v>9720</v>
      </c>
      <c r="Z511" t="s">
        <v>9721</v>
      </c>
      <c r="AA511" t="s">
        <v>9722</v>
      </c>
      <c r="AB511" t="s">
        <v>9723</v>
      </c>
      <c r="AC511" t="s">
        <v>9724</v>
      </c>
      <c r="AD511" t="s">
        <v>9724</v>
      </c>
      <c r="AE511" t="s">
        <v>9725</v>
      </c>
      <c r="AF511" t="s">
        <v>74</v>
      </c>
      <c r="AG511">
        <v>47</v>
      </c>
      <c r="AH511">
        <v>31</v>
      </c>
      <c r="AI511">
        <v>34</v>
      </c>
      <c r="AJ511">
        <v>0</v>
      </c>
      <c r="AK511">
        <v>14</v>
      </c>
      <c r="AL511" t="s">
        <v>1385</v>
      </c>
      <c r="AM511" t="s">
        <v>1386</v>
      </c>
      <c r="AN511" t="s">
        <v>1387</v>
      </c>
      <c r="AO511" t="s">
        <v>9726</v>
      </c>
      <c r="AP511" t="s">
        <v>9727</v>
      </c>
      <c r="AQ511" t="s">
        <v>74</v>
      </c>
      <c r="AR511" t="s">
        <v>9728</v>
      </c>
      <c r="AS511" t="s">
        <v>9729</v>
      </c>
      <c r="AT511" t="s">
        <v>4470</v>
      </c>
      <c r="AU511">
        <v>2016</v>
      </c>
      <c r="AV511">
        <v>73</v>
      </c>
      <c r="AW511">
        <v>2</v>
      </c>
      <c r="AX511" t="s">
        <v>74</v>
      </c>
      <c r="AY511" t="s">
        <v>74</v>
      </c>
      <c r="AZ511" t="s">
        <v>74</v>
      </c>
      <c r="BA511" t="s">
        <v>74</v>
      </c>
      <c r="BB511">
        <v>441</v>
      </c>
      <c r="BC511">
        <v>450</v>
      </c>
      <c r="BD511" t="s">
        <v>74</v>
      </c>
      <c r="BE511" t="s">
        <v>9730</v>
      </c>
      <c r="BF511" t="str">
        <f>HYPERLINK("http://dx.doi.org/10.1093/icesjms/fsv190","http://dx.doi.org/10.1093/icesjms/fsv190")</f>
        <v>http://dx.doi.org/10.1093/icesjms/fsv190</v>
      </c>
      <c r="BG511" t="s">
        <v>74</v>
      </c>
      <c r="BH511" t="s">
        <v>74</v>
      </c>
      <c r="BI511">
        <v>10</v>
      </c>
      <c r="BJ511" t="s">
        <v>3061</v>
      </c>
      <c r="BK511" t="s">
        <v>264</v>
      </c>
      <c r="BL511" t="s">
        <v>3061</v>
      </c>
      <c r="BM511" t="s">
        <v>9731</v>
      </c>
      <c r="BN511" t="s">
        <v>74</v>
      </c>
      <c r="BO511" t="s">
        <v>486</v>
      </c>
      <c r="BP511" t="s">
        <v>74</v>
      </c>
      <c r="BQ511" t="s">
        <v>74</v>
      </c>
      <c r="BR511" t="s">
        <v>100</v>
      </c>
      <c r="BS511" t="s">
        <v>9732</v>
      </c>
      <c r="BT511" t="str">
        <f>HYPERLINK("https%3A%2F%2Fwww.webofscience.com%2Fwos%2Fwoscc%2Ffull-record%2FWOS:000371141600025","View Full Record in Web of Science")</f>
        <v>View Full Record in Web of Science</v>
      </c>
    </row>
    <row r="512" spans="1:72" x14ac:dyDescent="0.15">
      <c r="A512" t="s">
        <v>72</v>
      </c>
      <c r="B512" t="s">
        <v>9733</v>
      </c>
      <c r="C512" t="s">
        <v>74</v>
      </c>
      <c r="D512" t="s">
        <v>74</v>
      </c>
      <c r="E512" t="s">
        <v>74</v>
      </c>
      <c r="F512" t="s">
        <v>9734</v>
      </c>
      <c r="G512" t="s">
        <v>74</v>
      </c>
      <c r="H512" t="s">
        <v>74</v>
      </c>
      <c r="I512" t="s">
        <v>9735</v>
      </c>
      <c r="J512" t="s">
        <v>9736</v>
      </c>
      <c r="K512" t="s">
        <v>74</v>
      </c>
      <c r="L512" t="s">
        <v>74</v>
      </c>
      <c r="M512" t="s">
        <v>200</v>
      </c>
      <c r="N512" t="s">
        <v>8638</v>
      </c>
      <c r="O512" t="s">
        <v>74</v>
      </c>
      <c r="P512" t="s">
        <v>74</v>
      </c>
      <c r="Q512" t="s">
        <v>74</v>
      </c>
      <c r="R512" t="s">
        <v>74</v>
      </c>
      <c r="S512" t="s">
        <v>74</v>
      </c>
      <c r="T512" t="s">
        <v>9737</v>
      </c>
      <c r="U512" t="s">
        <v>74</v>
      </c>
      <c r="V512" t="s">
        <v>9738</v>
      </c>
      <c r="W512" t="s">
        <v>74</v>
      </c>
      <c r="X512" t="s">
        <v>74</v>
      </c>
      <c r="Y512" t="s">
        <v>74</v>
      </c>
      <c r="Z512" t="s">
        <v>9739</v>
      </c>
      <c r="AA512" t="s">
        <v>74</v>
      </c>
      <c r="AB512" t="s">
        <v>74</v>
      </c>
      <c r="AC512" t="s">
        <v>74</v>
      </c>
      <c r="AD512" t="s">
        <v>74</v>
      </c>
      <c r="AE512" t="s">
        <v>74</v>
      </c>
      <c r="AF512" t="s">
        <v>74</v>
      </c>
      <c r="AG512">
        <v>0</v>
      </c>
      <c r="AH512">
        <v>0</v>
      </c>
      <c r="AI512">
        <v>1</v>
      </c>
      <c r="AJ512">
        <v>2</v>
      </c>
      <c r="AK512">
        <v>34</v>
      </c>
      <c r="AL512" t="s">
        <v>4187</v>
      </c>
      <c r="AM512" t="s">
        <v>4188</v>
      </c>
      <c r="AN512" t="s">
        <v>4189</v>
      </c>
      <c r="AO512" t="s">
        <v>4190</v>
      </c>
      <c r="AP512" t="s">
        <v>4191</v>
      </c>
      <c r="AQ512" t="s">
        <v>74</v>
      </c>
      <c r="AR512" t="s">
        <v>4192</v>
      </c>
      <c r="AS512" t="s">
        <v>9740</v>
      </c>
      <c r="AT512" t="s">
        <v>74</v>
      </c>
      <c r="AU512">
        <v>2016</v>
      </c>
      <c r="AV512">
        <v>43</v>
      </c>
      <c r="AW512">
        <v>4</v>
      </c>
      <c r="AX512" t="s">
        <v>74</v>
      </c>
      <c r="AY512" t="s">
        <v>74</v>
      </c>
      <c r="AZ512" t="s">
        <v>74</v>
      </c>
      <c r="BA512" t="s">
        <v>74</v>
      </c>
      <c r="BB512">
        <v>349</v>
      </c>
      <c r="BC512">
        <v>353</v>
      </c>
      <c r="BD512" t="s">
        <v>74</v>
      </c>
      <c r="BE512" t="s">
        <v>9741</v>
      </c>
      <c r="BF512" t="str">
        <f>HYPERLINK("http://dx.doi.org/10.1108/IR-04-2016-0124","http://dx.doi.org/10.1108/IR-04-2016-0124")</f>
        <v>http://dx.doi.org/10.1108/IR-04-2016-0124</v>
      </c>
      <c r="BG512" t="s">
        <v>74</v>
      </c>
      <c r="BH512" t="s">
        <v>74</v>
      </c>
      <c r="BI512">
        <v>5</v>
      </c>
      <c r="BJ512" t="s">
        <v>4195</v>
      </c>
      <c r="BK512" t="s">
        <v>264</v>
      </c>
      <c r="BL512" t="s">
        <v>4196</v>
      </c>
      <c r="BM512" t="s">
        <v>9742</v>
      </c>
      <c r="BN512" t="s">
        <v>74</v>
      </c>
      <c r="BO512" t="s">
        <v>74</v>
      </c>
      <c r="BP512" t="s">
        <v>74</v>
      </c>
      <c r="BQ512" t="s">
        <v>74</v>
      </c>
      <c r="BR512" t="s">
        <v>100</v>
      </c>
      <c r="BS512" t="s">
        <v>9743</v>
      </c>
      <c r="BT512" t="str">
        <f>HYPERLINK("https%3A%2F%2Fwww.webofscience.com%2Fwos%2Fwoscc%2Ffull-record%2FWOS:000381360100001","View Full Record in Web of Science")</f>
        <v>View Full Record in Web of Science</v>
      </c>
    </row>
    <row r="513" spans="1:72" x14ac:dyDescent="0.15">
      <c r="A513" t="s">
        <v>72</v>
      </c>
      <c r="B513" t="s">
        <v>9744</v>
      </c>
      <c r="C513" t="s">
        <v>74</v>
      </c>
      <c r="D513" t="s">
        <v>74</v>
      </c>
      <c r="E513" t="s">
        <v>74</v>
      </c>
      <c r="F513" t="s">
        <v>9745</v>
      </c>
      <c r="G513" t="s">
        <v>74</v>
      </c>
      <c r="H513" t="s">
        <v>74</v>
      </c>
      <c r="I513" t="s">
        <v>9746</v>
      </c>
      <c r="J513" t="s">
        <v>3892</v>
      </c>
      <c r="K513" t="s">
        <v>74</v>
      </c>
      <c r="L513" t="s">
        <v>74</v>
      </c>
      <c r="M513" t="s">
        <v>200</v>
      </c>
      <c r="N513" t="s">
        <v>79</v>
      </c>
      <c r="O513" t="s">
        <v>74</v>
      </c>
      <c r="P513" t="s">
        <v>74</v>
      </c>
      <c r="Q513" t="s">
        <v>74</v>
      </c>
      <c r="R513" t="s">
        <v>74</v>
      </c>
      <c r="S513" t="s">
        <v>74</v>
      </c>
      <c r="T513" t="s">
        <v>9747</v>
      </c>
      <c r="U513" t="s">
        <v>9748</v>
      </c>
      <c r="V513" t="s">
        <v>9749</v>
      </c>
      <c r="W513" t="s">
        <v>9750</v>
      </c>
      <c r="X513" t="s">
        <v>9751</v>
      </c>
      <c r="Y513" t="s">
        <v>9752</v>
      </c>
      <c r="Z513" t="s">
        <v>9753</v>
      </c>
      <c r="AA513" t="s">
        <v>9754</v>
      </c>
      <c r="AB513" t="s">
        <v>9755</v>
      </c>
      <c r="AC513" t="s">
        <v>9756</v>
      </c>
      <c r="AD513" t="s">
        <v>9757</v>
      </c>
      <c r="AE513" t="s">
        <v>9758</v>
      </c>
      <c r="AF513" t="s">
        <v>74</v>
      </c>
      <c r="AG513">
        <v>58</v>
      </c>
      <c r="AH513">
        <v>84</v>
      </c>
      <c r="AI513">
        <v>88</v>
      </c>
      <c r="AJ513">
        <v>1</v>
      </c>
      <c r="AK513">
        <v>9</v>
      </c>
      <c r="AL513" t="s">
        <v>380</v>
      </c>
      <c r="AM513" t="s">
        <v>381</v>
      </c>
      <c r="AN513" t="s">
        <v>382</v>
      </c>
      <c r="AO513" t="s">
        <v>3904</v>
      </c>
      <c r="AP513" t="s">
        <v>3905</v>
      </c>
      <c r="AQ513" t="s">
        <v>74</v>
      </c>
      <c r="AR513" t="s">
        <v>3906</v>
      </c>
      <c r="AS513" t="s">
        <v>3907</v>
      </c>
      <c r="AT513" t="s">
        <v>74</v>
      </c>
      <c r="AU513">
        <v>2016</v>
      </c>
      <c r="AV513">
        <v>30</v>
      </c>
      <c r="AW513">
        <v>4</v>
      </c>
      <c r="AX513" t="s">
        <v>74</v>
      </c>
      <c r="AY513" t="s">
        <v>74</v>
      </c>
      <c r="AZ513" t="s">
        <v>74</v>
      </c>
      <c r="BA513" t="s">
        <v>74</v>
      </c>
      <c r="BB513">
        <v>303</v>
      </c>
      <c r="BC513">
        <v>322</v>
      </c>
      <c r="BD513" t="s">
        <v>74</v>
      </c>
      <c r="BE513" t="s">
        <v>9759</v>
      </c>
      <c r="BF513" t="str">
        <f>HYPERLINK("http://dx.doi.org/10.1071/IS15033","http://dx.doi.org/10.1071/IS15033")</f>
        <v>http://dx.doi.org/10.1071/IS15033</v>
      </c>
      <c r="BG513" t="s">
        <v>74</v>
      </c>
      <c r="BH513" t="s">
        <v>74</v>
      </c>
      <c r="BI513">
        <v>20</v>
      </c>
      <c r="BJ513" t="s">
        <v>3909</v>
      </c>
      <c r="BK513" t="s">
        <v>264</v>
      </c>
      <c r="BL513" t="s">
        <v>3909</v>
      </c>
      <c r="BM513" t="s">
        <v>9760</v>
      </c>
      <c r="BN513" t="s">
        <v>74</v>
      </c>
      <c r="BO513" t="s">
        <v>403</v>
      </c>
      <c r="BP513" t="s">
        <v>74</v>
      </c>
      <c r="BQ513" t="s">
        <v>74</v>
      </c>
      <c r="BR513" t="s">
        <v>100</v>
      </c>
      <c r="BS513" t="s">
        <v>9761</v>
      </c>
      <c r="BT513" t="str">
        <f>HYPERLINK("https%3A%2F%2Fwww.webofscience.com%2Fwos%2Fwoscc%2Ffull-record%2FWOS:000383540800001","View Full Record in Web of Science")</f>
        <v>View Full Record in Web of Science</v>
      </c>
    </row>
    <row r="514" spans="1:72" x14ac:dyDescent="0.15">
      <c r="A514" t="s">
        <v>72</v>
      </c>
      <c r="B514" t="s">
        <v>9762</v>
      </c>
      <c r="C514" t="s">
        <v>74</v>
      </c>
      <c r="D514" t="s">
        <v>74</v>
      </c>
      <c r="E514" t="s">
        <v>74</v>
      </c>
      <c r="F514" t="s">
        <v>9763</v>
      </c>
      <c r="G514" t="s">
        <v>74</v>
      </c>
      <c r="H514" t="s">
        <v>74</v>
      </c>
      <c r="I514" t="s">
        <v>9764</v>
      </c>
      <c r="J514" t="s">
        <v>3892</v>
      </c>
      <c r="K514" t="s">
        <v>74</v>
      </c>
      <c r="L514" t="s">
        <v>74</v>
      </c>
      <c r="M514" t="s">
        <v>200</v>
      </c>
      <c r="N514" t="s">
        <v>79</v>
      </c>
      <c r="O514" t="s">
        <v>74</v>
      </c>
      <c r="P514" t="s">
        <v>74</v>
      </c>
      <c r="Q514" t="s">
        <v>74</v>
      </c>
      <c r="R514" t="s">
        <v>74</v>
      </c>
      <c r="S514" t="s">
        <v>74</v>
      </c>
      <c r="T514" t="s">
        <v>74</v>
      </c>
      <c r="U514" t="s">
        <v>9765</v>
      </c>
      <c r="V514" t="s">
        <v>9766</v>
      </c>
      <c r="W514" t="s">
        <v>9767</v>
      </c>
      <c r="X514" t="s">
        <v>9768</v>
      </c>
      <c r="Y514" t="s">
        <v>9769</v>
      </c>
      <c r="Z514" t="s">
        <v>9770</v>
      </c>
      <c r="AA514" t="s">
        <v>9771</v>
      </c>
      <c r="AB514" t="s">
        <v>9772</v>
      </c>
      <c r="AC514" t="s">
        <v>9773</v>
      </c>
      <c r="AD514" t="s">
        <v>9774</v>
      </c>
      <c r="AE514" t="s">
        <v>9775</v>
      </c>
      <c r="AF514" t="s">
        <v>74</v>
      </c>
      <c r="AG514">
        <v>83</v>
      </c>
      <c r="AH514">
        <v>45</v>
      </c>
      <c r="AI514">
        <v>46</v>
      </c>
      <c r="AJ514">
        <v>0</v>
      </c>
      <c r="AK514">
        <v>27</v>
      </c>
      <c r="AL514" t="s">
        <v>380</v>
      </c>
      <c r="AM514" t="s">
        <v>381</v>
      </c>
      <c r="AN514" t="s">
        <v>382</v>
      </c>
      <c r="AO514" t="s">
        <v>3904</v>
      </c>
      <c r="AP514" t="s">
        <v>3905</v>
      </c>
      <c r="AQ514" t="s">
        <v>74</v>
      </c>
      <c r="AR514" t="s">
        <v>3906</v>
      </c>
      <c r="AS514" t="s">
        <v>3907</v>
      </c>
      <c r="AT514" t="s">
        <v>74</v>
      </c>
      <c r="AU514">
        <v>2016</v>
      </c>
      <c r="AV514">
        <v>30</v>
      </c>
      <c r="AW514">
        <v>6</v>
      </c>
      <c r="AX514" t="s">
        <v>74</v>
      </c>
      <c r="AY514" t="s">
        <v>74</v>
      </c>
      <c r="AZ514" t="s">
        <v>74</v>
      </c>
      <c r="BA514" t="s">
        <v>74</v>
      </c>
      <c r="BB514">
        <v>635</v>
      </c>
      <c r="BC514">
        <v>649</v>
      </c>
      <c r="BD514" t="s">
        <v>74</v>
      </c>
      <c r="BE514" t="s">
        <v>9776</v>
      </c>
      <c r="BF514" t="str">
        <f>HYPERLINK("http://dx.doi.org/10.1071/IS15045","http://dx.doi.org/10.1071/IS15045")</f>
        <v>http://dx.doi.org/10.1071/IS15045</v>
      </c>
      <c r="BG514" t="s">
        <v>74</v>
      </c>
      <c r="BH514" t="s">
        <v>74</v>
      </c>
      <c r="BI514">
        <v>15</v>
      </c>
      <c r="BJ514" t="s">
        <v>3909</v>
      </c>
      <c r="BK514" t="s">
        <v>264</v>
      </c>
      <c r="BL514" t="s">
        <v>3909</v>
      </c>
      <c r="BM514" t="s">
        <v>9777</v>
      </c>
      <c r="BN514" t="s">
        <v>74</v>
      </c>
      <c r="BO514" t="s">
        <v>74</v>
      </c>
      <c r="BP514" t="s">
        <v>74</v>
      </c>
      <c r="BQ514" t="s">
        <v>74</v>
      </c>
      <c r="BR514" t="s">
        <v>100</v>
      </c>
      <c r="BS514" t="s">
        <v>9778</v>
      </c>
      <c r="BT514" t="str">
        <f>HYPERLINK("https%3A%2F%2Fwww.webofscience.com%2Fwos%2Fwoscc%2Ffull-record%2FWOS:000390319000007","View Full Record in Web of Science")</f>
        <v>View Full Record in Web of Science</v>
      </c>
    </row>
    <row r="515" spans="1:72" x14ac:dyDescent="0.15">
      <c r="A515" t="s">
        <v>72</v>
      </c>
      <c r="B515" t="s">
        <v>9779</v>
      </c>
      <c r="C515" t="s">
        <v>74</v>
      </c>
      <c r="D515" t="s">
        <v>74</v>
      </c>
      <c r="E515" t="s">
        <v>74</v>
      </c>
      <c r="F515" t="s">
        <v>9780</v>
      </c>
      <c r="G515" t="s">
        <v>74</v>
      </c>
      <c r="H515" t="s">
        <v>74</v>
      </c>
      <c r="I515" t="s">
        <v>9781</v>
      </c>
      <c r="J515" t="s">
        <v>9782</v>
      </c>
      <c r="K515" t="s">
        <v>74</v>
      </c>
      <c r="L515" t="s">
        <v>74</v>
      </c>
      <c r="M515" t="s">
        <v>200</v>
      </c>
      <c r="N515" t="s">
        <v>79</v>
      </c>
      <c r="O515" t="s">
        <v>74</v>
      </c>
      <c r="P515" t="s">
        <v>74</v>
      </c>
      <c r="Q515" t="s">
        <v>74</v>
      </c>
      <c r="R515" t="s">
        <v>74</v>
      </c>
      <c r="S515" t="s">
        <v>74</v>
      </c>
      <c r="T515" t="s">
        <v>9783</v>
      </c>
      <c r="U515" t="s">
        <v>9784</v>
      </c>
      <c r="V515" t="s">
        <v>9785</v>
      </c>
      <c r="W515" t="s">
        <v>9786</v>
      </c>
      <c r="X515" t="s">
        <v>9787</v>
      </c>
      <c r="Y515" t="s">
        <v>9788</v>
      </c>
      <c r="Z515" t="s">
        <v>9789</v>
      </c>
      <c r="AA515" t="s">
        <v>9790</v>
      </c>
      <c r="AB515" t="s">
        <v>9791</v>
      </c>
      <c r="AC515" t="s">
        <v>9792</v>
      </c>
      <c r="AD515" t="s">
        <v>9793</v>
      </c>
      <c r="AE515" t="s">
        <v>9794</v>
      </c>
      <c r="AF515" t="s">
        <v>74</v>
      </c>
      <c r="AG515">
        <v>94</v>
      </c>
      <c r="AH515">
        <v>21</v>
      </c>
      <c r="AI515">
        <v>24</v>
      </c>
      <c r="AJ515">
        <v>1</v>
      </c>
      <c r="AK515">
        <v>60</v>
      </c>
      <c r="AL515" t="s">
        <v>5464</v>
      </c>
      <c r="AM515" t="s">
        <v>5465</v>
      </c>
      <c r="AN515" t="s">
        <v>5466</v>
      </c>
      <c r="AO515" t="s">
        <v>9795</v>
      </c>
      <c r="AP515" t="s">
        <v>9796</v>
      </c>
      <c r="AQ515" t="s">
        <v>74</v>
      </c>
      <c r="AR515" t="s">
        <v>9797</v>
      </c>
      <c r="AS515" t="s">
        <v>9798</v>
      </c>
      <c r="AT515" t="s">
        <v>315</v>
      </c>
      <c r="AU515">
        <v>2016</v>
      </c>
      <c r="AV515">
        <v>85</v>
      </c>
      <c r="AW515">
        <v>1</v>
      </c>
      <c r="AX515" t="s">
        <v>74</v>
      </c>
      <c r="AY515" t="s">
        <v>74</v>
      </c>
      <c r="AZ515" t="s">
        <v>74</v>
      </c>
      <c r="BA515" t="s">
        <v>74</v>
      </c>
      <c r="BB515">
        <v>199</v>
      </c>
      <c r="BC515">
        <v>212</v>
      </c>
      <c r="BD515" t="s">
        <v>74</v>
      </c>
      <c r="BE515" t="s">
        <v>9799</v>
      </c>
      <c r="BF515" t="str">
        <f>HYPERLINK("http://dx.doi.org/10.1111/1365-2656.12434","http://dx.doi.org/10.1111/1365-2656.12434")</f>
        <v>http://dx.doi.org/10.1111/1365-2656.12434</v>
      </c>
      <c r="BG515" t="s">
        <v>74</v>
      </c>
      <c r="BH515" t="s">
        <v>74</v>
      </c>
      <c r="BI515">
        <v>14</v>
      </c>
      <c r="BJ515" t="s">
        <v>2725</v>
      </c>
      <c r="BK515" t="s">
        <v>264</v>
      </c>
      <c r="BL515" t="s">
        <v>2726</v>
      </c>
      <c r="BM515" t="s">
        <v>9800</v>
      </c>
      <c r="BN515">
        <v>26439671</v>
      </c>
      <c r="BO515" t="s">
        <v>9801</v>
      </c>
      <c r="BP515" t="s">
        <v>74</v>
      </c>
      <c r="BQ515" t="s">
        <v>74</v>
      </c>
      <c r="BR515" t="s">
        <v>100</v>
      </c>
      <c r="BS515" t="s">
        <v>9802</v>
      </c>
      <c r="BT515" t="str">
        <f>HYPERLINK("https%3A%2F%2Fwww.webofscience.com%2Fwos%2Fwoscc%2Ffull-record%2FWOS:000368141400020","View Full Record in Web of Science")</f>
        <v>View Full Record in Web of Science</v>
      </c>
    </row>
    <row r="516" spans="1:72" x14ac:dyDescent="0.15">
      <c r="A516" t="s">
        <v>72</v>
      </c>
      <c r="B516" t="s">
        <v>9803</v>
      </c>
      <c r="C516" t="s">
        <v>74</v>
      </c>
      <c r="D516" t="s">
        <v>74</v>
      </c>
      <c r="E516" t="s">
        <v>74</v>
      </c>
      <c r="F516" t="s">
        <v>9804</v>
      </c>
      <c r="G516" t="s">
        <v>74</v>
      </c>
      <c r="H516" t="s">
        <v>74</v>
      </c>
      <c r="I516" t="s">
        <v>9805</v>
      </c>
      <c r="J516" t="s">
        <v>4259</v>
      </c>
      <c r="K516" t="s">
        <v>74</v>
      </c>
      <c r="L516" t="s">
        <v>74</v>
      </c>
      <c r="M516" t="s">
        <v>200</v>
      </c>
      <c r="N516" t="s">
        <v>79</v>
      </c>
      <c r="O516" t="s">
        <v>74</v>
      </c>
      <c r="P516" t="s">
        <v>74</v>
      </c>
      <c r="Q516" t="s">
        <v>74</v>
      </c>
      <c r="R516" t="s">
        <v>74</v>
      </c>
      <c r="S516" t="s">
        <v>74</v>
      </c>
      <c r="T516" t="s">
        <v>9806</v>
      </c>
      <c r="U516" t="s">
        <v>9807</v>
      </c>
      <c r="V516" t="s">
        <v>9808</v>
      </c>
      <c r="W516" t="s">
        <v>9809</v>
      </c>
      <c r="X516" t="s">
        <v>3604</v>
      </c>
      <c r="Y516" t="s">
        <v>9810</v>
      </c>
      <c r="Z516" t="s">
        <v>9811</v>
      </c>
      <c r="AA516" t="s">
        <v>74</v>
      </c>
      <c r="AB516" t="s">
        <v>74</v>
      </c>
      <c r="AC516" t="s">
        <v>9812</v>
      </c>
      <c r="AD516" t="s">
        <v>9813</v>
      </c>
      <c r="AE516" t="s">
        <v>9814</v>
      </c>
      <c r="AF516" t="s">
        <v>74</v>
      </c>
      <c r="AG516">
        <v>22</v>
      </c>
      <c r="AH516">
        <v>4</v>
      </c>
      <c r="AI516">
        <v>5</v>
      </c>
      <c r="AJ516">
        <v>9</v>
      </c>
      <c r="AK516">
        <v>53</v>
      </c>
      <c r="AL516" t="s">
        <v>2263</v>
      </c>
      <c r="AM516" t="s">
        <v>2264</v>
      </c>
      <c r="AN516" t="s">
        <v>2265</v>
      </c>
      <c r="AO516" t="s">
        <v>4270</v>
      </c>
      <c r="AP516" t="s">
        <v>4271</v>
      </c>
      <c r="AQ516" t="s">
        <v>74</v>
      </c>
      <c r="AR516" t="s">
        <v>4272</v>
      </c>
      <c r="AS516" t="s">
        <v>4273</v>
      </c>
      <c r="AT516" t="s">
        <v>74</v>
      </c>
      <c r="AU516">
        <v>2016</v>
      </c>
      <c r="AV516">
        <v>25</v>
      </c>
      <c r="AW516">
        <v>4</v>
      </c>
      <c r="AX516" t="s">
        <v>74</v>
      </c>
      <c r="AY516" t="s">
        <v>74</v>
      </c>
      <c r="AZ516" t="s">
        <v>74</v>
      </c>
      <c r="BA516" t="s">
        <v>74</v>
      </c>
      <c r="BB516">
        <v>597</v>
      </c>
      <c r="BC516">
        <v>606</v>
      </c>
      <c r="BD516" t="s">
        <v>74</v>
      </c>
      <c r="BE516" t="s">
        <v>9815</v>
      </c>
      <c r="BF516" t="str">
        <f>HYPERLINK("http://dx.doi.org/10.1080/10498850.2014.904461","http://dx.doi.org/10.1080/10498850.2014.904461")</f>
        <v>http://dx.doi.org/10.1080/10498850.2014.904461</v>
      </c>
      <c r="BG516" t="s">
        <v>74</v>
      </c>
      <c r="BH516" t="s">
        <v>74</v>
      </c>
      <c r="BI516">
        <v>10</v>
      </c>
      <c r="BJ516" t="s">
        <v>4275</v>
      </c>
      <c r="BK516" t="s">
        <v>264</v>
      </c>
      <c r="BL516" t="s">
        <v>4275</v>
      </c>
      <c r="BM516" t="s">
        <v>9816</v>
      </c>
      <c r="BN516" t="s">
        <v>74</v>
      </c>
      <c r="BO516" t="s">
        <v>74</v>
      </c>
      <c r="BP516" t="s">
        <v>74</v>
      </c>
      <c r="BQ516" t="s">
        <v>74</v>
      </c>
      <c r="BR516" t="s">
        <v>100</v>
      </c>
      <c r="BS516" t="s">
        <v>9817</v>
      </c>
      <c r="BT516" t="str">
        <f>HYPERLINK("https%3A%2F%2Fwww.webofscience.com%2Fwos%2Fwoscc%2Ffull-record%2FWOS:000381280000013","View Full Record in Web of Science")</f>
        <v>View Full Record in Web of Science</v>
      </c>
    </row>
    <row r="517" spans="1:72" x14ac:dyDescent="0.15">
      <c r="A517" t="s">
        <v>72</v>
      </c>
      <c r="B517" t="s">
        <v>9818</v>
      </c>
      <c r="C517" t="s">
        <v>74</v>
      </c>
      <c r="D517" t="s">
        <v>74</v>
      </c>
      <c r="E517" t="s">
        <v>74</v>
      </c>
      <c r="F517" t="s">
        <v>9819</v>
      </c>
      <c r="G517" t="s">
        <v>74</v>
      </c>
      <c r="H517" t="s">
        <v>74</v>
      </c>
      <c r="I517" t="s">
        <v>9820</v>
      </c>
      <c r="J517" t="s">
        <v>9821</v>
      </c>
      <c r="K517" t="s">
        <v>74</v>
      </c>
      <c r="L517" t="s">
        <v>74</v>
      </c>
      <c r="M517" t="s">
        <v>200</v>
      </c>
      <c r="N517" t="s">
        <v>79</v>
      </c>
      <c r="O517" t="s">
        <v>74</v>
      </c>
      <c r="P517" t="s">
        <v>74</v>
      </c>
      <c r="Q517" t="s">
        <v>74</v>
      </c>
      <c r="R517" t="s">
        <v>74</v>
      </c>
      <c r="S517" t="s">
        <v>74</v>
      </c>
      <c r="T517" t="s">
        <v>74</v>
      </c>
      <c r="U517" t="s">
        <v>9822</v>
      </c>
      <c r="V517" t="s">
        <v>74</v>
      </c>
      <c r="W517" t="s">
        <v>9823</v>
      </c>
      <c r="X517" t="s">
        <v>9824</v>
      </c>
      <c r="Y517" t="s">
        <v>9825</v>
      </c>
      <c r="Z517" t="s">
        <v>9826</v>
      </c>
      <c r="AA517" t="s">
        <v>9827</v>
      </c>
      <c r="AB517" t="s">
        <v>9828</v>
      </c>
      <c r="AC517" t="s">
        <v>9829</v>
      </c>
      <c r="AD517" t="s">
        <v>9830</v>
      </c>
      <c r="AE517" t="s">
        <v>9831</v>
      </c>
      <c r="AF517" t="s">
        <v>74</v>
      </c>
      <c r="AG517">
        <v>175</v>
      </c>
      <c r="AH517">
        <v>10</v>
      </c>
      <c r="AI517">
        <v>13</v>
      </c>
      <c r="AJ517">
        <v>0</v>
      </c>
      <c r="AK517">
        <v>20</v>
      </c>
      <c r="AL517" t="s">
        <v>502</v>
      </c>
      <c r="AM517" t="s">
        <v>503</v>
      </c>
      <c r="AN517" t="s">
        <v>504</v>
      </c>
      <c r="AO517" t="s">
        <v>9832</v>
      </c>
      <c r="AP517" t="s">
        <v>9833</v>
      </c>
      <c r="AQ517" t="s">
        <v>74</v>
      </c>
      <c r="AR517" t="s">
        <v>9834</v>
      </c>
      <c r="AS517" t="s">
        <v>9835</v>
      </c>
      <c r="AT517" t="s">
        <v>74</v>
      </c>
      <c r="AU517">
        <v>2016</v>
      </c>
      <c r="AV517">
        <v>38</v>
      </c>
      <c r="AW517">
        <v>2</v>
      </c>
      <c r="AX517" t="s">
        <v>74</v>
      </c>
      <c r="AY517" t="s">
        <v>74</v>
      </c>
      <c r="AZ517" t="s">
        <v>74</v>
      </c>
      <c r="BA517" t="s">
        <v>74</v>
      </c>
      <c r="BB517">
        <v>151</v>
      </c>
      <c r="BC517">
        <v>167</v>
      </c>
      <c r="BD517" t="s">
        <v>74</v>
      </c>
      <c r="BE517" t="s">
        <v>9836</v>
      </c>
      <c r="BF517" t="str">
        <f>HYPERLINK("http://dx.doi.org/10.1080/03736687.2016.1171453","http://dx.doi.org/10.1080/03736687.2016.1171453")</f>
        <v>http://dx.doi.org/10.1080/03736687.2016.1171453</v>
      </c>
      <c r="BG517" t="s">
        <v>74</v>
      </c>
      <c r="BH517" t="s">
        <v>74</v>
      </c>
      <c r="BI517">
        <v>17</v>
      </c>
      <c r="BJ517" t="s">
        <v>1276</v>
      </c>
      <c r="BK517" t="s">
        <v>264</v>
      </c>
      <c r="BL517" t="s">
        <v>1276</v>
      </c>
      <c r="BM517" t="s">
        <v>9837</v>
      </c>
      <c r="BN517" t="s">
        <v>74</v>
      </c>
      <c r="BO517" t="s">
        <v>241</v>
      </c>
      <c r="BP517" t="s">
        <v>74</v>
      </c>
      <c r="BQ517" t="s">
        <v>74</v>
      </c>
      <c r="BR517" t="s">
        <v>100</v>
      </c>
      <c r="BS517" t="s">
        <v>9838</v>
      </c>
      <c r="BT517" t="str">
        <f>HYPERLINK("https%3A%2F%2Fwww.webofscience.com%2Fwos%2Fwoscc%2Ffull-record%2FWOS:000378061300008","View Full Record in Web of Science")</f>
        <v>View Full Record in Web of Science</v>
      </c>
    </row>
    <row r="518" spans="1:72" x14ac:dyDescent="0.15">
      <c r="A518" t="s">
        <v>72</v>
      </c>
      <c r="B518" t="s">
        <v>9839</v>
      </c>
      <c r="C518" t="s">
        <v>74</v>
      </c>
      <c r="D518" t="s">
        <v>74</v>
      </c>
      <c r="E518" t="s">
        <v>74</v>
      </c>
      <c r="F518" t="s">
        <v>9840</v>
      </c>
      <c r="G518" t="s">
        <v>74</v>
      </c>
      <c r="H518" t="s">
        <v>74</v>
      </c>
      <c r="I518" t="s">
        <v>9841</v>
      </c>
      <c r="J518" t="s">
        <v>9821</v>
      </c>
      <c r="K518" t="s">
        <v>74</v>
      </c>
      <c r="L518" t="s">
        <v>74</v>
      </c>
      <c r="M518" t="s">
        <v>200</v>
      </c>
      <c r="N518" t="s">
        <v>79</v>
      </c>
      <c r="O518" t="s">
        <v>74</v>
      </c>
      <c r="P518" t="s">
        <v>74</v>
      </c>
      <c r="Q518" t="s">
        <v>74</v>
      </c>
      <c r="R518" t="s">
        <v>74</v>
      </c>
      <c r="S518" t="s">
        <v>74</v>
      </c>
      <c r="T518" t="s">
        <v>74</v>
      </c>
      <c r="U518" t="s">
        <v>9842</v>
      </c>
      <c r="V518" t="s">
        <v>74</v>
      </c>
      <c r="W518" t="s">
        <v>9843</v>
      </c>
      <c r="X518" t="s">
        <v>9844</v>
      </c>
      <c r="Y518" t="s">
        <v>9825</v>
      </c>
      <c r="Z518" t="s">
        <v>9826</v>
      </c>
      <c r="AA518" t="s">
        <v>9845</v>
      </c>
      <c r="AB518" t="s">
        <v>9846</v>
      </c>
      <c r="AC518" t="s">
        <v>9847</v>
      </c>
      <c r="AD518" t="s">
        <v>9848</v>
      </c>
      <c r="AE518" t="s">
        <v>9849</v>
      </c>
      <c r="AF518" t="s">
        <v>74</v>
      </c>
      <c r="AG518">
        <v>240</v>
      </c>
      <c r="AH518">
        <v>34</v>
      </c>
      <c r="AI518">
        <v>42</v>
      </c>
      <c r="AJ518">
        <v>0</v>
      </c>
      <c r="AK518">
        <v>26</v>
      </c>
      <c r="AL518" t="s">
        <v>502</v>
      </c>
      <c r="AM518" t="s">
        <v>503</v>
      </c>
      <c r="AN518" t="s">
        <v>504</v>
      </c>
      <c r="AO518" t="s">
        <v>9832</v>
      </c>
      <c r="AP518" t="s">
        <v>9833</v>
      </c>
      <c r="AQ518" t="s">
        <v>74</v>
      </c>
      <c r="AR518" t="s">
        <v>9834</v>
      </c>
      <c r="AS518" t="s">
        <v>9835</v>
      </c>
      <c r="AT518" t="s">
        <v>74</v>
      </c>
      <c r="AU518">
        <v>2016</v>
      </c>
      <c r="AV518">
        <v>38</v>
      </c>
      <c r="AW518">
        <v>3</v>
      </c>
      <c r="AX518" t="s">
        <v>74</v>
      </c>
      <c r="AY518" t="s">
        <v>74</v>
      </c>
      <c r="AZ518" t="s">
        <v>74</v>
      </c>
      <c r="BA518" t="s">
        <v>74</v>
      </c>
      <c r="BB518">
        <v>235</v>
      </c>
      <c r="BC518">
        <v>259</v>
      </c>
      <c r="BD518" t="s">
        <v>74</v>
      </c>
      <c r="BE518" t="s">
        <v>9850</v>
      </c>
      <c r="BF518" t="str">
        <f>HYPERLINK("http://dx.doi.org/10.1080/03736687.2016.1206685","http://dx.doi.org/10.1080/03736687.2016.1206685")</f>
        <v>http://dx.doi.org/10.1080/03736687.2016.1206685</v>
      </c>
      <c r="BG518" t="s">
        <v>74</v>
      </c>
      <c r="BH518" t="s">
        <v>74</v>
      </c>
      <c r="BI518">
        <v>25</v>
      </c>
      <c r="BJ518" t="s">
        <v>1276</v>
      </c>
      <c r="BK518" t="s">
        <v>264</v>
      </c>
      <c r="BL518" t="s">
        <v>1276</v>
      </c>
      <c r="BM518" t="s">
        <v>9851</v>
      </c>
      <c r="BN518" t="s">
        <v>74</v>
      </c>
      <c r="BO518" t="s">
        <v>74</v>
      </c>
      <c r="BP518" t="s">
        <v>74</v>
      </c>
      <c r="BQ518" t="s">
        <v>74</v>
      </c>
      <c r="BR518" t="s">
        <v>100</v>
      </c>
      <c r="BS518" t="s">
        <v>9852</v>
      </c>
      <c r="BT518" t="str">
        <f>HYPERLINK("https%3A%2F%2Fwww.webofscience.com%2Fwos%2Fwoscc%2Ffull-record%2FWOS:000382210300007","View Full Record in Web of Science")</f>
        <v>View Full Record in Web of Science</v>
      </c>
    </row>
    <row r="519" spans="1:72" x14ac:dyDescent="0.15">
      <c r="A519" t="s">
        <v>72</v>
      </c>
      <c r="B519" t="s">
        <v>9853</v>
      </c>
      <c r="C519" t="s">
        <v>74</v>
      </c>
      <c r="D519" t="s">
        <v>74</v>
      </c>
      <c r="E519" t="s">
        <v>74</v>
      </c>
      <c r="F519" t="s">
        <v>9854</v>
      </c>
      <c r="G519" t="s">
        <v>74</v>
      </c>
      <c r="H519" t="s">
        <v>74</v>
      </c>
      <c r="I519" t="s">
        <v>9855</v>
      </c>
      <c r="J519" t="s">
        <v>6650</v>
      </c>
      <c r="K519" t="s">
        <v>74</v>
      </c>
      <c r="L519" t="s">
        <v>74</v>
      </c>
      <c r="M519" t="s">
        <v>200</v>
      </c>
      <c r="N519" t="s">
        <v>79</v>
      </c>
      <c r="O519" t="s">
        <v>74</v>
      </c>
      <c r="P519" t="s">
        <v>74</v>
      </c>
      <c r="Q519" t="s">
        <v>74</v>
      </c>
      <c r="R519" t="s">
        <v>74</v>
      </c>
      <c r="S519" t="s">
        <v>74</v>
      </c>
      <c r="T519" t="s">
        <v>9856</v>
      </c>
      <c r="U519" t="s">
        <v>9857</v>
      </c>
      <c r="V519" t="s">
        <v>9858</v>
      </c>
      <c r="W519" t="s">
        <v>9859</v>
      </c>
      <c r="X519" t="s">
        <v>9860</v>
      </c>
      <c r="Y519" t="s">
        <v>9861</v>
      </c>
      <c r="Z519" t="s">
        <v>9862</v>
      </c>
      <c r="AA519" t="s">
        <v>9863</v>
      </c>
      <c r="AB519" t="s">
        <v>9864</v>
      </c>
      <c r="AC519" t="s">
        <v>9865</v>
      </c>
      <c r="AD519" t="s">
        <v>9866</v>
      </c>
      <c r="AE519" t="s">
        <v>9867</v>
      </c>
      <c r="AF519" t="s">
        <v>74</v>
      </c>
      <c r="AG519">
        <v>83</v>
      </c>
      <c r="AH519">
        <v>26</v>
      </c>
      <c r="AI519">
        <v>30</v>
      </c>
      <c r="AJ519">
        <v>3</v>
      </c>
      <c r="AK519">
        <v>38</v>
      </c>
      <c r="AL519" t="s">
        <v>6662</v>
      </c>
      <c r="AM519" t="s">
        <v>6663</v>
      </c>
      <c r="AN519" t="s">
        <v>6664</v>
      </c>
      <c r="AO519" t="s">
        <v>6665</v>
      </c>
      <c r="AP519" t="s">
        <v>6666</v>
      </c>
      <c r="AQ519" t="s">
        <v>74</v>
      </c>
      <c r="AR519" t="s">
        <v>6667</v>
      </c>
      <c r="AS519" t="s">
        <v>6668</v>
      </c>
      <c r="AT519" t="s">
        <v>315</v>
      </c>
      <c r="AU519">
        <v>2016</v>
      </c>
      <c r="AV519">
        <v>29</v>
      </c>
      <c r="AW519">
        <v>1</v>
      </c>
      <c r="AX519" t="s">
        <v>74</v>
      </c>
      <c r="AY519" t="s">
        <v>74</v>
      </c>
      <c r="AZ519" t="s">
        <v>74</v>
      </c>
      <c r="BA519" t="s">
        <v>74</v>
      </c>
      <c r="BB519">
        <v>313</v>
      </c>
      <c r="BC519">
        <v>330</v>
      </c>
      <c r="BD519" t="s">
        <v>74</v>
      </c>
      <c r="BE519" t="s">
        <v>9868</v>
      </c>
      <c r="BF519" t="str">
        <f>HYPERLINK("http://dx.doi.org/10.1175/JCLI-D-15-0467.1","http://dx.doi.org/10.1175/JCLI-D-15-0467.1")</f>
        <v>http://dx.doi.org/10.1175/JCLI-D-15-0467.1</v>
      </c>
      <c r="BG519" t="s">
        <v>74</v>
      </c>
      <c r="BH519" t="s">
        <v>74</v>
      </c>
      <c r="BI519">
        <v>18</v>
      </c>
      <c r="BJ519" t="s">
        <v>1721</v>
      </c>
      <c r="BK519" t="s">
        <v>264</v>
      </c>
      <c r="BL519" t="s">
        <v>1721</v>
      </c>
      <c r="BM519" t="s">
        <v>9869</v>
      </c>
      <c r="BN519" t="s">
        <v>74</v>
      </c>
      <c r="BO519" t="s">
        <v>2274</v>
      </c>
      <c r="BP519" t="s">
        <v>74</v>
      </c>
      <c r="BQ519" t="s">
        <v>74</v>
      </c>
      <c r="BR519" t="s">
        <v>100</v>
      </c>
      <c r="BS519" t="s">
        <v>9870</v>
      </c>
      <c r="BT519" t="str">
        <f>HYPERLINK("https%3A%2F%2Fwww.webofscience.com%2Fwos%2Fwoscc%2Ffull-record%2FWOS:000367432400001","View Full Record in Web of Science")</f>
        <v>View Full Record in Web of Science</v>
      </c>
    </row>
    <row r="520" spans="1:72" x14ac:dyDescent="0.15">
      <c r="A520" t="s">
        <v>72</v>
      </c>
      <c r="B520" t="s">
        <v>9871</v>
      </c>
      <c r="C520" t="s">
        <v>74</v>
      </c>
      <c r="D520" t="s">
        <v>74</v>
      </c>
      <c r="E520" t="s">
        <v>74</v>
      </c>
      <c r="F520" t="s">
        <v>9872</v>
      </c>
      <c r="G520" t="s">
        <v>74</v>
      </c>
      <c r="H520" t="s">
        <v>74</v>
      </c>
      <c r="I520" t="s">
        <v>9873</v>
      </c>
      <c r="J520" t="s">
        <v>9874</v>
      </c>
      <c r="K520" t="s">
        <v>74</v>
      </c>
      <c r="L520" t="s">
        <v>74</v>
      </c>
      <c r="M520" t="s">
        <v>200</v>
      </c>
      <c r="N520" t="s">
        <v>79</v>
      </c>
      <c r="O520" t="s">
        <v>74</v>
      </c>
      <c r="P520" t="s">
        <v>74</v>
      </c>
      <c r="Q520" t="s">
        <v>74</v>
      </c>
      <c r="R520" t="s">
        <v>74</v>
      </c>
      <c r="S520" t="s">
        <v>74</v>
      </c>
      <c r="T520" t="s">
        <v>9875</v>
      </c>
      <c r="U520" t="s">
        <v>9876</v>
      </c>
      <c r="V520" t="s">
        <v>9877</v>
      </c>
      <c r="W520" t="s">
        <v>9878</v>
      </c>
      <c r="X520" t="s">
        <v>9879</v>
      </c>
      <c r="Y520" t="s">
        <v>9880</v>
      </c>
      <c r="Z520" t="s">
        <v>9881</v>
      </c>
      <c r="AA520" t="s">
        <v>9882</v>
      </c>
      <c r="AB520" t="s">
        <v>9883</v>
      </c>
      <c r="AC520" t="s">
        <v>9884</v>
      </c>
      <c r="AD520" t="s">
        <v>9885</v>
      </c>
      <c r="AE520" t="s">
        <v>9886</v>
      </c>
      <c r="AF520" t="s">
        <v>74</v>
      </c>
      <c r="AG520">
        <v>57</v>
      </c>
      <c r="AH520">
        <v>39</v>
      </c>
      <c r="AI520">
        <v>39</v>
      </c>
      <c r="AJ520">
        <v>0</v>
      </c>
      <c r="AK520">
        <v>16</v>
      </c>
      <c r="AL520" t="s">
        <v>6373</v>
      </c>
      <c r="AM520" t="s">
        <v>6374</v>
      </c>
      <c r="AN520" t="s">
        <v>6375</v>
      </c>
      <c r="AO520" t="s">
        <v>9887</v>
      </c>
      <c r="AP520" t="s">
        <v>9888</v>
      </c>
      <c r="AQ520" t="s">
        <v>74</v>
      </c>
      <c r="AR520" t="s">
        <v>9889</v>
      </c>
      <c r="AS520" t="s">
        <v>9890</v>
      </c>
      <c r="AT520" t="s">
        <v>315</v>
      </c>
      <c r="AU520">
        <v>2016</v>
      </c>
      <c r="AV520">
        <v>186</v>
      </c>
      <c r="AW520">
        <v>1</v>
      </c>
      <c r="AX520" t="s">
        <v>74</v>
      </c>
      <c r="AY520" t="s">
        <v>74</v>
      </c>
      <c r="AZ520" t="s">
        <v>74</v>
      </c>
      <c r="BA520" t="s">
        <v>74</v>
      </c>
      <c r="BB520">
        <v>59</v>
      </c>
      <c r="BC520">
        <v>71</v>
      </c>
      <c r="BD520" t="s">
        <v>74</v>
      </c>
      <c r="BE520" t="s">
        <v>9891</v>
      </c>
      <c r="BF520" t="str">
        <f>HYPERLINK("http://dx.doi.org/10.1007/s00360-015-0935-3","http://dx.doi.org/10.1007/s00360-015-0935-3")</f>
        <v>http://dx.doi.org/10.1007/s00360-015-0935-3</v>
      </c>
      <c r="BG520" t="s">
        <v>74</v>
      </c>
      <c r="BH520" t="s">
        <v>74</v>
      </c>
      <c r="BI520">
        <v>13</v>
      </c>
      <c r="BJ520" t="s">
        <v>9892</v>
      </c>
      <c r="BK520" t="s">
        <v>264</v>
      </c>
      <c r="BL520" t="s">
        <v>9892</v>
      </c>
      <c r="BM520" t="s">
        <v>9893</v>
      </c>
      <c r="BN520">
        <v>26433650</v>
      </c>
      <c r="BO520" t="s">
        <v>74</v>
      </c>
      <c r="BP520" t="s">
        <v>74</v>
      </c>
      <c r="BQ520" t="s">
        <v>74</v>
      </c>
      <c r="BR520" t="s">
        <v>100</v>
      </c>
      <c r="BS520" t="s">
        <v>9894</v>
      </c>
      <c r="BT520" t="str">
        <f>HYPERLINK("https%3A%2F%2Fwww.webofscience.com%2Fwos%2Fwoscc%2Ffull-record%2FWOS:000368112200004","View Full Record in Web of Science")</f>
        <v>View Full Record in Web of Science</v>
      </c>
    </row>
    <row r="521" spans="1:72" x14ac:dyDescent="0.15">
      <c r="A521" t="s">
        <v>72</v>
      </c>
      <c r="B521" t="s">
        <v>9895</v>
      </c>
      <c r="C521" t="s">
        <v>74</v>
      </c>
      <c r="D521" t="s">
        <v>74</v>
      </c>
      <c r="E521" t="s">
        <v>74</v>
      </c>
      <c r="F521" t="s">
        <v>9896</v>
      </c>
      <c r="G521" t="s">
        <v>74</v>
      </c>
      <c r="H521" t="s">
        <v>74</v>
      </c>
      <c r="I521" t="s">
        <v>9897</v>
      </c>
      <c r="J521" t="s">
        <v>9898</v>
      </c>
      <c r="K521" t="s">
        <v>74</v>
      </c>
      <c r="L521" t="s">
        <v>74</v>
      </c>
      <c r="M521" t="s">
        <v>3166</v>
      </c>
      <c r="N521" t="s">
        <v>79</v>
      </c>
      <c r="O521" t="s">
        <v>74</v>
      </c>
      <c r="P521" t="s">
        <v>74</v>
      </c>
      <c r="Q521" t="s">
        <v>74</v>
      </c>
      <c r="R521" t="s">
        <v>74</v>
      </c>
      <c r="S521" t="s">
        <v>74</v>
      </c>
      <c r="T521" t="s">
        <v>9899</v>
      </c>
      <c r="U521" t="s">
        <v>74</v>
      </c>
      <c r="V521" t="s">
        <v>9900</v>
      </c>
      <c r="W521" t="s">
        <v>9901</v>
      </c>
      <c r="X521" t="s">
        <v>9902</v>
      </c>
      <c r="Y521" t="s">
        <v>9903</v>
      </c>
      <c r="Z521" t="s">
        <v>74</v>
      </c>
      <c r="AA521" t="s">
        <v>74</v>
      </c>
      <c r="AB521" t="s">
        <v>74</v>
      </c>
      <c r="AC521" t="s">
        <v>9904</v>
      </c>
      <c r="AD521" t="s">
        <v>9905</v>
      </c>
      <c r="AE521" t="s">
        <v>74</v>
      </c>
      <c r="AF521" t="s">
        <v>74</v>
      </c>
      <c r="AG521">
        <v>49</v>
      </c>
      <c r="AH521">
        <v>3</v>
      </c>
      <c r="AI521">
        <v>3</v>
      </c>
      <c r="AJ521">
        <v>0</v>
      </c>
      <c r="AK521">
        <v>1</v>
      </c>
      <c r="AL521" t="s">
        <v>9906</v>
      </c>
      <c r="AM521" t="s">
        <v>3175</v>
      </c>
      <c r="AN521" t="s">
        <v>9907</v>
      </c>
      <c r="AO521" t="s">
        <v>9908</v>
      </c>
      <c r="AP521" t="s">
        <v>9909</v>
      </c>
      <c r="AQ521" t="s">
        <v>74</v>
      </c>
      <c r="AR521" t="s">
        <v>9910</v>
      </c>
      <c r="AS521" t="s">
        <v>9911</v>
      </c>
      <c r="AT521" t="s">
        <v>74</v>
      </c>
      <c r="AU521">
        <v>2016</v>
      </c>
      <c r="AV521">
        <v>125</v>
      </c>
      <c r="AW521">
        <v>1</v>
      </c>
      <c r="AX521" t="s">
        <v>74</v>
      </c>
      <c r="AY521" t="s">
        <v>74</v>
      </c>
      <c r="AZ521" t="s">
        <v>2540</v>
      </c>
      <c r="BA521" t="s">
        <v>74</v>
      </c>
      <c r="BB521">
        <v>91</v>
      </c>
      <c r="BC521">
        <v>104</v>
      </c>
      <c r="BD521" t="s">
        <v>74</v>
      </c>
      <c r="BE521" t="s">
        <v>9912</v>
      </c>
      <c r="BF521" t="str">
        <f>HYPERLINK("http://dx.doi.org/10.5026/jgeography.125.91","http://dx.doi.org/10.5026/jgeography.125.91")</f>
        <v>http://dx.doi.org/10.5026/jgeography.125.91</v>
      </c>
      <c r="BG521" t="s">
        <v>74</v>
      </c>
      <c r="BH521" t="s">
        <v>74</v>
      </c>
      <c r="BI521">
        <v>14</v>
      </c>
      <c r="BJ521" t="s">
        <v>2747</v>
      </c>
      <c r="BK521" t="s">
        <v>96</v>
      </c>
      <c r="BL521" t="s">
        <v>2748</v>
      </c>
      <c r="BM521" t="s">
        <v>9913</v>
      </c>
      <c r="BN521" t="s">
        <v>74</v>
      </c>
      <c r="BO521" t="s">
        <v>99</v>
      </c>
      <c r="BP521" t="s">
        <v>74</v>
      </c>
      <c r="BQ521" t="s">
        <v>74</v>
      </c>
      <c r="BR521" t="s">
        <v>100</v>
      </c>
      <c r="BS521" t="s">
        <v>9914</v>
      </c>
      <c r="BT521" t="str">
        <f>HYPERLINK("https%3A%2F%2Fwww.webofscience.com%2Fwos%2Fwoscc%2Ffull-record%2FWOS:000446312500007","View Full Record in Web of Science")</f>
        <v>View Full Record in Web of Science</v>
      </c>
    </row>
    <row r="522" spans="1:72" x14ac:dyDescent="0.15">
      <c r="A522" t="s">
        <v>72</v>
      </c>
      <c r="B522" t="s">
        <v>9915</v>
      </c>
      <c r="C522" t="s">
        <v>74</v>
      </c>
      <c r="D522" t="s">
        <v>74</v>
      </c>
      <c r="E522" t="s">
        <v>74</v>
      </c>
      <c r="F522" t="s">
        <v>9916</v>
      </c>
      <c r="G522" t="s">
        <v>74</v>
      </c>
      <c r="H522" t="s">
        <v>74</v>
      </c>
      <c r="I522" t="s">
        <v>9917</v>
      </c>
      <c r="J522" t="s">
        <v>5787</v>
      </c>
      <c r="K522" t="s">
        <v>74</v>
      </c>
      <c r="L522" t="s">
        <v>74</v>
      </c>
      <c r="M522" t="s">
        <v>200</v>
      </c>
      <c r="N522" t="s">
        <v>79</v>
      </c>
      <c r="O522" t="s">
        <v>74</v>
      </c>
      <c r="P522" t="s">
        <v>74</v>
      </c>
      <c r="Q522" t="s">
        <v>74</v>
      </c>
      <c r="R522" t="s">
        <v>74</v>
      </c>
      <c r="S522" t="s">
        <v>74</v>
      </c>
      <c r="T522" t="s">
        <v>9918</v>
      </c>
      <c r="U522" t="s">
        <v>9919</v>
      </c>
      <c r="V522" t="s">
        <v>9920</v>
      </c>
      <c r="W522" t="s">
        <v>9921</v>
      </c>
      <c r="X522" t="s">
        <v>9922</v>
      </c>
      <c r="Y522" t="s">
        <v>9923</v>
      </c>
      <c r="Z522" t="s">
        <v>9924</v>
      </c>
      <c r="AA522" t="s">
        <v>9925</v>
      </c>
      <c r="AB522" t="s">
        <v>9926</v>
      </c>
      <c r="AC522" t="s">
        <v>9927</v>
      </c>
      <c r="AD522" t="s">
        <v>9928</v>
      </c>
      <c r="AE522" t="s">
        <v>9929</v>
      </c>
      <c r="AF522" t="s">
        <v>74</v>
      </c>
      <c r="AG522">
        <v>50</v>
      </c>
      <c r="AH522">
        <v>30</v>
      </c>
      <c r="AI522">
        <v>32</v>
      </c>
      <c r="AJ522">
        <v>2</v>
      </c>
      <c r="AK522">
        <v>19</v>
      </c>
      <c r="AL522" t="s">
        <v>2410</v>
      </c>
      <c r="AM522" t="s">
        <v>1559</v>
      </c>
      <c r="AN522" t="s">
        <v>2411</v>
      </c>
      <c r="AO522" t="s">
        <v>5798</v>
      </c>
      <c r="AP522" t="s">
        <v>5799</v>
      </c>
      <c r="AQ522" t="s">
        <v>74</v>
      </c>
      <c r="AR522" t="s">
        <v>5800</v>
      </c>
      <c r="AS522" t="s">
        <v>5801</v>
      </c>
      <c r="AT522" t="s">
        <v>315</v>
      </c>
      <c r="AU522">
        <v>2016</v>
      </c>
      <c r="AV522">
        <v>121</v>
      </c>
      <c r="AW522">
        <v>1</v>
      </c>
      <c r="AX522" t="s">
        <v>74</v>
      </c>
      <c r="AY522" t="s">
        <v>74</v>
      </c>
      <c r="AZ522" t="s">
        <v>74</v>
      </c>
      <c r="BA522" t="s">
        <v>74</v>
      </c>
      <c r="BB522">
        <v>980</v>
      </c>
      <c r="BC522">
        <v>997</v>
      </c>
      <c r="BD522" t="s">
        <v>74</v>
      </c>
      <c r="BE522" t="s">
        <v>9930</v>
      </c>
      <c r="BF522" t="str">
        <f>HYPERLINK("http://dx.doi.org/10.1002/2015JC011318","http://dx.doi.org/10.1002/2015JC011318")</f>
        <v>http://dx.doi.org/10.1002/2015JC011318</v>
      </c>
      <c r="BG522" t="s">
        <v>74</v>
      </c>
      <c r="BH522" t="s">
        <v>74</v>
      </c>
      <c r="BI522">
        <v>18</v>
      </c>
      <c r="BJ522" t="s">
        <v>5339</v>
      </c>
      <c r="BK522" t="s">
        <v>264</v>
      </c>
      <c r="BL522" t="s">
        <v>5339</v>
      </c>
      <c r="BM522" t="s">
        <v>5803</v>
      </c>
      <c r="BN522" t="s">
        <v>74</v>
      </c>
      <c r="BO522" t="s">
        <v>9931</v>
      </c>
      <c r="BP522" t="s">
        <v>74</v>
      </c>
      <c r="BQ522" t="s">
        <v>74</v>
      </c>
      <c r="BR522" t="s">
        <v>100</v>
      </c>
      <c r="BS522" t="s">
        <v>9932</v>
      </c>
      <c r="BT522" t="str">
        <f>HYPERLINK("https%3A%2F%2Fwww.webofscience.com%2Fwos%2Fwoscc%2Ffull-record%2FWOS:000371432200055","View Full Record in Web of Science")</f>
        <v>View Full Record in Web of Science</v>
      </c>
    </row>
    <row r="523" spans="1:72" x14ac:dyDescent="0.15">
      <c r="A523" t="s">
        <v>72</v>
      </c>
      <c r="B523" t="s">
        <v>9933</v>
      </c>
      <c r="C523" t="s">
        <v>74</v>
      </c>
      <c r="D523" t="s">
        <v>74</v>
      </c>
      <c r="E523" t="s">
        <v>74</v>
      </c>
      <c r="F523" t="s">
        <v>9934</v>
      </c>
      <c r="G523" t="s">
        <v>74</v>
      </c>
      <c r="H523" t="s">
        <v>74</v>
      </c>
      <c r="I523" t="s">
        <v>9935</v>
      </c>
      <c r="J523" t="s">
        <v>9936</v>
      </c>
      <c r="K523" t="s">
        <v>74</v>
      </c>
      <c r="L523" t="s">
        <v>74</v>
      </c>
      <c r="M523" t="s">
        <v>200</v>
      </c>
      <c r="N523" t="s">
        <v>79</v>
      </c>
      <c r="O523" t="s">
        <v>74</v>
      </c>
      <c r="P523" t="s">
        <v>74</v>
      </c>
      <c r="Q523" t="s">
        <v>74</v>
      </c>
      <c r="R523" t="s">
        <v>74</v>
      </c>
      <c r="S523" t="s">
        <v>74</v>
      </c>
      <c r="T523" t="s">
        <v>9937</v>
      </c>
      <c r="U523" t="s">
        <v>9938</v>
      </c>
      <c r="V523" t="s">
        <v>9939</v>
      </c>
      <c r="W523" t="s">
        <v>9940</v>
      </c>
      <c r="X523" t="s">
        <v>9941</v>
      </c>
      <c r="Y523" t="s">
        <v>9942</v>
      </c>
      <c r="Z523" t="s">
        <v>9943</v>
      </c>
      <c r="AA523" t="s">
        <v>9944</v>
      </c>
      <c r="AB523" t="s">
        <v>9945</v>
      </c>
      <c r="AC523" t="s">
        <v>9946</v>
      </c>
      <c r="AD523" t="s">
        <v>9947</v>
      </c>
      <c r="AE523" t="s">
        <v>9948</v>
      </c>
      <c r="AF523" t="s">
        <v>74</v>
      </c>
      <c r="AG523">
        <v>66</v>
      </c>
      <c r="AH523">
        <v>40</v>
      </c>
      <c r="AI523">
        <v>41</v>
      </c>
      <c r="AJ523">
        <v>0</v>
      </c>
      <c r="AK523">
        <v>5</v>
      </c>
      <c r="AL523" t="s">
        <v>2410</v>
      </c>
      <c r="AM523" t="s">
        <v>1559</v>
      </c>
      <c r="AN523" t="s">
        <v>2411</v>
      </c>
      <c r="AO523" t="s">
        <v>9949</v>
      </c>
      <c r="AP523" t="s">
        <v>9950</v>
      </c>
      <c r="AQ523" t="s">
        <v>74</v>
      </c>
      <c r="AR523" t="s">
        <v>9951</v>
      </c>
      <c r="AS523" t="s">
        <v>9952</v>
      </c>
      <c r="AT523" t="s">
        <v>315</v>
      </c>
      <c r="AU523">
        <v>2016</v>
      </c>
      <c r="AV523">
        <v>121</v>
      </c>
      <c r="AW523">
        <v>1</v>
      </c>
      <c r="AX523" t="s">
        <v>74</v>
      </c>
      <c r="AY523" t="s">
        <v>74</v>
      </c>
      <c r="AZ523" t="s">
        <v>74</v>
      </c>
      <c r="BA523" t="s">
        <v>74</v>
      </c>
      <c r="BB523">
        <v>171</v>
      </c>
      <c r="BC523">
        <v>189</v>
      </c>
      <c r="BD523" t="s">
        <v>74</v>
      </c>
      <c r="BE523" t="s">
        <v>9953</v>
      </c>
      <c r="BF523" t="str">
        <f>HYPERLINK("http://dx.doi.org/10.1002/2015JA021537","http://dx.doi.org/10.1002/2015JA021537")</f>
        <v>http://dx.doi.org/10.1002/2015JA021537</v>
      </c>
      <c r="BG523" t="s">
        <v>74</v>
      </c>
      <c r="BH523" t="s">
        <v>74</v>
      </c>
      <c r="BI523">
        <v>19</v>
      </c>
      <c r="BJ523" t="s">
        <v>1168</v>
      </c>
      <c r="BK523" t="s">
        <v>264</v>
      </c>
      <c r="BL523" t="s">
        <v>1168</v>
      </c>
      <c r="BM523" t="s">
        <v>9954</v>
      </c>
      <c r="BN523" t="s">
        <v>74</v>
      </c>
      <c r="BO523" t="s">
        <v>486</v>
      </c>
      <c r="BP523" t="s">
        <v>74</v>
      </c>
      <c r="BQ523" t="s">
        <v>74</v>
      </c>
      <c r="BR523" t="s">
        <v>100</v>
      </c>
      <c r="BS523" t="s">
        <v>9955</v>
      </c>
      <c r="BT523" t="str">
        <f>HYPERLINK("https%3A%2F%2Fwww.webofscience.com%2Fwos%2Fwoscc%2Ffull-record%2FWOS:000371146900013","View Full Record in Web of Science")</f>
        <v>View Full Record in Web of Science</v>
      </c>
    </row>
    <row r="524" spans="1:72" x14ac:dyDescent="0.15">
      <c r="A524" t="s">
        <v>72</v>
      </c>
      <c r="B524" t="s">
        <v>9956</v>
      </c>
      <c r="C524" t="s">
        <v>74</v>
      </c>
      <c r="D524" t="s">
        <v>74</v>
      </c>
      <c r="E524" t="s">
        <v>74</v>
      </c>
      <c r="F524" t="s">
        <v>9957</v>
      </c>
      <c r="G524" t="s">
        <v>74</v>
      </c>
      <c r="H524" t="s">
        <v>74</v>
      </c>
      <c r="I524" t="s">
        <v>9958</v>
      </c>
      <c r="J524" t="s">
        <v>9936</v>
      </c>
      <c r="K524" t="s">
        <v>74</v>
      </c>
      <c r="L524" t="s">
        <v>74</v>
      </c>
      <c r="M524" t="s">
        <v>200</v>
      </c>
      <c r="N524" t="s">
        <v>79</v>
      </c>
      <c r="O524" t="s">
        <v>74</v>
      </c>
      <c r="P524" t="s">
        <v>74</v>
      </c>
      <c r="Q524" t="s">
        <v>74</v>
      </c>
      <c r="R524" t="s">
        <v>74</v>
      </c>
      <c r="S524" t="s">
        <v>74</v>
      </c>
      <c r="T524" t="s">
        <v>9959</v>
      </c>
      <c r="U524" t="s">
        <v>9960</v>
      </c>
      <c r="V524" t="s">
        <v>9961</v>
      </c>
      <c r="W524" t="s">
        <v>9962</v>
      </c>
      <c r="X524" t="s">
        <v>9963</v>
      </c>
      <c r="Y524" t="s">
        <v>9964</v>
      </c>
      <c r="Z524" t="s">
        <v>9965</v>
      </c>
      <c r="AA524" t="s">
        <v>9966</v>
      </c>
      <c r="AB524" t="s">
        <v>9967</v>
      </c>
      <c r="AC524" t="s">
        <v>9968</v>
      </c>
      <c r="AD524" t="s">
        <v>9969</v>
      </c>
      <c r="AE524" t="s">
        <v>9970</v>
      </c>
      <c r="AF524" t="s">
        <v>74</v>
      </c>
      <c r="AG524">
        <v>37</v>
      </c>
      <c r="AH524">
        <v>22</v>
      </c>
      <c r="AI524">
        <v>24</v>
      </c>
      <c r="AJ524">
        <v>0</v>
      </c>
      <c r="AK524">
        <v>4</v>
      </c>
      <c r="AL524" t="s">
        <v>2410</v>
      </c>
      <c r="AM524" t="s">
        <v>1559</v>
      </c>
      <c r="AN524" t="s">
        <v>2411</v>
      </c>
      <c r="AO524" t="s">
        <v>9949</v>
      </c>
      <c r="AP524" t="s">
        <v>9950</v>
      </c>
      <c r="AQ524" t="s">
        <v>74</v>
      </c>
      <c r="AR524" t="s">
        <v>9951</v>
      </c>
      <c r="AS524" t="s">
        <v>9952</v>
      </c>
      <c r="AT524" t="s">
        <v>315</v>
      </c>
      <c r="AU524">
        <v>2016</v>
      </c>
      <c r="AV524">
        <v>121</v>
      </c>
      <c r="AW524">
        <v>1</v>
      </c>
      <c r="AX524" t="s">
        <v>74</v>
      </c>
      <c r="AY524" t="s">
        <v>74</v>
      </c>
      <c r="AZ524" t="s">
        <v>74</v>
      </c>
      <c r="BA524" t="s">
        <v>74</v>
      </c>
      <c r="BB524">
        <v>612</v>
      </c>
      <c r="BC524">
        <v>627</v>
      </c>
      <c r="BD524" t="s">
        <v>74</v>
      </c>
      <c r="BE524" t="s">
        <v>9971</v>
      </c>
      <c r="BF524" t="str">
        <f>HYPERLINK("http://dx.doi.org/10.1002/2015JA021750","http://dx.doi.org/10.1002/2015JA021750")</f>
        <v>http://dx.doi.org/10.1002/2015JA021750</v>
      </c>
      <c r="BG524" t="s">
        <v>74</v>
      </c>
      <c r="BH524" t="s">
        <v>74</v>
      </c>
      <c r="BI524">
        <v>16</v>
      </c>
      <c r="BJ524" t="s">
        <v>1168</v>
      </c>
      <c r="BK524" t="s">
        <v>264</v>
      </c>
      <c r="BL524" t="s">
        <v>1168</v>
      </c>
      <c r="BM524" t="s">
        <v>9954</v>
      </c>
      <c r="BN524" t="s">
        <v>74</v>
      </c>
      <c r="BO524" t="s">
        <v>9972</v>
      </c>
      <c r="BP524" t="s">
        <v>74</v>
      </c>
      <c r="BQ524" t="s">
        <v>74</v>
      </c>
      <c r="BR524" t="s">
        <v>100</v>
      </c>
      <c r="BS524" t="s">
        <v>9973</v>
      </c>
      <c r="BT524" t="str">
        <f>HYPERLINK("https%3A%2F%2Fwww.webofscience.com%2Fwos%2Fwoscc%2Ffull-record%2FWOS:000371146900045","View Full Record in Web of Science")</f>
        <v>View Full Record in Web of Science</v>
      </c>
    </row>
    <row r="525" spans="1:72" x14ac:dyDescent="0.15">
      <c r="A525" t="s">
        <v>72</v>
      </c>
      <c r="B525" t="s">
        <v>9974</v>
      </c>
      <c r="C525" t="s">
        <v>74</v>
      </c>
      <c r="D525" t="s">
        <v>74</v>
      </c>
      <c r="E525" t="s">
        <v>74</v>
      </c>
      <c r="F525" t="s">
        <v>9975</v>
      </c>
      <c r="G525" t="s">
        <v>74</v>
      </c>
      <c r="H525" t="s">
        <v>74</v>
      </c>
      <c r="I525" t="s">
        <v>9976</v>
      </c>
      <c r="J525" t="s">
        <v>2226</v>
      </c>
      <c r="K525" t="s">
        <v>74</v>
      </c>
      <c r="L525" t="s">
        <v>74</v>
      </c>
      <c r="M525" t="s">
        <v>200</v>
      </c>
      <c r="N525" t="s">
        <v>79</v>
      </c>
      <c r="O525" t="s">
        <v>74</v>
      </c>
      <c r="P525" t="s">
        <v>74</v>
      </c>
      <c r="Q525" t="s">
        <v>74</v>
      </c>
      <c r="R525" t="s">
        <v>74</v>
      </c>
      <c r="S525" t="s">
        <v>74</v>
      </c>
      <c r="T525" t="s">
        <v>9977</v>
      </c>
      <c r="U525" t="s">
        <v>9978</v>
      </c>
      <c r="V525" t="s">
        <v>9979</v>
      </c>
      <c r="W525" t="s">
        <v>9980</v>
      </c>
      <c r="X525" t="s">
        <v>9981</v>
      </c>
      <c r="Y525" t="s">
        <v>9982</v>
      </c>
      <c r="Z525" t="s">
        <v>9983</v>
      </c>
      <c r="AA525" t="s">
        <v>9984</v>
      </c>
      <c r="AB525" t="s">
        <v>9985</v>
      </c>
      <c r="AC525" t="s">
        <v>9986</v>
      </c>
      <c r="AD525" t="s">
        <v>9987</v>
      </c>
      <c r="AE525" t="s">
        <v>9988</v>
      </c>
      <c r="AF525" t="s">
        <v>74</v>
      </c>
      <c r="AG525">
        <v>51</v>
      </c>
      <c r="AH525">
        <v>25</v>
      </c>
      <c r="AI525">
        <v>27</v>
      </c>
      <c r="AJ525">
        <v>0</v>
      </c>
      <c r="AK525">
        <v>9</v>
      </c>
      <c r="AL525" t="s">
        <v>2239</v>
      </c>
      <c r="AM525" t="s">
        <v>2240</v>
      </c>
      <c r="AN525" t="s">
        <v>2241</v>
      </c>
      <c r="AO525" t="s">
        <v>2242</v>
      </c>
      <c r="AP525" t="s">
        <v>2243</v>
      </c>
      <c r="AQ525" t="s">
        <v>74</v>
      </c>
      <c r="AR525" t="s">
        <v>2244</v>
      </c>
      <c r="AS525" t="s">
        <v>2245</v>
      </c>
      <c r="AT525" t="s">
        <v>74</v>
      </c>
      <c r="AU525">
        <v>2016</v>
      </c>
      <c r="AV525">
        <v>62</v>
      </c>
      <c r="AW525">
        <v>231</v>
      </c>
      <c r="AX525" t="s">
        <v>74</v>
      </c>
      <c r="AY525" t="s">
        <v>74</v>
      </c>
      <c r="AZ525" t="s">
        <v>74</v>
      </c>
      <c r="BA525" t="s">
        <v>74</v>
      </c>
      <c r="BB525">
        <v>37</v>
      </c>
      <c r="BC525">
        <v>45</v>
      </c>
      <c r="BD525" t="s">
        <v>74</v>
      </c>
      <c r="BE525" t="s">
        <v>9989</v>
      </c>
      <c r="BF525" t="str">
        <f>HYPERLINK("http://dx.doi.org/10.1017/jog.2016.7","http://dx.doi.org/10.1017/jog.2016.7")</f>
        <v>http://dx.doi.org/10.1017/jog.2016.7</v>
      </c>
      <c r="BG525" t="s">
        <v>74</v>
      </c>
      <c r="BH525" t="s">
        <v>74</v>
      </c>
      <c r="BI525">
        <v>9</v>
      </c>
      <c r="BJ525" t="s">
        <v>2247</v>
      </c>
      <c r="BK525" t="s">
        <v>264</v>
      </c>
      <c r="BL525" t="s">
        <v>2248</v>
      </c>
      <c r="BM525" t="s">
        <v>4857</v>
      </c>
      <c r="BN525" t="s">
        <v>74</v>
      </c>
      <c r="BO525" t="s">
        <v>523</v>
      </c>
      <c r="BP525" t="s">
        <v>74</v>
      </c>
      <c r="BQ525" t="s">
        <v>74</v>
      </c>
      <c r="BR525" t="s">
        <v>100</v>
      </c>
      <c r="BS525" t="s">
        <v>9990</v>
      </c>
      <c r="BT525" t="str">
        <f>HYPERLINK("https%3A%2F%2Fwww.webofscience.com%2Fwos%2Fwoscc%2Ffull-record%2FWOS:000376838400004","View Full Record in Web of Science")</f>
        <v>View Full Record in Web of Science</v>
      </c>
    </row>
    <row r="526" spans="1:72" x14ac:dyDescent="0.15">
      <c r="A526" t="s">
        <v>72</v>
      </c>
      <c r="B526" t="s">
        <v>9991</v>
      </c>
      <c r="C526" t="s">
        <v>74</v>
      </c>
      <c r="D526" t="s">
        <v>74</v>
      </c>
      <c r="E526" t="s">
        <v>74</v>
      </c>
      <c r="F526" t="s">
        <v>9992</v>
      </c>
      <c r="G526" t="s">
        <v>74</v>
      </c>
      <c r="H526" t="s">
        <v>74</v>
      </c>
      <c r="I526" t="s">
        <v>9993</v>
      </c>
      <c r="J526" t="s">
        <v>2226</v>
      </c>
      <c r="K526" t="s">
        <v>74</v>
      </c>
      <c r="L526" t="s">
        <v>74</v>
      </c>
      <c r="M526" t="s">
        <v>200</v>
      </c>
      <c r="N526" t="s">
        <v>79</v>
      </c>
      <c r="O526" t="s">
        <v>74</v>
      </c>
      <c r="P526" t="s">
        <v>74</v>
      </c>
      <c r="Q526" t="s">
        <v>74</v>
      </c>
      <c r="R526" t="s">
        <v>74</v>
      </c>
      <c r="S526" t="s">
        <v>74</v>
      </c>
      <c r="T526" t="s">
        <v>9994</v>
      </c>
      <c r="U526" t="s">
        <v>9995</v>
      </c>
      <c r="V526" t="s">
        <v>9996</v>
      </c>
      <c r="W526" t="s">
        <v>9997</v>
      </c>
      <c r="X526" t="s">
        <v>9998</v>
      </c>
      <c r="Y526" t="s">
        <v>9999</v>
      </c>
      <c r="Z526" t="s">
        <v>10000</v>
      </c>
      <c r="AA526" t="s">
        <v>10001</v>
      </c>
      <c r="AB526" t="s">
        <v>10002</v>
      </c>
      <c r="AC526" t="s">
        <v>10003</v>
      </c>
      <c r="AD526" t="s">
        <v>10004</v>
      </c>
      <c r="AE526" t="s">
        <v>10005</v>
      </c>
      <c r="AF526" t="s">
        <v>74</v>
      </c>
      <c r="AG526">
        <v>63</v>
      </c>
      <c r="AH526">
        <v>21</v>
      </c>
      <c r="AI526">
        <v>21</v>
      </c>
      <c r="AJ526">
        <v>1</v>
      </c>
      <c r="AK526">
        <v>19</v>
      </c>
      <c r="AL526" t="s">
        <v>2239</v>
      </c>
      <c r="AM526" t="s">
        <v>2240</v>
      </c>
      <c r="AN526" t="s">
        <v>2241</v>
      </c>
      <c r="AO526" t="s">
        <v>2242</v>
      </c>
      <c r="AP526" t="s">
        <v>2243</v>
      </c>
      <c r="AQ526" t="s">
        <v>74</v>
      </c>
      <c r="AR526" t="s">
        <v>2244</v>
      </c>
      <c r="AS526" t="s">
        <v>2245</v>
      </c>
      <c r="AT526" t="s">
        <v>74</v>
      </c>
      <c r="AU526">
        <v>2016</v>
      </c>
      <c r="AV526">
        <v>62</v>
      </c>
      <c r="AW526">
        <v>231</v>
      </c>
      <c r="AX526" t="s">
        <v>74</v>
      </c>
      <c r="AY526" t="s">
        <v>74</v>
      </c>
      <c r="AZ526" t="s">
        <v>74</v>
      </c>
      <c r="BA526" t="s">
        <v>74</v>
      </c>
      <c r="BB526">
        <v>103</v>
      </c>
      <c r="BC526">
        <v>123</v>
      </c>
      <c r="BD526" t="s">
        <v>74</v>
      </c>
      <c r="BE526" t="s">
        <v>10006</v>
      </c>
      <c r="BF526" t="str">
        <f>HYPERLINK("http://dx.doi.org/10.1017/jog.2016.16","http://dx.doi.org/10.1017/jog.2016.16")</f>
        <v>http://dx.doi.org/10.1017/jog.2016.16</v>
      </c>
      <c r="BG526" t="s">
        <v>74</v>
      </c>
      <c r="BH526" t="s">
        <v>74</v>
      </c>
      <c r="BI526">
        <v>21</v>
      </c>
      <c r="BJ526" t="s">
        <v>2247</v>
      </c>
      <c r="BK526" t="s">
        <v>264</v>
      </c>
      <c r="BL526" t="s">
        <v>2248</v>
      </c>
      <c r="BM526" t="s">
        <v>4857</v>
      </c>
      <c r="BN526" t="s">
        <v>74</v>
      </c>
      <c r="BO526" t="s">
        <v>2134</v>
      </c>
      <c r="BP526" t="s">
        <v>74</v>
      </c>
      <c r="BQ526" t="s">
        <v>74</v>
      </c>
      <c r="BR526" t="s">
        <v>100</v>
      </c>
      <c r="BS526" t="s">
        <v>10007</v>
      </c>
      <c r="BT526" t="str">
        <f>HYPERLINK("https%3A%2F%2Fwww.webofscience.com%2Fwos%2Fwoscc%2Ffull-record%2FWOS:000376838400011","View Full Record in Web of Science")</f>
        <v>View Full Record in Web of Science</v>
      </c>
    </row>
    <row r="527" spans="1:72" x14ac:dyDescent="0.15">
      <c r="A527" t="s">
        <v>72</v>
      </c>
      <c r="B527" t="s">
        <v>10008</v>
      </c>
      <c r="C527" t="s">
        <v>74</v>
      </c>
      <c r="D527" t="s">
        <v>74</v>
      </c>
      <c r="E527" t="s">
        <v>74</v>
      </c>
      <c r="F527" t="s">
        <v>10009</v>
      </c>
      <c r="G527" t="s">
        <v>74</v>
      </c>
      <c r="H527" t="s">
        <v>74</v>
      </c>
      <c r="I527" t="s">
        <v>10010</v>
      </c>
      <c r="J527" t="s">
        <v>2226</v>
      </c>
      <c r="K527" t="s">
        <v>74</v>
      </c>
      <c r="L527" t="s">
        <v>74</v>
      </c>
      <c r="M527" t="s">
        <v>200</v>
      </c>
      <c r="N527" t="s">
        <v>79</v>
      </c>
      <c r="O527" t="s">
        <v>74</v>
      </c>
      <c r="P527" t="s">
        <v>74</v>
      </c>
      <c r="Q527" t="s">
        <v>74</v>
      </c>
      <c r="R527" t="s">
        <v>74</v>
      </c>
      <c r="S527" t="s">
        <v>74</v>
      </c>
      <c r="T527" t="s">
        <v>10011</v>
      </c>
      <c r="U527" t="s">
        <v>10012</v>
      </c>
      <c r="V527" t="s">
        <v>10013</v>
      </c>
      <c r="W527" t="s">
        <v>10014</v>
      </c>
      <c r="X527" t="s">
        <v>10015</v>
      </c>
      <c r="Y527" t="s">
        <v>10016</v>
      </c>
      <c r="Z527" t="s">
        <v>10017</v>
      </c>
      <c r="AA527" t="s">
        <v>10018</v>
      </c>
      <c r="AB527" t="s">
        <v>10019</v>
      </c>
      <c r="AC527" t="s">
        <v>10020</v>
      </c>
      <c r="AD527" t="s">
        <v>10021</v>
      </c>
      <c r="AE527" t="s">
        <v>10022</v>
      </c>
      <c r="AF527" t="s">
        <v>74</v>
      </c>
      <c r="AG527">
        <v>37</v>
      </c>
      <c r="AH527">
        <v>7</v>
      </c>
      <c r="AI527">
        <v>7</v>
      </c>
      <c r="AJ527">
        <v>1</v>
      </c>
      <c r="AK527">
        <v>6</v>
      </c>
      <c r="AL527" t="s">
        <v>2239</v>
      </c>
      <c r="AM527" t="s">
        <v>2240</v>
      </c>
      <c r="AN527" t="s">
        <v>2241</v>
      </c>
      <c r="AO527" t="s">
        <v>2242</v>
      </c>
      <c r="AP527" t="s">
        <v>2243</v>
      </c>
      <c r="AQ527" t="s">
        <v>74</v>
      </c>
      <c r="AR527" t="s">
        <v>2244</v>
      </c>
      <c r="AS527" t="s">
        <v>2245</v>
      </c>
      <c r="AT527" t="s">
        <v>74</v>
      </c>
      <c r="AU527">
        <v>2016</v>
      </c>
      <c r="AV527">
        <v>62</v>
      </c>
      <c r="AW527">
        <v>231</v>
      </c>
      <c r="AX527" t="s">
        <v>74</v>
      </c>
      <c r="AY527" t="s">
        <v>74</v>
      </c>
      <c r="AZ527" t="s">
        <v>74</v>
      </c>
      <c r="BA527" t="s">
        <v>74</v>
      </c>
      <c r="BB527">
        <v>170</v>
      </c>
      <c r="BC527">
        <v>184</v>
      </c>
      <c r="BD527" t="s">
        <v>74</v>
      </c>
      <c r="BE527" t="s">
        <v>10023</v>
      </c>
      <c r="BF527" t="str">
        <f>HYPERLINK("http://dx.doi.org/10.1017/jog.2016.29","http://dx.doi.org/10.1017/jog.2016.29")</f>
        <v>http://dx.doi.org/10.1017/jog.2016.29</v>
      </c>
      <c r="BG527" t="s">
        <v>74</v>
      </c>
      <c r="BH527" t="s">
        <v>74</v>
      </c>
      <c r="BI527">
        <v>15</v>
      </c>
      <c r="BJ527" t="s">
        <v>2247</v>
      </c>
      <c r="BK527" t="s">
        <v>264</v>
      </c>
      <c r="BL527" t="s">
        <v>2248</v>
      </c>
      <c r="BM527" t="s">
        <v>4857</v>
      </c>
      <c r="BN527" t="s">
        <v>74</v>
      </c>
      <c r="BO527" t="s">
        <v>8797</v>
      </c>
      <c r="BP527" t="s">
        <v>74</v>
      </c>
      <c r="BQ527" t="s">
        <v>74</v>
      </c>
      <c r="BR527" t="s">
        <v>100</v>
      </c>
      <c r="BS527" t="s">
        <v>10024</v>
      </c>
      <c r="BT527" t="str">
        <f>HYPERLINK("https%3A%2F%2Fwww.webofscience.com%2Fwos%2Fwoscc%2Ffull-record%2FWOS:000376838400016","View Full Record in Web of Science")</f>
        <v>View Full Record in Web of Science</v>
      </c>
    </row>
    <row r="528" spans="1:72" x14ac:dyDescent="0.15">
      <c r="A528" t="s">
        <v>72</v>
      </c>
      <c r="B528" t="s">
        <v>10025</v>
      </c>
      <c r="C528" t="s">
        <v>74</v>
      </c>
      <c r="D528" t="s">
        <v>74</v>
      </c>
      <c r="E528" t="s">
        <v>74</v>
      </c>
      <c r="F528" t="s">
        <v>10026</v>
      </c>
      <c r="G528" t="s">
        <v>74</v>
      </c>
      <c r="H528" t="s">
        <v>74</v>
      </c>
      <c r="I528" t="s">
        <v>10027</v>
      </c>
      <c r="J528" t="s">
        <v>2226</v>
      </c>
      <c r="K528" t="s">
        <v>74</v>
      </c>
      <c r="L528" t="s">
        <v>74</v>
      </c>
      <c r="M528" t="s">
        <v>200</v>
      </c>
      <c r="N528" t="s">
        <v>79</v>
      </c>
      <c r="O528" t="s">
        <v>74</v>
      </c>
      <c r="P528" t="s">
        <v>74</v>
      </c>
      <c r="Q528" t="s">
        <v>74</v>
      </c>
      <c r="R528" t="s">
        <v>74</v>
      </c>
      <c r="S528" t="s">
        <v>74</v>
      </c>
      <c r="T528" t="s">
        <v>10028</v>
      </c>
      <c r="U528" t="s">
        <v>10029</v>
      </c>
      <c r="V528" t="s">
        <v>10030</v>
      </c>
      <c r="W528" t="s">
        <v>10031</v>
      </c>
      <c r="X528" t="s">
        <v>10032</v>
      </c>
      <c r="Y528" t="s">
        <v>10033</v>
      </c>
      <c r="Z528" t="s">
        <v>10034</v>
      </c>
      <c r="AA528" t="s">
        <v>10035</v>
      </c>
      <c r="AB528" t="s">
        <v>10036</v>
      </c>
      <c r="AC528" t="s">
        <v>10037</v>
      </c>
      <c r="AD528" t="s">
        <v>10038</v>
      </c>
      <c r="AE528" t="s">
        <v>10039</v>
      </c>
      <c r="AF528" t="s">
        <v>74</v>
      </c>
      <c r="AG528">
        <v>67</v>
      </c>
      <c r="AH528">
        <v>26</v>
      </c>
      <c r="AI528">
        <v>28</v>
      </c>
      <c r="AJ528">
        <v>0</v>
      </c>
      <c r="AK528">
        <v>17</v>
      </c>
      <c r="AL528" t="s">
        <v>2239</v>
      </c>
      <c r="AM528" t="s">
        <v>2240</v>
      </c>
      <c r="AN528" t="s">
        <v>2241</v>
      </c>
      <c r="AO528" t="s">
        <v>2242</v>
      </c>
      <c r="AP528" t="s">
        <v>2243</v>
      </c>
      <c r="AQ528" t="s">
        <v>74</v>
      </c>
      <c r="AR528" t="s">
        <v>2244</v>
      </c>
      <c r="AS528" t="s">
        <v>2245</v>
      </c>
      <c r="AT528" t="s">
        <v>74</v>
      </c>
      <c r="AU528">
        <v>2016</v>
      </c>
      <c r="AV528">
        <v>62</v>
      </c>
      <c r="AW528">
        <v>232</v>
      </c>
      <c r="AX528" t="s">
        <v>74</v>
      </c>
      <c r="AY528" t="s">
        <v>74</v>
      </c>
      <c r="AZ528" t="s">
        <v>74</v>
      </c>
      <c r="BA528" t="s">
        <v>74</v>
      </c>
      <c r="BB528">
        <v>270</v>
      </c>
      <c r="BC528">
        <v>284</v>
      </c>
      <c r="BD528" t="s">
        <v>74</v>
      </c>
      <c r="BE528" t="s">
        <v>10040</v>
      </c>
      <c r="BF528" t="str">
        <f>HYPERLINK("http://dx.doi.org/10.1017/jog.2016.18","http://dx.doi.org/10.1017/jog.2016.18")</f>
        <v>http://dx.doi.org/10.1017/jog.2016.18</v>
      </c>
      <c r="BG528" t="s">
        <v>74</v>
      </c>
      <c r="BH528" t="s">
        <v>74</v>
      </c>
      <c r="BI528">
        <v>15</v>
      </c>
      <c r="BJ528" t="s">
        <v>2247</v>
      </c>
      <c r="BK528" t="s">
        <v>264</v>
      </c>
      <c r="BL528" t="s">
        <v>2248</v>
      </c>
      <c r="BM528" t="s">
        <v>4293</v>
      </c>
      <c r="BN528" t="s">
        <v>74</v>
      </c>
      <c r="BO528" t="s">
        <v>10041</v>
      </c>
      <c r="BP528" t="s">
        <v>74</v>
      </c>
      <c r="BQ528" t="s">
        <v>74</v>
      </c>
      <c r="BR528" t="s">
        <v>100</v>
      </c>
      <c r="BS528" t="s">
        <v>10042</v>
      </c>
      <c r="BT528" t="str">
        <f>HYPERLINK("https%3A%2F%2Fwww.webofscience.com%2Fwos%2Fwoscc%2Ffull-record%2FWOS:000378825100005","View Full Record in Web of Science")</f>
        <v>View Full Record in Web of Science</v>
      </c>
    </row>
    <row r="529" spans="1:72" x14ac:dyDescent="0.15">
      <c r="A529" t="s">
        <v>72</v>
      </c>
      <c r="B529" t="s">
        <v>10043</v>
      </c>
      <c r="C529" t="s">
        <v>74</v>
      </c>
      <c r="D529" t="s">
        <v>74</v>
      </c>
      <c r="E529" t="s">
        <v>74</v>
      </c>
      <c r="F529" t="s">
        <v>10044</v>
      </c>
      <c r="G529" t="s">
        <v>74</v>
      </c>
      <c r="H529" t="s">
        <v>74</v>
      </c>
      <c r="I529" t="s">
        <v>10045</v>
      </c>
      <c r="J529" t="s">
        <v>2226</v>
      </c>
      <c r="K529" t="s">
        <v>74</v>
      </c>
      <c r="L529" t="s">
        <v>74</v>
      </c>
      <c r="M529" t="s">
        <v>200</v>
      </c>
      <c r="N529" t="s">
        <v>79</v>
      </c>
      <c r="O529" t="s">
        <v>74</v>
      </c>
      <c r="P529" t="s">
        <v>74</v>
      </c>
      <c r="Q529" t="s">
        <v>74</v>
      </c>
      <c r="R529" t="s">
        <v>74</v>
      </c>
      <c r="S529" t="s">
        <v>74</v>
      </c>
      <c r="T529" t="s">
        <v>10046</v>
      </c>
      <c r="U529" t="s">
        <v>10047</v>
      </c>
      <c r="V529" t="s">
        <v>10048</v>
      </c>
      <c r="W529" t="s">
        <v>10049</v>
      </c>
      <c r="X529" t="s">
        <v>10050</v>
      </c>
      <c r="Y529" t="s">
        <v>10051</v>
      </c>
      <c r="Z529" t="s">
        <v>10052</v>
      </c>
      <c r="AA529" t="s">
        <v>10053</v>
      </c>
      <c r="AB529" t="s">
        <v>10054</v>
      </c>
      <c r="AC529" t="s">
        <v>10055</v>
      </c>
      <c r="AD529" t="s">
        <v>10056</v>
      </c>
      <c r="AE529" t="s">
        <v>10057</v>
      </c>
      <c r="AF529" t="s">
        <v>74</v>
      </c>
      <c r="AG529">
        <v>51</v>
      </c>
      <c r="AH529">
        <v>21</v>
      </c>
      <c r="AI529">
        <v>22</v>
      </c>
      <c r="AJ529">
        <v>1</v>
      </c>
      <c r="AK529">
        <v>11</v>
      </c>
      <c r="AL529" t="s">
        <v>2239</v>
      </c>
      <c r="AM529" t="s">
        <v>2240</v>
      </c>
      <c r="AN529" t="s">
        <v>2241</v>
      </c>
      <c r="AO529" t="s">
        <v>2242</v>
      </c>
      <c r="AP529" t="s">
        <v>2243</v>
      </c>
      <c r="AQ529" t="s">
        <v>74</v>
      </c>
      <c r="AR529" t="s">
        <v>2244</v>
      </c>
      <c r="AS529" t="s">
        <v>2245</v>
      </c>
      <c r="AT529" t="s">
        <v>74</v>
      </c>
      <c r="AU529">
        <v>2016</v>
      </c>
      <c r="AV529">
        <v>62</v>
      </c>
      <c r="AW529">
        <v>232</v>
      </c>
      <c r="AX529" t="s">
        <v>74</v>
      </c>
      <c r="AY529" t="s">
        <v>74</v>
      </c>
      <c r="AZ529" t="s">
        <v>74</v>
      </c>
      <c r="BA529" t="s">
        <v>74</v>
      </c>
      <c r="BB529">
        <v>285</v>
      </c>
      <c r="BC529">
        <v>298</v>
      </c>
      <c r="BD529" t="s">
        <v>74</v>
      </c>
      <c r="BE529" t="s">
        <v>10058</v>
      </c>
      <c r="BF529" t="str">
        <f>HYPERLINK("http://dx.doi.org/10.1017/jog.2016.19","http://dx.doi.org/10.1017/jog.2016.19")</f>
        <v>http://dx.doi.org/10.1017/jog.2016.19</v>
      </c>
      <c r="BG529" t="s">
        <v>74</v>
      </c>
      <c r="BH529" t="s">
        <v>74</v>
      </c>
      <c r="BI529">
        <v>14</v>
      </c>
      <c r="BJ529" t="s">
        <v>2247</v>
      </c>
      <c r="BK529" t="s">
        <v>264</v>
      </c>
      <c r="BL529" t="s">
        <v>2248</v>
      </c>
      <c r="BM529" t="s">
        <v>4293</v>
      </c>
      <c r="BN529" t="s">
        <v>74</v>
      </c>
      <c r="BO529" t="s">
        <v>10059</v>
      </c>
      <c r="BP529" t="s">
        <v>74</v>
      </c>
      <c r="BQ529" t="s">
        <v>74</v>
      </c>
      <c r="BR529" t="s">
        <v>100</v>
      </c>
      <c r="BS529" t="s">
        <v>10060</v>
      </c>
      <c r="BT529" t="str">
        <f>HYPERLINK("https%3A%2F%2Fwww.webofscience.com%2Fwos%2Fwoscc%2Ffull-record%2FWOS:000378825100006","View Full Record in Web of Science")</f>
        <v>View Full Record in Web of Science</v>
      </c>
    </row>
    <row r="530" spans="1:72" x14ac:dyDescent="0.15">
      <c r="A530" t="s">
        <v>72</v>
      </c>
      <c r="B530" t="s">
        <v>10061</v>
      </c>
      <c r="C530" t="s">
        <v>74</v>
      </c>
      <c r="D530" t="s">
        <v>74</v>
      </c>
      <c r="E530" t="s">
        <v>74</v>
      </c>
      <c r="F530" t="s">
        <v>10062</v>
      </c>
      <c r="G530" t="s">
        <v>74</v>
      </c>
      <c r="H530" t="s">
        <v>74</v>
      </c>
      <c r="I530" t="s">
        <v>10063</v>
      </c>
      <c r="J530" t="s">
        <v>2226</v>
      </c>
      <c r="K530" t="s">
        <v>74</v>
      </c>
      <c r="L530" t="s">
        <v>74</v>
      </c>
      <c r="M530" t="s">
        <v>200</v>
      </c>
      <c r="N530" t="s">
        <v>79</v>
      </c>
      <c r="O530" t="s">
        <v>74</v>
      </c>
      <c r="P530" t="s">
        <v>74</v>
      </c>
      <c r="Q530" t="s">
        <v>74</v>
      </c>
      <c r="R530" t="s">
        <v>74</v>
      </c>
      <c r="S530" t="s">
        <v>74</v>
      </c>
      <c r="T530" t="s">
        <v>10064</v>
      </c>
      <c r="U530" t="s">
        <v>10065</v>
      </c>
      <c r="V530" t="s">
        <v>10066</v>
      </c>
      <c r="W530" t="s">
        <v>10067</v>
      </c>
      <c r="X530" t="s">
        <v>10068</v>
      </c>
      <c r="Y530" t="s">
        <v>10069</v>
      </c>
      <c r="Z530" t="s">
        <v>10070</v>
      </c>
      <c r="AA530" t="s">
        <v>10071</v>
      </c>
      <c r="AB530" t="s">
        <v>10072</v>
      </c>
      <c r="AC530" t="s">
        <v>10073</v>
      </c>
      <c r="AD530" t="s">
        <v>10074</v>
      </c>
      <c r="AE530" t="s">
        <v>10075</v>
      </c>
      <c r="AF530" t="s">
        <v>74</v>
      </c>
      <c r="AG530">
        <v>52</v>
      </c>
      <c r="AH530">
        <v>48</v>
      </c>
      <c r="AI530">
        <v>52</v>
      </c>
      <c r="AJ530">
        <v>0</v>
      </c>
      <c r="AK530">
        <v>12</v>
      </c>
      <c r="AL530" t="s">
        <v>2239</v>
      </c>
      <c r="AM530" t="s">
        <v>2240</v>
      </c>
      <c r="AN530" t="s">
        <v>2241</v>
      </c>
      <c r="AO530" t="s">
        <v>2242</v>
      </c>
      <c r="AP530" t="s">
        <v>2243</v>
      </c>
      <c r="AQ530" t="s">
        <v>74</v>
      </c>
      <c r="AR530" t="s">
        <v>2244</v>
      </c>
      <c r="AS530" t="s">
        <v>2245</v>
      </c>
      <c r="AT530" t="s">
        <v>74</v>
      </c>
      <c r="AU530">
        <v>2016</v>
      </c>
      <c r="AV530">
        <v>62</v>
      </c>
      <c r="AW530">
        <v>232</v>
      </c>
      <c r="AX530" t="s">
        <v>74</v>
      </c>
      <c r="AY530" t="s">
        <v>74</v>
      </c>
      <c r="AZ530" t="s">
        <v>74</v>
      </c>
      <c r="BA530" t="s">
        <v>74</v>
      </c>
      <c r="BB530">
        <v>323</v>
      </c>
      <c r="BC530">
        <v>334</v>
      </c>
      <c r="BD530" t="s">
        <v>74</v>
      </c>
      <c r="BE530" t="s">
        <v>10076</v>
      </c>
      <c r="BF530" t="str">
        <f>HYPERLINK("http://dx.doi.org/10.1017/jog.2016.11","http://dx.doi.org/10.1017/jog.2016.11")</f>
        <v>http://dx.doi.org/10.1017/jog.2016.11</v>
      </c>
      <c r="BG530" t="s">
        <v>74</v>
      </c>
      <c r="BH530" t="s">
        <v>74</v>
      </c>
      <c r="BI530">
        <v>12</v>
      </c>
      <c r="BJ530" t="s">
        <v>2247</v>
      </c>
      <c r="BK530" t="s">
        <v>264</v>
      </c>
      <c r="BL530" t="s">
        <v>2248</v>
      </c>
      <c r="BM530" t="s">
        <v>4293</v>
      </c>
      <c r="BN530" t="s">
        <v>74</v>
      </c>
      <c r="BO530" t="s">
        <v>523</v>
      </c>
      <c r="BP530" t="s">
        <v>74</v>
      </c>
      <c r="BQ530" t="s">
        <v>74</v>
      </c>
      <c r="BR530" t="s">
        <v>100</v>
      </c>
      <c r="BS530" t="s">
        <v>10077</v>
      </c>
      <c r="BT530" t="str">
        <f>HYPERLINK("https%3A%2F%2Fwww.webofscience.com%2Fwos%2Fwoscc%2Ffull-record%2FWOS:000378825100009","View Full Record in Web of Science")</f>
        <v>View Full Record in Web of Science</v>
      </c>
    </row>
    <row r="531" spans="1:72" x14ac:dyDescent="0.15">
      <c r="A531" t="s">
        <v>72</v>
      </c>
      <c r="B531" t="s">
        <v>10078</v>
      </c>
      <c r="C531" t="s">
        <v>74</v>
      </c>
      <c r="D531" t="s">
        <v>74</v>
      </c>
      <c r="E531" t="s">
        <v>74</v>
      </c>
      <c r="F531" t="s">
        <v>10079</v>
      </c>
      <c r="G531" t="s">
        <v>74</v>
      </c>
      <c r="H531" t="s">
        <v>74</v>
      </c>
      <c r="I531" t="s">
        <v>10080</v>
      </c>
      <c r="J531" t="s">
        <v>2226</v>
      </c>
      <c r="K531" t="s">
        <v>74</v>
      </c>
      <c r="L531" t="s">
        <v>74</v>
      </c>
      <c r="M531" t="s">
        <v>200</v>
      </c>
      <c r="N531" t="s">
        <v>79</v>
      </c>
      <c r="O531" t="s">
        <v>74</v>
      </c>
      <c r="P531" t="s">
        <v>74</v>
      </c>
      <c r="Q531" t="s">
        <v>74</v>
      </c>
      <c r="R531" t="s">
        <v>74</v>
      </c>
      <c r="S531" t="s">
        <v>74</v>
      </c>
      <c r="T531" t="s">
        <v>10081</v>
      </c>
      <c r="U531" t="s">
        <v>10082</v>
      </c>
      <c r="V531" t="s">
        <v>10083</v>
      </c>
      <c r="W531" t="s">
        <v>10084</v>
      </c>
      <c r="X531" t="s">
        <v>10085</v>
      </c>
      <c r="Y531" t="s">
        <v>10086</v>
      </c>
      <c r="Z531" t="s">
        <v>8498</v>
      </c>
      <c r="AA531" t="s">
        <v>10087</v>
      </c>
      <c r="AB531" t="s">
        <v>10088</v>
      </c>
      <c r="AC531" t="s">
        <v>10089</v>
      </c>
      <c r="AD531" t="s">
        <v>10090</v>
      </c>
      <c r="AE531" t="s">
        <v>10091</v>
      </c>
      <c r="AF531" t="s">
        <v>74</v>
      </c>
      <c r="AG531">
        <v>40</v>
      </c>
      <c r="AH531">
        <v>13</v>
      </c>
      <c r="AI531">
        <v>13</v>
      </c>
      <c r="AJ531">
        <v>1</v>
      </c>
      <c r="AK531">
        <v>8</v>
      </c>
      <c r="AL531" t="s">
        <v>2239</v>
      </c>
      <c r="AM531" t="s">
        <v>2240</v>
      </c>
      <c r="AN531" t="s">
        <v>2241</v>
      </c>
      <c r="AO531" t="s">
        <v>2242</v>
      </c>
      <c r="AP531" t="s">
        <v>2243</v>
      </c>
      <c r="AQ531" t="s">
        <v>74</v>
      </c>
      <c r="AR531" t="s">
        <v>2244</v>
      </c>
      <c r="AS531" t="s">
        <v>2245</v>
      </c>
      <c r="AT531" t="s">
        <v>74</v>
      </c>
      <c r="AU531">
        <v>2016</v>
      </c>
      <c r="AV531">
        <v>62</v>
      </c>
      <c r="AW531">
        <v>233</v>
      </c>
      <c r="AX531" t="s">
        <v>74</v>
      </c>
      <c r="AY531" t="s">
        <v>74</v>
      </c>
      <c r="AZ531" t="s">
        <v>74</v>
      </c>
      <c r="BA531" t="s">
        <v>74</v>
      </c>
      <c r="BB531">
        <v>525</v>
      </c>
      <c r="BC531">
        <v>534</v>
      </c>
      <c r="BD531" t="s">
        <v>74</v>
      </c>
      <c r="BE531" t="s">
        <v>10092</v>
      </c>
      <c r="BF531" t="str">
        <f>HYPERLINK("http://dx.doi.org/10.1017/jog.2016.41","http://dx.doi.org/10.1017/jog.2016.41")</f>
        <v>http://dx.doi.org/10.1017/jog.2016.41</v>
      </c>
      <c r="BG531" t="s">
        <v>74</v>
      </c>
      <c r="BH531" t="s">
        <v>74</v>
      </c>
      <c r="BI531">
        <v>10</v>
      </c>
      <c r="BJ531" t="s">
        <v>2247</v>
      </c>
      <c r="BK531" t="s">
        <v>264</v>
      </c>
      <c r="BL531" t="s">
        <v>2248</v>
      </c>
      <c r="BM531" t="s">
        <v>3414</v>
      </c>
      <c r="BN531" t="s">
        <v>74</v>
      </c>
      <c r="BO531" t="s">
        <v>7447</v>
      </c>
      <c r="BP531" t="s">
        <v>74</v>
      </c>
      <c r="BQ531" t="s">
        <v>74</v>
      </c>
      <c r="BR531" t="s">
        <v>100</v>
      </c>
      <c r="BS531" t="s">
        <v>10093</v>
      </c>
      <c r="BT531" t="str">
        <f>HYPERLINK("https%3A%2F%2Fwww.webofscience.com%2Fwos%2Fwoscc%2Ffull-record%2FWOS:000381452400008","View Full Record in Web of Science")</f>
        <v>View Full Record in Web of Science</v>
      </c>
    </row>
    <row r="532" spans="1:72" x14ac:dyDescent="0.15">
      <c r="A532" t="s">
        <v>72</v>
      </c>
      <c r="B532" t="s">
        <v>10094</v>
      </c>
      <c r="C532" t="s">
        <v>74</v>
      </c>
      <c r="D532" t="s">
        <v>74</v>
      </c>
      <c r="E532" t="s">
        <v>74</v>
      </c>
      <c r="F532" t="s">
        <v>10095</v>
      </c>
      <c r="G532" t="s">
        <v>74</v>
      </c>
      <c r="H532" t="s">
        <v>74</v>
      </c>
      <c r="I532" t="s">
        <v>10096</v>
      </c>
      <c r="J532" t="s">
        <v>2226</v>
      </c>
      <c r="K532" t="s">
        <v>74</v>
      </c>
      <c r="L532" t="s">
        <v>74</v>
      </c>
      <c r="M532" t="s">
        <v>200</v>
      </c>
      <c r="N532" t="s">
        <v>79</v>
      </c>
      <c r="O532" t="s">
        <v>74</v>
      </c>
      <c r="P532" t="s">
        <v>74</v>
      </c>
      <c r="Q532" t="s">
        <v>74</v>
      </c>
      <c r="R532" t="s">
        <v>74</v>
      </c>
      <c r="S532" t="s">
        <v>74</v>
      </c>
      <c r="T532" t="s">
        <v>10097</v>
      </c>
      <c r="U532" t="s">
        <v>10098</v>
      </c>
      <c r="V532" t="s">
        <v>10099</v>
      </c>
      <c r="W532" t="s">
        <v>10100</v>
      </c>
      <c r="X532" t="s">
        <v>9123</v>
      </c>
      <c r="Y532" t="s">
        <v>10101</v>
      </c>
      <c r="Z532" t="s">
        <v>10102</v>
      </c>
      <c r="AA532" t="s">
        <v>10103</v>
      </c>
      <c r="AB532" t="s">
        <v>10104</v>
      </c>
      <c r="AC532" t="s">
        <v>10105</v>
      </c>
      <c r="AD532" t="s">
        <v>10106</v>
      </c>
      <c r="AE532" t="s">
        <v>10107</v>
      </c>
      <c r="AF532" t="s">
        <v>74</v>
      </c>
      <c r="AG532">
        <v>47</v>
      </c>
      <c r="AH532">
        <v>50</v>
      </c>
      <c r="AI532">
        <v>51</v>
      </c>
      <c r="AJ532">
        <v>1</v>
      </c>
      <c r="AK532">
        <v>21</v>
      </c>
      <c r="AL532" t="s">
        <v>2239</v>
      </c>
      <c r="AM532" t="s">
        <v>2240</v>
      </c>
      <c r="AN532" t="s">
        <v>2241</v>
      </c>
      <c r="AO532" t="s">
        <v>2242</v>
      </c>
      <c r="AP532" t="s">
        <v>2243</v>
      </c>
      <c r="AQ532" t="s">
        <v>74</v>
      </c>
      <c r="AR532" t="s">
        <v>2244</v>
      </c>
      <c r="AS532" t="s">
        <v>2245</v>
      </c>
      <c r="AT532" t="s">
        <v>74</v>
      </c>
      <c r="AU532">
        <v>2016</v>
      </c>
      <c r="AV532">
        <v>62</v>
      </c>
      <c r="AW532">
        <v>233</v>
      </c>
      <c r="AX532" t="s">
        <v>74</v>
      </c>
      <c r="AY532" t="s">
        <v>74</v>
      </c>
      <c r="AZ532" t="s">
        <v>74</v>
      </c>
      <c r="BA532" t="s">
        <v>74</v>
      </c>
      <c r="BB532">
        <v>552</v>
      </c>
      <c r="BC532">
        <v>562</v>
      </c>
      <c r="BD532" t="s">
        <v>74</v>
      </c>
      <c r="BE532" t="s">
        <v>10108</v>
      </c>
      <c r="BF532" t="str">
        <f>HYPERLINK("http://dx.doi.org/10.1017/jog.2016.40","http://dx.doi.org/10.1017/jog.2016.40")</f>
        <v>http://dx.doi.org/10.1017/jog.2016.40</v>
      </c>
      <c r="BG532" t="s">
        <v>74</v>
      </c>
      <c r="BH532" t="s">
        <v>74</v>
      </c>
      <c r="BI532">
        <v>11</v>
      </c>
      <c r="BJ532" t="s">
        <v>2247</v>
      </c>
      <c r="BK532" t="s">
        <v>264</v>
      </c>
      <c r="BL532" t="s">
        <v>2248</v>
      </c>
      <c r="BM532" t="s">
        <v>3414</v>
      </c>
      <c r="BN532" t="s">
        <v>74</v>
      </c>
      <c r="BO532" t="s">
        <v>7447</v>
      </c>
      <c r="BP532" t="s">
        <v>74</v>
      </c>
      <c r="BQ532" t="s">
        <v>74</v>
      </c>
      <c r="BR532" t="s">
        <v>100</v>
      </c>
      <c r="BS532" t="s">
        <v>10109</v>
      </c>
      <c r="BT532" t="str">
        <f>HYPERLINK("https%3A%2F%2Fwww.webofscience.com%2Fwos%2Fwoscc%2Ffull-record%2FWOS:000381452400010","View Full Record in Web of Science")</f>
        <v>View Full Record in Web of Science</v>
      </c>
    </row>
    <row r="533" spans="1:72" x14ac:dyDescent="0.15">
      <c r="A533" t="s">
        <v>72</v>
      </c>
      <c r="B533" t="s">
        <v>10110</v>
      </c>
      <c r="C533" t="s">
        <v>74</v>
      </c>
      <c r="D533" t="s">
        <v>74</v>
      </c>
      <c r="E533" t="s">
        <v>74</v>
      </c>
      <c r="F533" t="s">
        <v>10111</v>
      </c>
      <c r="G533" t="s">
        <v>74</v>
      </c>
      <c r="H533" t="s">
        <v>74</v>
      </c>
      <c r="I533" t="s">
        <v>10112</v>
      </c>
      <c r="J533" t="s">
        <v>2226</v>
      </c>
      <c r="K533" t="s">
        <v>74</v>
      </c>
      <c r="L533" t="s">
        <v>74</v>
      </c>
      <c r="M533" t="s">
        <v>200</v>
      </c>
      <c r="N533" t="s">
        <v>79</v>
      </c>
      <c r="O533" t="s">
        <v>74</v>
      </c>
      <c r="P533" t="s">
        <v>74</v>
      </c>
      <c r="Q533" t="s">
        <v>74</v>
      </c>
      <c r="R533" t="s">
        <v>74</v>
      </c>
      <c r="S533" t="s">
        <v>74</v>
      </c>
      <c r="T533" t="s">
        <v>10113</v>
      </c>
      <c r="U533" t="s">
        <v>10114</v>
      </c>
      <c r="V533" t="s">
        <v>10115</v>
      </c>
      <c r="W533" t="s">
        <v>10116</v>
      </c>
      <c r="X533" t="s">
        <v>10117</v>
      </c>
      <c r="Y533" t="s">
        <v>10118</v>
      </c>
      <c r="Z533" t="s">
        <v>10119</v>
      </c>
      <c r="AA533" t="s">
        <v>10120</v>
      </c>
      <c r="AB533" t="s">
        <v>10121</v>
      </c>
      <c r="AC533" t="s">
        <v>10122</v>
      </c>
      <c r="AD533" t="s">
        <v>10123</v>
      </c>
      <c r="AE533" t="s">
        <v>10124</v>
      </c>
      <c r="AF533" t="s">
        <v>74</v>
      </c>
      <c r="AG533">
        <v>75</v>
      </c>
      <c r="AH533">
        <v>8</v>
      </c>
      <c r="AI533">
        <v>8</v>
      </c>
      <c r="AJ533">
        <v>0</v>
      </c>
      <c r="AK533">
        <v>10</v>
      </c>
      <c r="AL533" t="s">
        <v>2239</v>
      </c>
      <c r="AM533" t="s">
        <v>2240</v>
      </c>
      <c r="AN533" t="s">
        <v>2241</v>
      </c>
      <c r="AO533" t="s">
        <v>2242</v>
      </c>
      <c r="AP533" t="s">
        <v>2243</v>
      </c>
      <c r="AQ533" t="s">
        <v>74</v>
      </c>
      <c r="AR533" t="s">
        <v>2244</v>
      </c>
      <c r="AS533" t="s">
        <v>2245</v>
      </c>
      <c r="AT533" t="s">
        <v>74</v>
      </c>
      <c r="AU533">
        <v>2016</v>
      </c>
      <c r="AV533">
        <v>62</v>
      </c>
      <c r="AW533">
        <v>236</v>
      </c>
      <c r="AX533" t="s">
        <v>74</v>
      </c>
      <c r="AY533" t="s">
        <v>74</v>
      </c>
      <c r="AZ533" t="s">
        <v>74</v>
      </c>
      <c r="BA533" t="s">
        <v>74</v>
      </c>
      <c r="BB533">
        <v>1037</v>
      </c>
      <c r="BC533">
        <v>1048</v>
      </c>
      <c r="BD533" t="s">
        <v>74</v>
      </c>
      <c r="BE533" t="s">
        <v>10125</v>
      </c>
      <c r="BF533" t="str">
        <f>HYPERLINK("http://dx.doi.org/10.1017/jog.2016.85","http://dx.doi.org/10.1017/jog.2016.85")</f>
        <v>http://dx.doi.org/10.1017/jog.2016.85</v>
      </c>
      <c r="BG533" t="s">
        <v>74</v>
      </c>
      <c r="BH533" t="s">
        <v>74</v>
      </c>
      <c r="BI533">
        <v>12</v>
      </c>
      <c r="BJ533" t="s">
        <v>2247</v>
      </c>
      <c r="BK533" t="s">
        <v>264</v>
      </c>
      <c r="BL533" t="s">
        <v>2248</v>
      </c>
      <c r="BM533" t="s">
        <v>2249</v>
      </c>
      <c r="BN533" t="s">
        <v>74</v>
      </c>
      <c r="BO533" t="s">
        <v>7447</v>
      </c>
      <c r="BP533" t="s">
        <v>74</v>
      </c>
      <c r="BQ533" t="s">
        <v>74</v>
      </c>
      <c r="BR533" t="s">
        <v>100</v>
      </c>
      <c r="BS533" t="s">
        <v>10126</v>
      </c>
      <c r="BT533" t="str">
        <f>HYPERLINK("https%3A%2F%2Fwww.webofscience.com%2Fwos%2Fwoscc%2Ffull-record%2FWOS:000389173500005","View Full Record in Web of Science")</f>
        <v>View Full Record in Web of Science</v>
      </c>
    </row>
    <row r="534" spans="1:72" x14ac:dyDescent="0.15">
      <c r="A534" t="s">
        <v>72</v>
      </c>
      <c r="B534" t="s">
        <v>10127</v>
      </c>
      <c r="C534" t="s">
        <v>74</v>
      </c>
      <c r="D534" t="s">
        <v>74</v>
      </c>
      <c r="E534" t="s">
        <v>74</v>
      </c>
      <c r="F534" t="s">
        <v>10128</v>
      </c>
      <c r="G534" t="s">
        <v>74</v>
      </c>
      <c r="H534" t="s">
        <v>74</v>
      </c>
      <c r="I534" t="s">
        <v>10129</v>
      </c>
      <c r="J534" t="s">
        <v>10130</v>
      </c>
      <c r="K534" t="s">
        <v>74</v>
      </c>
      <c r="L534" t="s">
        <v>74</v>
      </c>
      <c r="M534" t="s">
        <v>200</v>
      </c>
      <c r="N534" t="s">
        <v>79</v>
      </c>
      <c r="O534" t="s">
        <v>74</v>
      </c>
      <c r="P534" t="s">
        <v>74</v>
      </c>
      <c r="Q534" t="s">
        <v>74</v>
      </c>
      <c r="R534" t="s">
        <v>74</v>
      </c>
      <c r="S534" t="s">
        <v>74</v>
      </c>
      <c r="T534" t="s">
        <v>10131</v>
      </c>
      <c r="U534" t="s">
        <v>10132</v>
      </c>
      <c r="V534" t="s">
        <v>10133</v>
      </c>
      <c r="W534" t="s">
        <v>10134</v>
      </c>
      <c r="X534" t="s">
        <v>10135</v>
      </c>
      <c r="Y534" t="s">
        <v>10136</v>
      </c>
      <c r="Z534" t="s">
        <v>10137</v>
      </c>
      <c r="AA534" t="s">
        <v>74</v>
      </c>
      <c r="AB534" t="s">
        <v>10138</v>
      </c>
      <c r="AC534" t="s">
        <v>74</v>
      </c>
      <c r="AD534" t="s">
        <v>74</v>
      </c>
      <c r="AE534" t="s">
        <v>74</v>
      </c>
      <c r="AF534" t="s">
        <v>74</v>
      </c>
      <c r="AG534">
        <v>72</v>
      </c>
      <c r="AH534">
        <v>18</v>
      </c>
      <c r="AI534">
        <v>23</v>
      </c>
      <c r="AJ534">
        <v>1</v>
      </c>
      <c r="AK534">
        <v>19</v>
      </c>
      <c r="AL534" t="s">
        <v>2899</v>
      </c>
      <c r="AM534" t="s">
        <v>503</v>
      </c>
      <c r="AN534" t="s">
        <v>2900</v>
      </c>
      <c r="AO534" t="s">
        <v>10139</v>
      </c>
      <c r="AP534" t="s">
        <v>10140</v>
      </c>
      <c r="AQ534" t="s">
        <v>74</v>
      </c>
      <c r="AR534" t="s">
        <v>10141</v>
      </c>
      <c r="AS534" t="s">
        <v>10142</v>
      </c>
      <c r="AT534" t="s">
        <v>74</v>
      </c>
      <c r="AU534">
        <v>2016</v>
      </c>
      <c r="AV534">
        <v>11</v>
      </c>
      <c r="AW534">
        <v>1</v>
      </c>
      <c r="AX534" t="s">
        <v>74</v>
      </c>
      <c r="AY534" t="s">
        <v>74</v>
      </c>
      <c r="AZ534" t="s">
        <v>2540</v>
      </c>
      <c r="BA534" t="s">
        <v>74</v>
      </c>
      <c r="BB534">
        <v>71</v>
      </c>
      <c r="BC534">
        <v>87</v>
      </c>
      <c r="BD534" t="s">
        <v>74</v>
      </c>
      <c r="BE534" t="s">
        <v>10143</v>
      </c>
      <c r="BF534" t="str">
        <f>HYPERLINK("http://dx.doi.org/10.1080/1743873X.2015.1082571","http://dx.doi.org/10.1080/1743873X.2015.1082571")</f>
        <v>http://dx.doi.org/10.1080/1743873X.2015.1082571</v>
      </c>
      <c r="BG534" t="s">
        <v>74</v>
      </c>
      <c r="BH534" t="s">
        <v>74</v>
      </c>
      <c r="BI534">
        <v>17</v>
      </c>
      <c r="BJ534" t="s">
        <v>10144</v>
      </c>
      <c r="BK534" t="s">
        <v>96</v>
      </c>
      <c r="BL534" t="s">
        <v>10145</v>
      </c>
      <c r="BM534" t="s">
        <v>10146</v>
      </c>
      <c r="BN534" t="s">
        <v>74</v>
      </c>
      <c r="BO534" t="s">
        <v>74</v>
      </c>
      <c r="BP534" t="s">
        <v>74</v>
      </c>
      <c r="BQ534" t="s">
        <v>74</v>
      </c>
      <c r="BR534" t="s">
        <v>100</v>
      </c>
      <c r="BS534" t="s">
        <v>10147</v>
      </c>
      <c r="BT534" t="str">
        <f>HYPERLINK("https%3A%2F%2Fwww.webofscience.com%2Fwos%2Fwoscc%2Ffull-record%2FWOS:000443064200006","View Full Record in Web of Science")</f>
        <v>View Full Record in Web of Science</v>
      </c>
    </row>
    <row r="535" spans="1:72" x14ac:dyDescent="0.15">
      <c r="A535" t="s">
        <v>72</v>
      </c>
      <c r="B535" t="s">
        <v>10148</v>
      </c>
      <c r="C535" t="s">
        <v>74</v>
      </c>
      <c r="D535" t="s">
        <v>74</v>
      </c>
      <c r="E535" t="s">
        <v>74</v>
      </c>
      <c r="F535" t="s">
        <v>10149</v>
      </c>
      <c r="G535" t="s">
        <v>74</v>
      </c>
      <c r="H535" t="s">
        <v>74</v>
      </c>
      <c r="I535" t="s">
        <v>10150</v>
      </c>
      <c r="J535" t="s">
        <v>10151</v>
      </c>
      <c r="K535" t="s">
        <v>74</v>
      </c>
      <c r="L535" t="s">
        <v>74</v>
      </c>
      <c r="M535" t="s">
        <v>200</v>
      </c>
      <c r="N535" t="s">
        <v>79</v>
      </c>
      <c r="O535" t="s">
        <v>74</v>
      </c>
      <c r="P535" t="s">
        <v>74</v>
      </c>
      <c r="Q535" t="s">
        <v>74</v>
      </c>
      <c r="R535" t="s">
        <v>74</v>
      </c>
      <c r="S535" t="s">
        <v>74</v>
      </c>
      <c r="T535" t="s">
        <v>74</v>
      </c>
      <c r="U535" t="s">
        <v>10152</v>
      </c>
      <c r="V535" t="s">
        <v>10153</v>
      </c>
      <c r="W535" t="s">
        <v>10154</v>
      </c>
      <c r="X535" t="s">
        <v>10155</v>
      </c>
      <c r="Y535" t="s">
        <v>10156</v>
      </c>
      <c r="Z535" t="s">
        <v>10157</v>
      </c>
      <c r="AA535" t="s">
        <v>10158</v>
      </c>
      <c r="AB535" t="s">
        <v>10159</v>
      </c>
      <c r="AC535" t="s">
        <v>10160</v>
      </c>
      <c r="AD535" t="s">
        <v>10161</v>
      </c>
      <c r="AE535" t="s">
        <v>10162</v>
      </c>
      <c r="AF535" t="s">
        <v>74</v>
      </c>
      <c r="AG535">
        <v>34</v>
      </c>
      <c r="AH535">
        <v>70</v>
      </c>
      <c r="AI535">
        <v>75</v>
      </c>
      <c r="AJ535">
        <v>4</v>
      </c>
      <c r="AK535">
        <v>74</v>
      </c>
      <c r="AL535" t="s">
        <v>10163</v>
      </c>
      <c r="AM535" t="s">
        <v>1559</v>
      </c>
      <c r="AN535" t="s">
        <v>10164</v>
      </c>
      <c r="AO535" t="s">
        <v>10165</v>
      </c>
      <c r="AP535" t="s">
        <v>10166</v>
      </c>
      <c r="AQ535" t="s">
        <v>74</v>
      </c>
      <c r="AR535" t="s">
        <v>10167</v>
      </c>
      <c r="AS535" t="s">
        <v>10168</v>
      </c>
      <c r="AT535" t="s">
        <v>315</v>
      </c>
      <c r="AU535">
        <v>2016</v>
      </c>
      <c r="AV535">
        <v>79</v>
      </c>
      <c r="AW535">
        <v>1</v>
      </c>
      <c r="AX535" t="s">
        <v>74</v>
      </c>
      <c r="AY535" t="s">
        <v>74</v>
      </c>
      <c r="AZ535" t="s">
        <v>74</v>
      </c>
      <c r="BA535" t="s">
        <v>74</v>
      </c>
      <c r="BB535">
        <v>59</v>
      </c>
      <c r="BC535">
        <v>65</v>
      </c>
      <c r="BD535" t="s">
        <v>74</v>
      </c>
      <c r="BE535" t="s">
        <v>10169</v>
      </c>
      <c r="BF535" t="str">
        <f>HYPERLINK("http://dx.doi.org/10.1021/acs.jnatprod.5b00650","http://dx.doi.org/10.1021/acs.jnatprod.5b00650")</f>
        <v>http://dx.doi.org/10.1021/acs.jnatprod.5b00650</v>
      </c>
      <c r="BG535" t="s">
        <v>74</v>
      </c>
      <c r="BH535" t="s">
        <v>74</v>
      </c>
      <c r="BI535">
        <v>7</v>
      </c>
      <c r="BJ535" t="s">
        <v>10170</v>
      </c>
      <c r="BK535" t="s">
        <v>3618</v>
      </c>
      <c r="BL535" t="s">
        <v>10171</v>
      </c>
      <c r="BM535" t="s">
        <v>10172</v>
      </c>
      <c r="BN535">
        <v>26697718</v>
      </c>
      <c r="BO535" t="s">
        <v>74</v>
      </c>
      <c r="BP535" t="s">
        <v>74</v>
      </c>
      <c r="BQ535" t="s">
        <v>74</v>
      </c>
      <c r="BR535" t="s">
        <v>100</v>
      </c>
      <c r="BS535" t="s">
        <v>10173</v>
      </c>
      <c r="BT535" t="str">
        <f>HYPERLINK("https%3A%2F%2Fwww.webofscience.com%2Fwos%2Fwoscc%2Ffull-record%2FWOS:000368755000008","View Full Record in Web of Science")</f>
        <v>View Full Record in Web of Science</v>
      </c>
    </row>
    <row r="536" spans="1:72" x14ac:dyDescent="0.15">
      <c r="A536" t="s">
        <v>72</v>
      </c>
      <c r="B536" t="s">
        <v>10174</v>
      </c>
      <c r="C536" t="s">
        <v>74</v>
      </c>
      <c r="D536" t="s">
        <v>74</v>
      </c>
      <c r="E536" t="s">
        <v>74</v>
      </c>
      <c r="F536" t="s">
        <v>10175</v>
      </c>
      <c r="G536" t="s">
        <v>74</v>
      </c>
      <c r="H536" t="s">
        <v>74</v>
      </c>
      <c r="I536" t="s">
        <v>10176</v>
      </c>
      <c r="J536" t="s">
        <v>10177</v>
      </c>
      <c r="K536" t="s">
        <v>74</v>
      </c>
      <c r="L536" t="s">
        <v>74</v>
      </c>
      <c r="M536" t="s">
        <v>200</v>
      </c>
      <c r="N536" t="s">
        <v>79</v>
      </c>
      <c r="O536" t="s">
        <v>74</v>
      </c>
      <c r="P536" t="s">
        <v>74</v>
      </c>
      <c r="Q536" t="s">
        <v>74</v>
      </c>
      <c r="R536" t="s">
        <v>74</v>
      </c>
      <c r="S536" t="s">
        <v>74</v>
      </c>
      <c r="T536" t="s">
        <v>10178</v>
      </c>
      <c r="U536" t="s">
        <v>10179</v>
      </c>
      <c r="V536" t="s">
        <v>10180</v>
      </c>
      <c r="W536" t="s">
        <v>10181</v>
      </c>
      <c r="X536" t="s">
        <v>10182</v>
      </c>
      <c r="Y536" t="s">
        <v>10183</v>
      </c>
      <c r="Z536" t="s">
        <v>10184</v>
      </c>
      <c r="AA536" t="s">
        <v>10185</v>
      </c>
      <c r="AB536" t="s">
        <v>10186</v>
      </c>
      <c r="AC536" t="s">
        <v>10187</v>
      </c>
      <c r="AD536" t="s">
        <v>10188</v>
      </c>
      <c r="AE536" t="s">
        <v>10189</v>
      </c>
      <c r="AF536" t="s">
        <v>74</v>
      </c>
      <c r="AG536">
        <v>168</v>
      </c>
      <c r="AH536">
        <v>38</v>
      </c>
      <c r="AI536">
        <v>43</v>
      </c>
      <c r="AJ536">
        <v>0</v>
      </c>
      <c r="AK536">
        <v>5</v>
      </c>
      <c r="AL536" t="s">
        <v>1385</v>
      </c>
      <c r="AM536" t="s">
        <v>1386</v>
      </c>
      <c r="AN536" t="s">
        <v>1387</v>
      </c>
      <c r="AO536" t="s">
        <v>10190</v>
      </c>
      <c r="AP536" t="s">
        <v>10191</v>
      </c>
      <c r="AQ536" t="s">
        <v>74</v>
      </c>
      <c r="AR536" t="s">
        <v>10192</v>
      </c>
      <c r="AS536" t="s">
        <v>10193</v>
      </c>
      <c r="AT536" t="s">
        <v>315</v>
      </c>
      <c r="AU536">
        <v>2016</v>
      </c>
      <c r="AV536">
        <v>57</v>
      </c>
      <c r="AW536">
        <v>1</v>
      </c>
      <c r="AX536" t="s">
        <v>74</v>
      </c>
      <c r="AY536" t="s">
        <v>74</v>
      </c>
      <c r="AZ536" t="s">
        <v>74</v>
      </c>
      <c r="BA536" t="s">
        <v>74</v>
      </c>
      <c r="BB536">
        <v>53</v>
      </c>
      <c r="BC536">
        <v>91</v>
      </c>
      <c r="BD536" t="s">
        <v>74</v>
      </c>
      <c r="BE536" t="s">
        <v>10194</v>
      </c>
      <c r="BF536" t="str">
        <f>HYPERLINK("http://dx.doi.org/10.1093/petrology/egv082","http://dx.doi.org/10.1093/petrology/egv082")</f>
        <v>http://dx.doi.org/10.1093/petrology/egv082</v>
      </c>
      <c r="BG536" t="s">
        <v>74</v>
      </c>
      <c r="BH536" t="s">
        <v>74</v>
      </c>
      <c r="BI536">
        <v>39</v>
      </c>
      <c r="BJ536" t="s">
        <v>4474</v>
      </c>
      <c r="BK536" t="s">
        <v>264</v>
      </c>
      <c r="BL536" t="s">
        <v>4474</v>
      </c>
      <c r="BM536" t="s">
        <v>10195</v>
      </c>
      <c r="BN536" t="s">
        <v>74</v>
      </c>
      <c r="BO536" t="s">
        <v>486</v>
      </c>
      <c r="BP536" t="s">
        <v>74</v>
      </c>
      <c r="BQ536" t="s">
        <v>74</v>
      </c>
      <c r="BR536" t="s">
        <v>100</v>
      </c>
      <c r="BS536" t="s">
        <v>10196</v>
      </c>
      <c r="BT536" t="str">
        <f>HYPERLINK("https%3A%2F%2Fwww.webofscience.com%2Fwos%2Fwoscc%2Ffull-record%2FWOS:000374572600004","View Full Record in Web of Science")</f>
        <v>View Full Record in Web of Science</v>
      </c>
    </row>
    <row r="537" spans="1:72" x14ac:dyDescent="0.15">
      <c r="A537" t="s">
        <v>72</v>
      </c>
      <c r="B537" t="s">
        <v>10197</v>
      </c>
      <c r="C537" t="s">
        <v>74</v>
      </c>
      <c r="D537" t="s">
        <v>74</v>
      </c>
      <c r="E537" t="s">
        <v>74</v>
      </c>
      <c r="F537" t="s">
        <v>10198</v>
      </c>
      <c r="G537" t="s">
        <v>74</v>
      </c>
      <c r="H537" t="s">
        <v>74</v>
      </c>
      <c r="I537" t="s">
        <v>10199</v>
      </c>
      <c r="J537" t="s">
        <v>10200</v>
      </c>
      <c r="K537" t="s">
        <v>74</v>
      </c>
      <c r="L537" t="s">
        <v>74</v>
      </c>
      <c r="M537" t="s">
        <v>200</v>
      </c>
      <c r="N537" t="s">
        <v>79</v>
      </c>
      <c r="O537" t="s">
        <v>74</v>
      </c>
      <c r="P537" t="s">
        <v>74</v>
      </c>
      <c r="Q537" t="s">
        <v>74</v>
      </c>
      <c r="R537" t="s">
        <v>74</v>
      </c>
      <c r="S537" t="s">
        <v>74</v>
      </c>
      <c r="T537" t="s">
        <v>10201</v>
      </c>
      <c r="U537" t="s">
        <v>10202</v>
      </c>
      <c r="V537" t="s">
        <v>10203</v>
      </c>
      <c r="W537" t="s">
        <v>10204</v>
      </c>
      <c r="X537" t="s">
        <v>10205</v>
      </c>
      <c r="Y537" t="s">
        <v>10206</v>
      </c>
      <c r="Z537" t="s">
        <v>8297</v>
      </c>
      <c r="AA537" t="s">
        <v>10207</v>
      </c>
      <c r="AB537" t="s">
        <v>10208</v>
      </c>
      <c r="AC537" t="s">
        <v>10209</v>
      </c>
      <c r="AD537" t="s">
        <v>10210</v>
      </c>
      <c r="AE537" t="s">
        <v>10211</v>
      </c>
      <c r="AF537" t="s">
        <v>74</v>
      </c>
      <c r="AG537">
        <v>41</v>
      </c>
      <c r="AH537">
        <v>16</v>
      </c>
      <c r="AI537">
        <v>17</v>
      </c>
      <c r="AJ537">
        <v>0</v>
      </c>
      <c r="AK537">
        <v>20</v>
      </c>
      <c r="AL537" t="s">
        <v>5464</v>
      </c>
      <c r="AM537" t="s">
        <v>5465</v>
      </c>
      <c r="AN537" t="s">
        <v>5466</v>
      </c>
      <c r="AO537" t="s">
        <v>10212</v>
      </c>
      <c r="AP537" t="s">
        <v>10213</v>
      </c>
      <c r="AQ537" t="s">
        <v>74</v>
      </c>
      <c r="AR537" t="s">
        <v>10214</v>
      </c>
      <c r="AS537" t="s">
        <v>10215</v>
      </c>
      <c r="AT537" t="s">
        <v>315</v>
      </c>
      <c r="AU537">
        <v>2016</v>
      </c>
      <c r="AV537">
        <v>31</v>
      </c>
      <c r="AW537">
        <v>1</v>
      </c>
      <c r="AX537" t="s">
        <v>74</v>
      </c>
      <c r="AY537" t="s">
        <v>74</v>
      </c>
      <c r="AZ537" t="s">
        <v>74</v>
      </c>
      <c r="BA537" t="s">
        <v>74</v>
      </c>
      <c r="BB537">
        <v>12</v>
      </c>
      <c r="BC537">
        <v>19</v>
      </c>
      <c r="BD537" t="s">
        <v>74</v>
      </c>
      <c r="BE537" t="s">
        <v>10216</v>
      </c>
      <c r="BF537" t="str">
        <f>HYPERLINK("http://dx.doi.org/10.1002/jqs.2828","http://dx.doi.org/10.1002/jqs.2828")</f>
        <v>http://dx.doi.org/10.1002/jqs.2828</v>
      </c>
      <c r="BG537" t="s">
        <v>74</v>
      </c>
      <c r="BH537" t="s">
        <v>74</v>
      </c>
      <c r="BI537">
        <v>8</v>
      </c>
      <c r="BJ537" t="s">
        <v>2247</v>
      </c>
      <c r="BK537" t="s">
        <v>264</v>
      </c>
      <c r="BL537" t="s">
        <v>2248</v>
      </c>
      <c r="BM537" t="s">
        <v>10217</v>
      </c>
      <c r="BN537" t="s">
        <v>74</v>
      </c>
      <c r="BO537" t="s">
        <v>74</v>
      </c>
      <c r="BP537" t="s">
        <v>74</v>
      </c>
      <c r="BQ537" t="s">
        <v>74</v>
      </c>
      <c r="BR537" t="s">
        <v>100</v>
      </c>
      <c r="BS537" t="s">
        <v>10218</v>
      </c>
      <c r="BT537" t="str">
        <f>HYPERLINK("https%3A%2F%2Fwww.webofscience.com%2Fwos%2Fwoscc%2Ffull-record%2FWOS:000374766900002","View Full Record in Web of Science")</f>
        <v>View Full Record in Web of Science</v>
      </c>
    </row>
    <row r="538" spans="1:72" x14ac:dyDescent="0.15">
      <c r="A538" t="s">
        <v>72</v>
      </c>
      <c r="B538" t="s">
        <v>10219</v>
      </c>
      <c r="C538" t="s">
        <v>74</v>
      </c>
      <c r="D538" t="s">
        <v>74</v>
      </c>
      <c r="E538" t="s">
        <v>74</v>
      </c>
      <c r="F538" t="s">
        <v>10220</v>
      </c>
      <c r="G538" t="s">
        <v>74</v>
      </c>
      <c r="H538" t="s">
        <v>74</v>
      </c>
      <c r="I538" t="s">
        <v>10221</v>
      </c>
      <c r="J538" t="s">
        <v>10222</v>
      </c>
      <c r="K538" t="s">
        <v>74</v>
      </c>
      <c r="L538" t="s">
        <v>74</v>
      </c>
      <c r="M538" t="s">
        <v>200</v>
      </c>
      <c r="N538" t="s">
        <v>79</v>
      </c>
      <c r="O538" t="s">
        <v>74</v>
      </c>
      <c r="P538" t="s">
        <v>74</v>
      </c>
      <c r="Q538" t="s">
        <v>74</v>
      </c>
      <c r="R538" t="s">
        <v>74</v>
      </c>
      <c r="S538" t="s">
        <v>74</v>
      </c>
      <c r="T538" t="s">
        <v>74</v>
      </c>
      <c r="U538" t="s">
        <v>10223</v>
      </c>
      <c r="V538" t="s">
        <v>10224</v>
      </c>
      <c r="W538" t="s">
        <v>10225</v>
      </c>
      <c r="X538" t="s">
        <v>10226</v>
      </c>
      <c r="Y538" t="s">
        <v>10227</v>
      </c>
      <c r="Z538" t="s">
        <v>10228</v>
      </c>
      <c r="AA538" t="s">
        <v>4606</v>
      </c>
      <c r="AB538" t="s">
        <v>10229</v>
      </c>
      <c r="AC538" t="s">
        <v>10230</v>
      </c>
      <c r="AD538" t="s">
        <v>10231</v>
      </c>
      <c r="AE538" t="s">
        <v>10232</v>
      </c>
      <c r="AF538" t="s">
        <v>74</v>
      </c>
      <c r="AG538">
        <v>168</v>
      </c>
      <c r="AH538">
        <v>25</v>
      </c>
      <c r="AI538">
        <v>27</v>
      </c>
      <c r="AJ538">
        <v>0</v>
      </c>
      <c r="AK538">
        <v>6</v>
      </c>
      <c r="AL538" t="s">
        <v>2263</v>
      </c>
      <c r="AM538" t="s">
        <v>2264</v>
      </c>
      <c r="AN538" t="s">
        <v>2265</v>
      </c>
      <c r="AO538" t="s">
        <v>10233</v>
      </c>
      <c r="AP538" t="s">
        <v>10234</v>
      </c>
      <c r="AQ538" t="s">
        <v>74</v>
      </c>
      <c r="AR538" t="s">
        <v>10235</v>
      </c>
      <c r="AS538" t="s">
        <v>10236</v>
      </c>
      <c r="AT538" t="s">
        <v>74</v>
      </c>
      <c r="AU538">
        <v>2016</v>
      </c>
      <c r="AV538">
        <v>36</v>
      </c>
      <c r="AW538">
        <v>4</v>
      </c>
      <c r="AX538" t="s">
        <v>74</v>
      </c>
      <c r="AY538" t="s">
        <v>74</v>
      </c>
      <c r="AZ538" t="s">
        <v>74</v>
      </c>
      <c r="BA538" t="s">
        <v>74</v>
      </c>
      <c r="BB538" t="s">
        <v>74</v>
      </c>
      <c r="BC538" t="s">
        <v>74</v>
      </c>
      <c r="BD538" t="s">
        <v>10237</v>
      </c>
      <c r="BE538" t="s">
        <v>10238</v>
      </c>
      <c r="BF538" t="str">
        <f>HYPERLINK("http://dx.doi.org/10.1080/02724634.2016.1160911","http://dx.doi.org/10.1080/02724634.2016.1160911")</f>
        <v>http://dx.doi.org/10.1080/02724634.2016.1160911</v>
      </c>
      <c r="BG538" t="s">
        <v>74</v>
      </c>
      <c r="BH538" t="s">
        <v>74</v>
      </c>
      <c r="BI538">
        <v>19</v>
      </c>
      <c r="BJ538" t="s">
        <v>2542</v>
      </c>
      <c r="BK538" t="s">
        <v>264</v>
      </c>
      <c r="BL538" t="s">
        <v>2542</v>
      </c>
      <c r="BM538" t="s">
        <v>10239</v>
      </c>
      <c r="BN538">
        <v>28298806</v>
      </c>
      <c r="BO538" t="s">
        <v>8780</v>
      </c>
      <c r="BP538" t="s">
        <v>74</v>
      </c>
      <c r="BQ538" t="s">
        <v>74</v>
      </c>
      <c r="BR538" t="s">
        <v>100</v>
      </c>
      <c r="BS538" t="s">
        <v>10240</v>
      </c>
      <c r="BT538" t="str">
        <f>HYPERLINK("https%3A%2F%2Fwww.webofscience.com%2Fwos%2Fwoscc%2Ffull-record%2FWOS:000380558100018","View Full Record in Web of Science")</f>
        <v>View Full Record in Web of Science</v>
      </c>
    </row>
    <row r="539" spans="1:72" x14ac:dyDescent="0.15">
      <c r="A539" t="s">
        <v>267</v>
      </c>
      <c r="B539" t="s">
        <v>10241</v>
      </c>
      <c r="C539" t="s">
        <v>74</v>
      </c>
      <c r="D539" t="s">
        <v>1974</v>
      </c>
      <c r="E539" t="s">
        <v>74</v>
      </c>
      <c r="F539" t="s">
        <v>10242</v>
      </c>
      <c r="G539" t="s">
        <v>74</v>
      </c>
      <c r="H539" t="s">
        <v>74</v>
      </c>
      <c r="I539" t="s">
        <v>10243</v>
      </c>
      <c r="J539" t="s">
        <v>1977</v>
      </c>
      <c r="K539" t="s">
        <v>1053</v>
      </c>
      <c r="L539" t="s">
        <v>74</v>
      </c>
      <c r="M539" t="s">
        <v>200</v>
      </c>
      <c r="N539" t="s">
        <v>273</v>
      </c>
      <c r="O539" t="s">
        <v>1978</v>
      </c>
      <c r="P539" t="s">
        <v>1979</v>
      </c>
      <c r="Q539" t="s">
        <v>1980</v>
      </c>
      <c r="R539" t="s">
        <v>74</v>
      </c>
      <c r="S539" t="s">
        <v>1981</v>
      </c>
      <c r="T539" t="s">
        <v>10244</v>
      </c>
      <c r="U539" t="s">
        <v>10245</v>
      </c>
      <c r="V539" t="s">
        <v>10246</v>
      </c>
      <c r="W539" t="s">
        <v>10247</v>
      </c>
      <c r="X539" t="s">
        <v>10248</v>
      </c>
      <c r="Y539" t="s">
        <v>10249</v>
      </c>
      <c r="Z539" t="s">
        <v>10250</v>
      </c>
      <c r="AA539" t="s">
        <v>74</v>
      </c>
      <c r="AB539" t="s">
        <v>74</v>
      </c>
      <c r="AC539" t="s">
        <v>74</v>
      </c>
      <c r="AD539" t="s">
        <v>74</v>
      </c>
      <c r="AE539" t="s">
        <v>74</v>
      </c>
      <c r="AF539" t="s">
        <v>74</v>
      </c>
      <c r="AG539">
        <v>17</v>
      </c>
      <c r="AH539">
        <v>1</v>
      </c>
      <c r="AI539">
        <v>1</v>
      </c>
      <c r="AJ539">
        <v>0</v>
      </c>
      <c r="AK539">
        <v>4</v>
      </c>
      <c r="AL539" t="s">
        <v>1067</v>
      </c>
      <c r="AM539" t="s">
        <v>1068</v>
      </c>
      <c r="AN539" t="s">
        <v>1069</v>
      </c>
      <c r="AO539" t="s">
        <v>1070</v>
      </c>
      <c r="AP539" t="s">
        <v>1107</v>
      </c>
      <c r="AQ539" t="s">
        <v>1991</v>
      </c>
      <c r="AR539" t="s">
        <v>1072</v>
      </c>
      <c r="AS539" t="s">
        <v>74</v>
      </c>
      <c r="AT539" t="s">
        <v>74</v>
      </c>
      <c r="AU539">
        <v>2016</v>
      </c>
      <c r="AV539">
        <v>9877</v>
      </c>
      <c r="AW539" t="s">
        <v>74</v>
      </c>
      <c r="AX539" t="s">
        <v>74</v>
      </c>
      <c r="AY539" t="s">
        <v>74</v>
      </c>
      <c r="AZ539" t="s">
        <v>74</v>
      </c>
      <c r="BA539" t="s">
        <v>74</v>
      </c>
      <c r="BB539" t="s">
        <v>74</v>
      </c>
      <c r="BC539" t="s">
        <v>74</v>
      </c>
      <c r="BD539" t="s">
        <v>10251</v>
      </c>
      <c r="BE539" t="s">
        <v>10252</v>
      </c>
      <c r="BF539" t="str">
        <f>HYPERLINK("http://dx.doi.org/10.1117/12.2223513","http://dx.doi.org/10.1117/12.2223513")</f>
        <v>http://dx.doi.org/10.1117/12.2223513</v>
      </c>
      <c r="BG539" t="s">
        <v>74</v>
      </c>
      <c r="BH539" t="s">
        <v>74</v>
      </c>
      <c r="BI539">
        <v>9</v>
      </c>
      <c r="BJ539" t="s">
        <v>1994</v>
      </c>
      <c r="BK539" t="s">
        <v>293</v>
      </c>
      <c r="BL539" t="s">
        <v>1994</v>
      </c>
      <c r="BM539" t="s">
        <v>1995</v>
      </c>
      <c r="BN539" t="s">
        <v>74</v>
      </c>
      <c r="BO539" t="s">
        <v>74</v>
      </c>
      <c r="BP539" t="s">
        <v>74</v>
      </c>
      <c r="BQ539" t="s">
        <v>74</v>
      </c>
      <c r="BR539" t="s">
        <v>100</v>
      </c>
      <c r="BS539" t="s">
        <v>10253</v>
      </c>
      <c r="BT539" t="str">
        <f>HYPERLINK("https%3A%2F%2Fwww.webofscience.com%2Fwos%2Fwoscc%2Ffull-record%2FWOS:000389680500035","View Full Record in Web of Science")</f>
        <v>View Full Record in Web of Science</v>
      </c>
    </row>
    <row r="540" spans="1:72" x14ac:dyDescent="0.15">
      <c r="A540" t="s">
        <v>267</v>
      </c>
      <c r="B540" t="s">
        <v>10254</v>
      </c>
      <c r="C540" t="s">
        <v>74</v>
      </c>
      <c r="D540" t="s">
        <v>1974</v>
      </c>
      <c r="E540" t="s">
        <v>74</v>
      </c>
      <c r="F540" t="s">
        <v>10255</v>
      </c>
      <c r="G540" t="s">
        <v>74</v>
      </c>
      <c r="H540" t="s">
        <v>74</v>
      </c>
      <c r="I540" t="s">
        <v>10256</v>
      </c>
      <c r="J540" t="s">
        <v>1977</v>
      </c>
      <c r="K540" t="s">
        <v>1053</v>
      </c>
      <c r="L540" t="s">
        <v>74</v>
      </c>
      <c r="M540" t="s">
        <v>200</v>
      </c>
      <c r="N540" t="s">
        <v>273</v>
      </c>
      <c r="O540" t="s">
        <v>1978</v>
      </c>
      <c r="P540" t="s">
        <v>1979</v>
      </c>
      <c r="Q540" t="s">
        <v>1980</v>
      </c>
      <c r="R540" t="s">
        <v>74</v>
      </c>
      <c r="S540" t="s">
        <v>1981</v>
      </c>
      <c r="T540" t="s">
        <v>10257</v>
      </c>
      <c r="U540" t="s">
        <v>10258</v>
      </c>
      <c r="V540" t="s">
        <v>10259</v>
      </c>
      <c r="W540" t="s">
        <v>10260</v>
      </c>
      <c r="X540" t="s">
        <v>10261</v>
      </c>
      <c r="Y540" t="s">
        <v>10262</v>
      </c>
      <c r="Z540" t="s">
        <v>10263</v>
      </c>
      <c r="AA540" t="s">
        <v>10264</v>
      </c>
      <c r="AB540" t="s">
        <v>74</v>
      </c>
      <c r="AC540" t="s">
        <v>74</v>
      </c>
      <c r="AD540" t="s">
        <v>74</v>
      </c>
      <c r="AE540" t="s">
        <v>74</v>
      </c>
      <c r="AF540" t="s">
        <v>74</v>
      </c>
      <c r="AG540">
        <v>56</v>
      </c>
      <c r="AH540">
        <v>10</v>
      </c>
      <c r="AI540">
        <v>10</v>
      </c>
      <c r="AJ540">
        <v>1</v>
      </c>
      <c r="AK540">
        <v>18</v>
      </c>
      <c r="AL540" t="s">
        <v>1067</v>
      </c>
      <c r="AM540" t="s">
        <v>1068</v>
      </c>
      <c r="AN540" t="s">
        <v>1069</v>
      </c>
      <c r="AO540" t="s">
        <v>1070</v>
      </c>
      <c r="AP540" t="s">
        <v>1107</v>
      </c>
      <c r="AQ540" t="s">
        <v>1991</v>
      </c>
      <c r="AR540" t="s">
        <v>1072</v>
      </c>
      <c r="AS540" t="s">
        <v>74</v>
      </c>
      <c r="AT540" t="s">
        <v>74</v>
      </c>
      <c r="AU540">
        <v>2016</v>
      </c>
      <c r="AV540">
        <v>9877</v>
      </c>
      <c r="AW540" t="s">
        <v>74</v>
      </c>
      <c r="AX540" t="s">
        <v>74</v>
      </c>
      <c r="AY540" t="s">
        <v>74</v>
      </c>
      <c r="AZ540" t="s">
        <v>74</v>
      </c>
      <c r="BA540" t="s">
        <v>74</v>
      </c>
      <c r="BB540" t="s">
        <v>74</v>
      </c>
      <c r="BC540" t="s">
        <v>74</v>
      </c>
      <c r="BD540">
        <v>987719</v>
      </c>
      <c r="BE540" t="s">
        <v>10265</v>
      </c>
      <c r="BF540" t="str">
        <f>HYPERLINK("http://dx.doi.org/10.1117/12.2224027","http://dx.doi.org/10.1117/12.2224027")</f>
        <v>http://dx.doi.org/10.1117/12.2224027</v>
      </c>
      <c r="BG540" t="s">
        <v>74</v>
      </c>
      <c r="BH540" t="s">
        <v>74</v>
      </c>
      <c r="BI540">
        <v>16</v>
      </c>
      <c r="BJ540" t="s">
        <v>1994</v>
      </c>
      <c r="BK540" t="s">
        <v>293</v>
      </c>
      <c r="BL540" t="s">
        <v>1994</v>
      </c>
      <c r="BM540" t="s">
        <v>1995</v>
      </c>
      <c r="BN540" t="s">
        <v>74</v>
      </c>
      <c r="BO540" t="s">
        <v>74</v>
      </c>
      <c r="BP540" t="s">
        <v>74</v>
      </c>
      <c r="BQ540" t="s">
        <v>74</v>
      </c>
      <c r="BR540" t="s">
        <v>100</v>
      </c>
      <c r="BS540" t="s">
        <v>10266</v>
      </c>
      <c r="BT540" t="str">
        <f>HYPERLINK("https%3A%2F%2Fwww.webofscience.com%2Fwos%2Fwoscc%2Ffull-record%2FWOS:000389680500019","View Full Record in Web of Science")</f>
        <v>View Full Record in Web of Science</v>
      </c>
    </row>
    <row r="541" spans="1:72" x14ac:dyDescent="0.15">
      <c r="A541" t="s">
        <v>72</v>
      </c>
      <c r="B541" t="s">
        <v>10267</v>
      </c>
      <c r="C541" t="s">
        <v>74</v>
      </c>
      <c r="D541" t="s">
        <v>74</v>
      </c>
      <c r="E541" t="s">
        <v>74</v>
      </c>
      <c r="F541" t="s">
        <v>10268</v>
      </c>
      <c r="G541" t="s">
        <v>74</v>
      </c>
      <c r="H541" t="s">
        <v>74</v>
      </c>
      <c r="I541" t="s">
        <v>10269</v>
      </c>
      <c r="J541" t="s">
        <v>77</v>
      </c>
      <c r="K541" t="s">
        <v>74</v>
      </c>
      <c r="L541" t="s">
        <v>74</v>
      </c>
      <c r="M541" t="s">
        <v>78</v>
      </c>
      <c r="N541" t="s">
        <v>79</v>
      </c>
      <c r="O541" t="s">
        <v>74</v>
      </c>
      <c r="P541" t="s">
        <v>74</v>
      </c>
      <c r="Q541" t="s">
        <v>74</v>
      </c>
      <c r="R541" t="s">
        <v>74</v>
      </c>
      <c r="S541" t="s">
        <v>74</v>
      </c>
      <c r="T541" t="s">
        <v>10270</v>
      </c>
      <c r="U541" t="s">
        <v>74</v>
      </c>
      <c r="V541" t="s">
        <v>10271</v>
      </c>
      <c r="W541" t="s">
        <v>10272</v>
      </c>
      <c r="X541" t="s">
        <v>83</v>
      </c>
      <c r="Y541" t="s">
        <v>10273</v>
      </c>
      <c r="Z541" t="s">
        <v>10274</v>
      </c>
      <c r="AA541" t="s">
        <v>10275</v>
      </c>
      <c r="AB541" t="s">
        <v>10276</v>
      </c>
      <c r="AC541" t="s">
        <v>74</v>
      </c>
      <c r="AD541" t="s">
        <v>74</v>
      </c>
      <c r="AE541" t="s">
        <v>74</v>
      </c>
      <c r="AF541" t="s">
        <v>74</v>
      </c>
      <c r="AG541">
        <v>13</v>
      </c>
      <c r="AH541">
        <v>6</v>
      </c>
      <c r="AI541">
        <v>8</v>
      </c>
      <c r="AJ541">
        <v>0</v>
      </c>
      <c r="AK541">
        <v>6</v>
      </c>
      <c r="AL541" t="s">
        <v>87</v>
      </c>
      <c r="AM541" t="s">
        <v>88</v>
      </c>
      <c r="AN541" t="s">
        <v>89</v>
      </c>
      <c r="AO541" t="s">
        <v>90</v>
      </c>
      <c r="AP541" t="s">
        <v>91</v>
      </c>
      <c r="AQ541" t="s">
        <v>74</v>
      </c>
      <c r="AR541" t="s">
        <v>92</v>
      </c>
      <c r="AS541" t="s">
        <v>93</v>
      </c>
      <c r="AT541" t="s">
        <v>74</v>
      </c>
      <c r="AU541">
        <v>2016</v>
      </c>
      <c r="AV541">
        <v>56</v>
      </c>
      <c r="AW541">
        <v>3</v>
      </c>
      <c r="AX541" t="s">
        <v>74</v>
      </c>
      <c r="AY541" t="s">
        <v>74</v>
      </c>
      <c r="AZ541" t="s">
        <v>74</v>
      </c>
      <c r="BA541" t="s">
        <v>74</v>
      </c>
      <c r="BB541">
        <v>358</v>
      </c>
      <c r="BC541">
        <v>368</v>
      </c>
      <c r="BD541" t="s">
        <v>74</v>
      </c>
      <c r="BE541" t="s">
        <v>10277</v>
      </c>
      <c r="BF541" t="str">
        <f>HYPERLINK("http://dx.doi.org/10.15356/2076-6734-2016-3-358-368","http://dx.doi.org/10.15356/2076-6734-2016-3-358-368")</f>
        <v>http://dx.doi.org/10.15356/2076-6734-2016-3-358-368</v>
      </c>
      <c r="BG541" t="s">
        <v>74</v>
      </c>
      <c r="BH541" t="s">
        <v>74</v>
      </c>
      <c r="BI541">
        <v>11</v>
      </c>
      <c r="BJ541" t="s">
        <v>95</v>
      </c>
      <c r="BK541" t="s">
        <v>96</v>
      </c>
      <c r="BL541" t="s">
        <v>97</v>
      </c>
      <c r="BM541" t="s">
        <v>98</v>
      </c>
      <c r="BN541" t="s">
        <v>74</v>
      </c>
      <c r="BO541" t="s">
        <v>99</v>
      </c>
      <c r="BP541" t="s">
        <v>74</v>
      </c>
      <c r="BQ541" t="s">
        <v>74</v>
      </c>
      <c r="BR541" t="s">
        <v>100</v>
      </c>
      <c r="BS541" t="s">
        <v>10278</v>
      </c>
      <c r="BT541" t="str">
        <f>HYPERLINK("https%3A%2F%2Fwww.webofscience.com%2Fwos%2Fwoscc%2Ffull-record%2FWOS:000408236100005","View Full Record in Web of Science")</f>
        <v>View Full Record in Web of Science</v>
      </c>
    </row>
    <row r="542" spans="1:72" x14ac:dyDescent="0.15">
      <c r="A542" t="s">
        <v>72</v>
      </c>
      <c r="B542" t="s">
        <v>10279</v>
      </c>
      <c r="C542" t="s">
        <v>74</v>
      </c>
      <c r="D542" t="s">
        <v>74</v>
      </c>
      <c r="E542" t="s">
        <v>74</v>
      </c>
      <c r="F542" t="s">
        <v>10280</v>
      </c>
      <c r="G542" t="s">
        <v>74</v>
      </c>
      <c r="H542" t="s">
        <v>74</v>
      </c>
      <c r="I542" t="s">
        <v>10281</v>
      </c>
      <c r="J542" t="s">
        <v>3043</v>
      </c>
      <c r="K542" t="s">
        <v>74</v>
      </c>
      <c r="L542" t="s">
        <v>74</v>
      </c>
      <c r="M542" t="s">
        <v>200</v>
      </c>
      <c r="N542" t="s">
        <v>79</v>
      </c>
      <c r="O542" t="s">
        <v>74</v>
      </c>
      <c r="P542" t="s">
        <v>74</v>
      </c>
      <c r="Q542" t="s">
        <v>74</v>
      </c>
      <c r="R542" t="s">
        <v>74</v>
      </c>
      <c r="S542" t="s">
        <v>74</v>
      </c>
      <c r="T542" t="s">
        <v>10282</v>
      </c>
      <c r="U542" t="s">
        <v>10283</v>
      </c>
      <c r="V542" t="s">
        <v>10284</v>
      </c>
      <c r="W542" t="s">
        <v>10285</v>
      </c>
      <c r="X542" t="s">
        <v>10286</v>
      </c>
      <c r="Y542" t="s">
        <v>10287</v>
      </c>
      <c r="Z542" t="s">
        <v>10288</v>
      </c>
      <c r="AA542" t="s">
        <v>10289</v>
      </c>
      <c r="AB542" t="s">
        <v>10290</v>
      </c>
      <c r="AC542" t="s">
        <v>10291</v>
      </c>
      <c r="AD542" t="s">
        <v>10292</v>
      </c>
      <c r="AE542" t="s">
        <v>10293</v>
      </c>
      <c r="AF542" t="s">
        <v>74</v>
      </c>
      <c r="AG542">
        <v>91</v>
      </c>
      <c r="AH542">
        <v>257</v>
      </c>
      <c r="AI542">
        <v>262</v>
      </c>
      <c r="AJ542">
        <v>9</v>
      </c>
      <c r="AK542">
        <v>213</v>
      </c>
      <c r="AL542" t="s">
        <v>380</v>
      </c>
      <c r="AM542" t="s">
        <v>381</v>
      </c>
      <c r="AN542" t="s">
        <v>382</v>
      </c>
      <c r="AO542" t="s">
        <v>3055</v>
      </c>
      <c r="AP542" t="s">
        <v>3056</v>
      </c>
      <c r="AQ542" t="s">
        <v>74</v>
      </c>
      <c r="AR542" t="s">
        <v>3057</v>
      </c>
      <c r="AS542" t="s">
        <v>3058</v>
      </c>
      <c r="AT542" t="s">
        <v>74</v>
      </c>
      <c r="AU542">
        <v>2016</v>
      </c>
      <c r="AV542">
        <v>67</v>
      </c>
      <c r="AW542">
        <v>1</v>
      </c>
      <c r="AX542" t="s">
        <v>74</v>
      </c>
      <c r="AY542" t="s">
        <v>74</v>
      </c>
      <c r="AZ542" t="s">
        <v>2540</v>
      </c>
      <c r="BA542" t="s">
        <v>74</v>
      </c>
      <c r="BB542">
        <v>47</v>
      </c>
      <c r="BC542">
        <v>56</v>
      </c>
      <c r="BD542" t="s">
        <v>74</v>
      </c>
      <c r="BE542" t="s">
        <v>10294</v>
      </c>
      <c r="BF542" t="str">
        <f>HYPERLINK("http://dx.doi.org/10.1071/MF15232","http://dx.doi.org/10.1071/MF15232")</f>
        <v>http://dx.doi.org/10.1071/MF15232</v>
      </c>
      <c r="BG542" t="s">
        <v>74</v>
      </c>
      <c r="BH542" t="s">
        <v>74</v>
      </c>
      <c r="BI542">
        <v>10</v>
      </c>
      <c r="BJ542" t="s">
        <v>3060</v>
      </c>
      <c r="BK542" t="s">
        <v>710</v>
      </c>
      <c r="BL542" t="s">
        <v>3061</v>
      </c>
      <c r="BM542" t="s">
        <v>7056</v>
      </c>
      <c r="BN542" t="s">
        <v>74</v>
      </c>
      <c r="BO542" t="s">
        <v>5581</v>
      </c>
      <c r="BP542" t="s">
        <v>7861</v>
      </c>
      <c r="BQ542" t="s">
        <v>7862</v>
      </c>
      <c r="BR542" t="s">
        <v>100</v>
      </c>
      <c r="BS542" t="s">
        <v>10295</v>
      </c>
      <c r="BT542" t="str">
        <f>HYPERLINK("https%3A%2F%2Fwww.webofscience.com%2Fwos%2Fwoscc%2Ffull-record%2FWOS:000367259300006","View Full Record in Web of Science")</f>
        <v>View Full Record in Web of Science</v>
      </c>
    </row>
    <row r="543" spans="1:72" x14ac:dyDescent="0.15">
      <c r="A543" t="s">
        <v>72</v>
      </c>
      <c r="B543" t="s">
        <v>10296</v>
      </c>
      <c r="C543" t="s">
        <v>74</v>
      </c>
      <c r="D543" t="s">
        <v>74</v>
      </c>
      <c r="E543" t="s">
        <v>74</v>
      </c>
      <c r="F543" t="s">
        <v>10297</v>
      </c>
      <c r="G543" t="s">
        <v>74</v>
      </c>
      <c r="H543" t="s">
        <v>74</v>
      </c>
      <c r="I543" t="s">
        <v>10298</v>
      </c>
      <c r="J543" t="s">
        <v>3043</v>
      </c>
      <c r="K543" t="s">
        <v>74</v>
      </c>
      <c r="L543" t="s">
        <v>74</v>
      </c>
      <c r="M543" t="s">
        <v>200</v>
      </c>
      <c r="N543" t="s">
        <v>79</v>
      </c>
      <c r="O543" t="s">
        <v>74</v>
      </c>
      <c r="P543" t="s">
        <v>74</v>
      </c>
      <c r="Q543" t="s">
        <v>74</v>
      </c>
      <c r="R543" t="s">
        <v>74</v>
      </c>
      <c r="S543" t="s">
        <v>74</v>
      </c>
      <c r="T543" t="s">
        <v>10299</v>
      </c>
      <c r="U543" t="s">
        <v>10300</v>
      </c>
      <c r="V543" t="s">
        <v>10301</v>
      </c>
      <c r="W543" t="s">
        <v>10302</v>
      </c>
      <c r="X543" t="s">
        <v>5433</v>
      </c>
      <c r="Y543" t="s">
        <v>10303</v>
      </c>
      <c r="Z543" t="s">
        <v>10304</v>
      </c>
      <c r="AA543" t="s">
        <v>10305</v>
      </c>
      <c r="AB543" t="s">
        <v>10306</v>
      </c>
      <c r="AC543" t="s">
        <v>74</v>
      </c>
      <c r="AD543" t="s">
        <v>74</v>
      </c>
      <c r="AE543" t="s">
        <v>74</v>
      </c>
      <c r="AF543" t="s">
        <v>74</v>
      </c>
      <c r="AG543">
        <v>61</v>
      </c>
      <c r="AH543">
        <v>38</v>
      </c>
      <c r="AI543">
        <v>39</v>
      </c>
      <c r="AJ543">
        <v>1</v>
      </c>
      <c r="AK543">
        <v>19</v>
      </c>
      <c r="AL543" t="s">
        <v>380</v>
      </c>
      <c r="AM543" t="s">
        <v>381</v>
      </c>
      <c r="AN543" t="s">
        <v>382</v>
      </c>
      <c r="AO543" t="s">
        <v>3055</v>
      </c>
      <c r="AP543" t="s">
        <v>3056</v>
      </c>
      <c r="AQ543" t="s">
        <v>74</v>
      </c>
      <c r="AR543" t="s">
        <v>3057</v>
      </c>
      <c r="AS543" t="s">
        <v>3058</v>
      </c>
      <c r="AT543" t="s">
        <v>74</v>
      </c>
      <c r="AU543">
        <v>2016</v>
      </c>
      <c r="AV543">
        <v>67</v>
      </c>
      <c r="AW543">
        <v>5</v>
      </c>
      <c r="AX543" t="s">
        <v>74</v>
      </c>
      <c r="AY543" t="s">
        <v>74</v>
      </c>
      <c r="AZ543" t="s">
        <v>74</v>
      </c>
      <c r="BA543" t="s">
        <v>74</v>
      </c>
      <c r="BB543">
        <v>612</v>
      </c>
      <c r="BC543">
        <v>625</v>
      </c>
      <c r="BD543" t="s">
        <v>74</v>
      </c>
      <c r="BE543" t="s">
        <v>10307</v>
      </c>
      <c r="BF543" t="str">
        <f>HYPERLINK("http://dx.doi.org/10.1071/MF14340","http://dx.doi.org/10.1071/MF14340")</f>
        <v>http://dx.doi.org/10.1071/MF14340</v>
      </c>
      <c r="BG543" t="s">
        <v>74</v>
      </c>
      <c r="BH543" t="s">
        <v>74</v>
      </c>
      <c r="BI543">
        <v>14</v>
      </c>
      <c r="BJ543" t="s">
        <v>3060</v>
      </c>
      <c r="BK543" t="s">
        <v>264</v>
      </c>
      <c r="BL543" t="s">
        <v>3061</v>
      </c>
      <c r="BM543" t="s">
        <v>5197</v>
      </c>
      <c r="BN543" t="s">
        <v>74</v>
      </c>
      <c r="BO543" t="s">
        <v>74</v>
      </c>
      <c r="BP543" t="s">
        <v>74</v>
      </c>
      <c r="BQ543" t="s">
        <v>74</v>
      </c>
      <c r="BR543" t="s">
        <v>100</v>
      </c>
      <c r="BS543" t="s">
        <v>10308</v>
      </c>
      <c r="BT543" t="str">
        <f>HYPERLINK("https%3A%2F%2Fwww.webofscience.com%2Fwos%2Fwoscc%2Ffull-record%2FWOS:000375094200009","View Full Record in Web of Science")</f>
        <v>View Full Record in Web of Science</v>
      </c>
    </row>
    <row r="544" spans="1:72" x14ac:dyDescent="0.15">
      <c r="A544" t="s">
        <v>72</v>
      </c>
      <c r="B544" t="s">
        <v>10309</v>
      </c>
      <c r="C544" t="s">
        <v>74</v>
      </c>
      <c r="D544" t="s">
        <v>74</v>
      </c>
      <c r="E544" t="s">
        <v>74</v>
      </c>
      <c r="F544" t="s">
        <v>10310</v>
      </c>
      <c r="G544" t="s">
        <v>74</v>
      </c>
      <c r="H544" t="s">
        <v>74</v>
      </c>
      <c r="I544" t="s">
        <v>10311</v>
      </c>
      <c r="J544" t="s">
        <v>3043</v>
      </c>
      <c r="K544" t="s">
        <v>74</v>
      </c>
      <c r="L544" t="s">
        <v>74</v>
      </c>
      <c r="M544" t="s">
        <v>200</v>
      </c>
      <c r="N544" t="s">
        <v>79</v>
      </c>
      <c r="O544" t="s">
        <v>74</v>
      </c>
      <c r="P544" t="s">
        <v>74</v>
      </c>
      <c r="Q544" t="s">
        <v>74</v>
      </c>
      <c r="R544" t="s">
        <v>74</v>
      </c>
      <c r="S544" t="s">
        <v>74</v>
      </c>
      <c r="T544" t="s">
        <v>74</v>
      </c>
      <c r="U544" t="s">
        <v>10312</v>
      </c>
      <c r="V544" t="s">
        <v>10313</v>
      </c>
      <c r="W544" t="s">
        <v>10314</v>
      </c>
      <c r="X544" t="s">
        <v>10315</v>
      </c>
      <c r="Y544" t="s">
        <v>10316</v>
      </c>
      <c r="Z544" t="s">
        <v>10317</v>
      </c>
      <c r="AA544" t="s">
        <v>10318</v>
      </c>
      <c r="AB544" t="s">
        <v>10319</v>
      </c>
      <c r="AC544" t="s">
        <v>10320</v>
      </c>
      <c r="AD544" t="s">
        <v>10321</v>
      </c>
      <c r="AE544" t="s">
        <v>10322</v>
      </c>
      <c r="AF544" t="s">
        <v>74</v>
      </c>
      <c r="AG544">
        <v>43</v>
      </c>
      <c r="AH544">
        <v>8</v>
      </c>
      <c r="AI544">
        <v>9</v>
      </c>
      <c r="AJ544">
        <v>1</v>
      </c>
      <c r="AK544">
        <v>11</v>
      </c>
      <c r="AL544" t="s">
        <v>380</v>
      </c>
      <c r="AM544" t="s">
        <v>381</v>
      </c>
      <c r="AN544" t="s">
        <v>382</v>
      </c>
      <c r="AO544" t="s">
        <v>3055</v>
      </c>
      <c r="AP544" t="s">
        <v>3056</v>
      </c>
      <c r="AQ544" t="s">
        <v>74</v>
      </c>
      <c r="AR544" t="s">
        <v>3057</v>
      </c>
      <c r="AS544" t="s">
        <v>3058</v>
      </c>
      <c r="AT544" t="s">
        <v>74</v>
      </c>
      <c r="AU544">
        <v>2016</v>
      </c>
      <c r="AV544">
        <v>67</v>
      </c>
      <c r="AW544">
        <v>11</v>
      </c>
      <c r="AX544" t="s">
        <v>74</v>
      </c>
      <c r="AY544" t="s">
        <v>74</v>
      </c>
      <c r="AZ544" t="s">
        <v>74</v>
      </c>
      <c r="BA544" t="s">
        <v>74</v>
      </c>
      <c r="BB544">
        <v>1725</v>
      </c>
      <c r="BC544">
        <v>1739</v>
      </c>
      <c r="BD544" t="s">
        <v>74</v>
      </c>
      <c r="BE544" t="s">
        <v>10323</v>
      </c>
      <c r="BF544" t="str">
        <f>HYPERLINK("http://dx.doi.org/10.1071/MF15043","http://dx.doi.org/10.1071/MF15043")</f>
        <v>http://dx.doi.org/10.1071/MF15043</v>
      </c>
      <c r="BG544" t="s">
        <v>74</v>
      </c>
      <c r="BH544" t="s">
        <v>74</v>
      </c>
      <c r="BI544">
        <v>15</v>
      </c>
      <c r="BJ544" t="s">
        <v>3060</v>
      </c>
      <c r="BK544" t="s">
        <v>264</v>
      </c>
      <c r="BL544" t="s">
        <v>3061</v>
      </c>
      <c r="BM544" t="s">
        <v>10324</v>
      </c>
      <c r="BN544" t="s">
        <v>74</v>
      </c>
      <c r="BO544" t="s">
        <v>74</v>
      </c>
      <c r="BP544" t="s">
        <v>74</v>
      </c>
      <c r="BQ544" t="s">
        <v>74</v>
      </c>
      <c r="BR544" t="s">
        <v>100</v>
      </c>
      <c r="BS544" t="s">
        <v>10325</v>
      </c>
      <c r="BT544" t="str">
        <f>HYPERLINK("https%3A%2F%2Fwww.webofscience.com%2Fwos%2Fwoscc%2Ffull-record%2FWOS:000387256400012","View Full Record in Web of Science")</f>
        <v>View Full Record in Web of Science</v>
      </c>
    </row>
    <row r="545" spans="1:72" x14ac:dyDescent="0.15">
      <c r="A545" t="s">
        <v>72</v>
      </c>
      <c r="B545" t="s">
        <v>10326</v>
      </c>
      <c r="C545" t="s">
        <v>74</v>
      </c>
      <c r="D545" t="s">
        <v>74</v>
      </c>
      <c r="E545" t="s">
        <v>74</v>
      </c>
      <c r="F545" t="s">
        <v>10327</v>
      </c>
      <c r="G545" t="s">
        <v>74</v>
      </c>
      <c r="H545" t="s">
        <v>74</v>
      </c>
      <c r="I545" t="s">
        <v>10328</v>
      </c>
      <c r="J545" t="s">
        <v>6361</v>
      </c>
      <c r="K545" t="s">
        <v>74</v>
      </c>
      <c r="L545" t="s">
        <v>74</v>
      </c>
      <c r="M545" t="s">
        <v>200</v>
      </c>
      <c r="N545" t="s">
        <v>79</v>
      </c>
      <c r="O545" t="s">
        <v>74</v>
      </c>
      <c r="P545" t="s">
        <v>74</v>
      </c>
      <c r="Q545" t="s">
        <v>74</v>
      </c>
      <c r="R545" t="s">
        <v>74</v>
      </c>
      <c r="S545" t="s">
        <v>74</v>
      </c>
      <c r="T545" t="s">
        <v>74</v>
      </c>
      <c r="U545" t="s">
        <v>10329</v>
      </c>
      <c r="V545" t="s">
        <v>10330</v>
      </c>
      <c r="W545" t="s">
        <v>10331</v>
      </c>
      <c r="X545" t="s">
        <v>10332</v>
      </c>
      <c r="Y545" t="s">
        <v>10333</v>
      </c>
      <c r="Z545" t="s">
        <v>10334</v>
      </c>
      <c r="AA545" t="s">
        <v>10335</v>
      </c>
      <c r="AB545" t="s">
        <v>10336</v>
      </c>
      <c r="AC545" t="s">
        <v>10337</v>
      </c>
      <c r="AD545" t="s">
        <v>10337</v>
      </c>
      <c r="AE545" t="s">
        <v>10338</v>
      </c>
      <c r="AF545" t="s">
        <v>74</v>
      </c>
      <c r="AG545">
        <v>86</v>
      </c>
      <c r="AH545">
        <v>24</v>
      </c>
      <c r="AI545">
        <v>24</v>
      </c>
      <c r="AJ545">
        <v>0</v>
      </c>
      <c r="AK545">
        <v>29</v>
      </c>
      <c r="AL545" t="s">
        <v>6373</v>
      </c>
      <c r="AM545" t="s">
        <v>6374</v>
      </c>
      <c r="AN545" t="s">
        <v>6375</v>
      </c>
      <c r="AO545" t="s">
        <v>6376</v>
      </c>
      <c r="AP545" t="s">
        <v>6377</v>
      </c>
      <c r="AQ545" t="s">
        <v>74</v>
      </c>
      <c r="AR545" t="s">
        <v>6378</v>
      </c>
      <c r="AS545" t="s">
        <v>6379</v>
      </c>
      <c r="AT545" t="s">
        <v>315</v>
      </c>
      <c r="AU545">
        <v>2016</v>
      </c>
      <c r="AV545">
        <v>163</v>
      </c>
      <c r="AW545">
        <v>1</v>
      </c>
      <c r="AX545" t="s">
        <v>74</v>
      </c>
      <c r="AY545" t="s">
        <v>74</v>
      </c>
      <c r="AZ545" t="s">
        <v>74</v>
      </c>
      <c r="BA545" t="s">
        <v>74</v>
      </c>
      <c r="BB545" t="s">
        <v>74</v>
      </c>
      <c r="BC545" t="s">
        <v>74</v>
      </c>
      <c r="BD545">
        <v>19</v>
      </c>
      <c r="BE545" t="s">
        <v>10339</v>
      </c>
      <c r="BF545" t="str">
        <f>HYPERLINK("http://dx.doi.org/10.1007/s00227-015-2794-6","http://dx.doi.org/10.1007/s00227-015-2794-6")</f>
        <v>http://dx.doi.org/10.1007/s00227-015-2794-6</v>
      </c>
      <c r="BG545" t="s">
        <v>74</v>
      </c>
      <c r="BH545" t="s">
        <v>74</v>
      </c>
      <c r="BI545">
        <v>20</v>
      </c>
      <c r="BJ545" t="s">
        <v>1479</v>
      </c>
      <c r="BK545" t="s">
        <v>264</v>
      </c>
      <c r="BL545" t="s">
        <v>1479</v>
      </c>
      <c r="BM545" t="s">
        <v>6381</v>
      </c>
      <c r="BN545" t="s">
        <v>74</v>
      </c>
      <c r="BO545" t="s">
        <v>74</v>
      </c>
      <c r="BP545" t="s">
        <v>74</v>
      </c>
      <c r="BQ545" t="s">
        <v>74</v>
      </c>
      <c r="BR545" t="s">
        <v>100</v>
      </c>
      <c r="BS545" t="s">
        <v>10340</v>
      </c>
      <c r="BT545" t="str">
        <f>HYPERLINK("https%3A%2F%2Fwww.webofscience.com%2Fwos%2Fwoscc%2Ffull-record%2FWOS:000369243700013","View Full Record in Web of Science")</f>
        <v>View Full Record in Web of Science</v>
      </c>
    </row>
    <row r="546" spans="1:72" x14ac:dyDescent="0.15">
      <c r="A546" t="s">
        <v>193</v>
      </c>
      <c r="B546" t="s">
        <v>10341</v>
      </c>
      <c r="C546" t="s">
        <v>74</v>
      </c>
      <c r="D546" t="s">
        <v>10342</v>
      </c>
      <c r="E546" t="s">
        <v>74</v>
      </c>
      <c r="F546" t="s">
        <v>10343</v>
      </c>
      <c r="G546" t="s">
        <v>74</v>
      </c>
      <c r="H546" t="s">
        <v>74</v>
      </c>
      <c r="I546" t="s">
        <v>10344</v>
      </c>
      <c r="J546" t="s">
        <v>10345</v>
      </c>
      <c r="K546" t="s">
        <v>10346</v>
      </c>
      <c r="L546" t="s">
        <v>74</v>
      </c>
      <c r="M546" t="s">
        <v>200</v>
      </c>
      <c r="N546" t="s">
        <v>201</v>
      </c>
      <c r="O546" t="s">
        <v>74</v>
      </c>
      <c r="P546" t="s">
        <v>74</v>
      </c>
      <c r="Q546" t="s">
        <v>74</v>
      </c>
      <c r="R546" t="s">
        <v>74</v>
      </c>
      <c r="S546" t="s">
        <v>74</v>
      </c>
      <c r="T546" t="s">
        <v>74</v>
      </c>
      <c r="U546" t="s">
        <v>10347</v>
      </c>
      <c r="V546" t="s">
        <v>74</v>
      </c>
      <c r="W546" t="s">
        <v>10348</v>
      </c>
      <c r="X546" t="s">
        <v>3480</v>
      </c>
      <c r="Y546" t="s">
        <v>10349</v>
      </c>
      <c r="Z546" t="s">
        <v>74</v>
      </c>
      <c r="AA546" t="s">
        <v>3262</v>
      </c>
      <c r="AB546" t="s">
        <v>10350</v>
      </c>
      <c r="AC546" t="s">
        <v>74</v>
      </c>
      <c r="AD546" t="s">
        <v>74</v>
      </c>
      <c r="AE546" t="s">
        <v>74</v>
      </c>
      <c r="AF546" t="s">
        <v>74</v>
      </c>
      <c r="AG546">
        <v>76</v>
      </c>
      <c r="AH546">
        <v>0</v>
      </c>
      <c r="AI546">
        <v>0</v>
      </c>
      <c r="AJ546">
        <v>0</v>
      </c>
      <c r="AK546">
        <v>10</v>
      </c>
      <c r="AL546" t="s">
        <v>10351</v>
      </c>
      <c r="AM546" t="s">
        <v>10352</v>
      </c>
      <c r="AN546" t="s">
        <v>10353</v>
      </c>
      <c r="AO546" t="s">
        <v>10354</v>
      </c>
      <c r="AP546" t="s">
        <v>74</v>
      </c>
      <c r="AQ546" t="s">
        <v>10355</v>
      </c>
      <c r="AR546" t="s">
        <v>10356</v>
      </c>
      <c r="AS546" t="s">
        <v>10357</v>
      </c>
      <c r="AT546" t="s">
        <v>74</v>
      </c>
      <c r="AU546">
        <v>2016</v>
      </c>
      <c r="AV546" t="s">
        <v>74</v>
      </c>
      <c r="AW546" t="s">
        <v>74</v>
      </c>
      <c r="AX546" t="s">
        <v>74</v>
      </c>
      <c r="AY546" t="s">
        <v>74</v>
      </c>
      <c r="AZ546" t="s">
        <v>74</v>
      </c>
      <c r="BA546" t="s">
        <v>74</v>
      </c>
      <c r="BB546">
        <v>119</v>
      </c>
      <c r="BC546">
        <v>137</v>
      </c>
      <c r="BD546" t="s">
        <v>74</v>
      </c>
      <c r="BE546" t="s">
        <v>74</v>
      </c>
      <c r="BF546" t="s">
        <v>74</v>
      </c>
      <c r="BG546" t="s">
        <v>10358</v>
      </c>
      <c r="BH546" t="s">
        <v>74</v>
      </c>
      <c r="BI546">
        <v>19</v>
      </c>
      <c r="BJ546" t="s">
        <v>1660</v>
      </c>
      <c r="BK546" t="s">
        <v>216</v>
      </c>
      <c r="BL546" t="s">
        <v>1660</v>
      </c>
      <c r="BM546" t="s">
        <v>10359</v>
      </c>
      <c r="BN546" t="s">
        <v>74</v>
      </c>
      <c r="BO546" t="s">
        <v>74</v>
      </c>
      <c r="BP546" t="s">
        <v>74</v>
      </c>
      <c r="BQ546" t="s">
        <v>74</v>
      </c>
      <c r="BR546" t="s">
        <v>100</v>
      </c>
      <c r="BS546" t="s">
        <v>10360</v>
      </c>
      <c r="BT546" t="str">
        <f>HYPERLINK("https%3A%2F%2Fwww.webofscience.com%2Fwos%2Fwoscc%2Ffull-record%2FWOS:000486089100008","View Full Record in Web of Science")</f>
        <v>View Full Record in Web of Science</v>
      </c>
    </row>
    <row r="547" spans="1:72" x14ac:dyDescent="0.15">
      <c r="A547" t="s">
        <v>193</v>
      </c>
      <c r="B547" t="s">
        <v>10361</v>
      </c>
      <c r="C547" t="s">
        <v>74</v>
      </c>
      <c r="D547" t="s">
        <v>10342</v>
      </c>
      <c r="E547" t="s">
        <v>74</v>
      </c>
      <c r="F547" t="s">
        <v>10362</v>
      </c>
      <c r="G547" t="s">
        <v>74</v>
      </c>
      <c r="H547" t="s">
        <v>74</v>
      </c>
      <c r="I547" t="s">
        <v>10363</v>
      </c>
      <c r="J547" t="s">
        <v>10345</v>
      </c>
      <c r="K547" t="s">
        <v>10346</v>
      </c>
      <c r="L547" t="s">
        <v>74</v>
      </c>
      <c r="M547" t="s">
        <v>200</v>
      </c>
      <c r="N547" t="s">
        <v>201</v>
      </c>
      <c r="O547" t="s">
        <v>74</v>
      </c>
      <c r="P547" t="s">
        <v>74</v>
      </c>
      <c r="Q547" t="s">
        <v>74</v>
      </c>
      <c r="R547" t="s">
        <v>74</v>
      </c>
      <c r="S547" t="s">
        <v>74</v>
      </c>
      <c r="T547" t="s">
        <v>74</v>
      </c>
      <c r="U547" t="s">
        <v>10364</v>
      </c>
      <c r="V547" t="s">
        <v>74</v>
      </c>
      <c r="W547" t="s">
        <v>10365</v>
      </c>
      <c r="X547" t="s">
        <v>10366</v>
      </c>
      <c r="Y547" t="s">
        <v>10367</v>
      </c>
      <c r="Z547" t="s">
        <v>74</v>
      </c>
      <c r="AA547" t="s">
        <v>74</v>
      </c>
      <c r="AB547" t="s">
        <v>74</v>
      </c>
      <c r="AC547" t="s">
        <v>74</v>
      </c>
      <c r="AD547" t="s">
        <v>74</v>
      </c>
      <c r="AE547" t="s">
        <v>74</v>
      </c>
      <c r="AF547" t="s">
        <v>74</v>
      </c>
      <c r="AG547">
        <v>86</v>
      </c>
      <c r="AH547">
        <v>2</v>
      </c>
      <c r="AI547">
        <v>2</v>
      </c>
      <c r="AJ547">
        <v>0</v>
      </c>
      <c r="AK547">
        <v>2</v>
      </c>
      <c r="AL547" t="s">
        <v>10351</v>
      </c>
      <c r="AM547" t="s">
        <v>10352</v>
      </c>
      <c r="AN547" t="s">
        <v>10353</v>
      </c>
      <c r="AO547" t="s">
        <v>10354</v>
      </c>
      <c r="AP547" t="s">
        <v>74</v>
      </c>
      <c r="AQ547" t="s">
        <v>10355</v>
      </c>
      <c r="AR547" t="s">
        <v>10356</v>
      </c>
      <c r="AS547" t="s">
        <v>10357</v>
      </c>
      <c r="AT547" t="s">
        <v>74</v>
      </c>
      <c r="AU547">
        <v>2016</v>
      </c>
      <c r="AV547" t="s">
        <v>74</v>
      </c>
      <c r="AW547" t="s">
        <v>74</v>
      </c>
      <c r="AX547" t="s">
        <v>74</v>
      </c>
      <c r="AY547" t="s">
        <v>74</v>
      </c>
      <c r="AZ547" t="s">
        <v>74</v>
      </c>
      <c r="BA547" t="s">
        <v>74</v>
      </c>
      <c r="BB547">
        <v>169</v>
      </c>
      <c r="BC547">
        <v>191</v>
      </c>
      <c r="BD547" t="s">
        <v>74</v>
      </c>
      <c r="BE547" t="s">
        <v>74</v>
      </c>
      <c r="BF547" t="s">
        <v>74</v>
      </c>
      <c r="BG547" t="s">
        <v>10358</v>
      </c>
      <c r="BH547" t="s">
        <v>74</v>
      </c>
      <c r="BI547">
        <v>23</v>
      </c>
      <c r="BJ547" t="s">
        <v>1660</v>
      </c>
      <c r="BK547" t="s">
        <v>216</v>
      </c>
      <c r="BL547" t="s">
        <v>1660</v>
      </c>
      <c r="BM547" t="s">
        <v>10359</v>
      </c>
      <c r="BN547" t="s">
        <v>74</v>
      </c>
      <c r="BO547" t="s">
        <v>74</v>
      </c>
      <c r="BP547" t="s">
        <v>74</v>
      </c>
      <c r="BQ547" t="s">
        <v>74</v>
      </c>
      <c r="BR547" t="s">
        <v>100</v>
      </c>
      <c r="BS547" t="s">
        <v>10368</v>
      </c>
      <c r="BT547" t="str">
        <f>HYPERLINK("https%3A%2F%2Fwww.webofscience.com%2Fwos%2Fwoscc%2Ffull-record%2FWOS:000486089100010","View Full Record in Web of Science")</f>
        <v>View Full Record in Web of Science</v>
      </c>
    </row>
    <row r="548" spans="1:72" x14ac:dyDescent="0.15">
      <c r="A548" t="s">
        <v>72</v>
      </c>
      <c r="B548" t="s">
        <v>10369</v>
      </c>
      <c r="C548" t="s">
        <v>74</v>
      </c>
      <c r="D548" t="s">
        <v>74</v>
      </c>
      <c r="E548" t="s">
        <v>74</v>
      </c>
      <c r="F548" t="s">
        <v>10370</v>
      </c>
      <c r="G548" t="s">
        <v>74</v>
      </c>
      <c r="H548" t="s">
        <v>74</v>
      </c>
      <c r="I548" t="s">
        <v>10371</v>
      </c>
      <c r="J548" t="s">
        <v>10372</v>
      </c>
      <c r="K548" t="s">
        <v>74</v>
      </c>
      <c r="L548" t="s">
        <v>74</v>
      </c>
      <c r="M548" t="s">
        <v>200</v>
      </c>
      <c r="N548" t="s">
        <v>79</v>
      </c>
      <c r="O548" t="s">
        <v>74</v>
      </c>
      <c r="P548" t="s">
        <v>74</v>
      </c>
      <c r="Q548" t="s">
        <v>74</v>
      </c>
      <c r="R548" t="s">
        <v>74</v>
      </c>
      <c r="S548" t="s">
        <v>74</v>
      </c>
      <c r="T548" t="s">
        <v>10373</v>
      </c>
      <c r="U548" t="s">
        <v>10374</v>
      </c>
      <c r="V548" t="s">
        <v>10375</v>
      </c>
      <c r="W548" t="s">
        <v>10376</v>
      </c>
      <c r="X548" t="s">
        <v>10377</v>
      </c>
      <c r="Y548" t="s">
        <v>10378</v>
      </c>
      <c r="Z548" t="s">
        <v>10379</v>
      </c>
      <c r="AA548" t="s">
        <v>10380</v>
      </c>
      <c r="AB548" t="s">
        <v>10381</v>
      </c>
      <c r="AC548" t="s">
        <v>10382</v>
      </c>
      <c r="AD548" t="s">
        <v>10383</v>
      </c>
      <c r="AE548" t="s">
        <v>10384</v>
      </c>
      <c r="AF548" t="s">
        <v>74</v>
      </c>
      <c r="AG548">
        <v>60</v>
      </c>
      <c r="AH548">
        <v>17</v>
      </c>
      <c r="AI548">
        <v>20</v>
      </c>
      <c r="AJ548">
        <v>0</v>
      </c>
      <c r="AK548">
        <v>13</v>
      </c>
      <c r="AL548" t="s">
        <v>5464</v>
      </c>
      <c r="AM548" t="s">
        <v>5465</v>
      </c>
      <c r="AN548" t="s">
        <v>5466</v>
      </c>
      <c r="AO548" t="s">
        <v>10385</v>
      </c>
      <c r="AP548" t="s">
        <v>10386</v>
      </c>
      <c r="AQ548" t="s">
        <v>74</v>
      </c>
      <c r="AR548" t="s">
        <v>10387</v>
      </c>
      <c r="AS548" t="s">
        <v>10388</v>
      </c>
      <c r="AT548" t="s">
        <v>315</v>
      </c>
      <c r="AU548">
        <v>2016</v>
      </c>
      <c r="AV548">
        <v>32</v>
      </c>
      <c r="AW548">
        <v>1</v>
      </c>
      <c r="AX548" t="s">
        <v>74</v>
      </c>
      <c r="AY548" t="s">
        <v>74</v>
      </c>
      <c r="AZ548" t="s">
        <v>74</v>
      </c>
      <c r="BA548" t="s">
        <v>74</v>
      </c>
      <c r="BB548">
        <v>327</v>
      </c>
      <c r="BC548">
        <v>348</v>
      </c>
      <c r="BD548" t="s">
        <v>74</v>
      </c>
      <c r="BE548" t="s">
        <v>10389</v>
      </c>
      <c r="BF548" t="str">
        <f>HYPERLINK("http://dx.doi.org/10.1111/mms.12271","http://dx.doi.org/10.1111/mms.12271")</f>
        <v>http://dx.doi.org/10.1111/mms.12271</v>
      </c>
      <c r="BG548" t="s">
        <v>74</v>
      </c>
      <c r="BH548" t="s">
        <v>74</v>
      </c>
      <c r="BI548">
        <v>22</v>
      </c>
      <c r="BJ548" t="s">
        <v>1660</v>
      </c>
      <c r="BK548" t="s">
        <v>264</v>
      </c>
      <c r="BL548" t="s">
        <v>1660</v>
      </c>
      <c r="BM548" t="s">
        <v>10390</v>
      </c>
      <c r="BN548" t="s">
        <v>74</v>
      </c>
      <c r="BO548" t="s">
        <v>486</v>
      </c>
      <c r="BP548" t="s">
        <v>74</v>
      </c>
      <c r="BQ548" t="s">
        <v>74</v>
      </c>
      <c r="BR548" t="s">
        <v>100</v>
      </c>
      <c r="BS548" t="s">
        <v>10391</v>
      </c>
      <c r="BT548" t="str">
        <f>HYPERLINK("https%3A%2F%2Fwww.webofscience.com%2Fwos%2Fwoscc%2Ffull-record%2FWOS:000367625800018","View Full Record in Web of Science")</f>
        <v>View Full Record in Web of Science</v>
      </c>
    </row>
    <row r="549" spans="1:72" x14ac:dyDescent="0.15">
      <c r="A549" t="s">
        <v>72</v>
      </c>
      <c r="B549" t="s">
        <v>10392</v>
      </c>
      <c r="C549" t="s">
        <v>74</v>
      </c>
      <c r="D549" t="s">
        <v>74</v>
      </c>
      <c r="E549" t="s">
        <v>74</v>
      </c>
      <c r="F549" t="s">
        <v>10393</v>
      </c>
      <c r="G549" t="s">
        <v>74</v>
      </c>
      <c r="H549" t="s">
        <v>74</v>
      </c>
      <c r="I549" t="s">
        <v>10394</v>
      </c>
      <c r="J549" t="s">
        <v>7205</v>
      </c>
      <c r="K549" t="s">
        <v>74</v>
      </c>
      <c r="L549" t="s">
        <v>74</v>
      </c>
      <c r="M549" t="s">
        <v>200</v>
      </c>
      <c r="N549" t="s">
        <v>79</v>
      </c>
      <c r="O549" t="s">
        <v>74</v>
      </c>
      <c r="P549" t="s">
        <v>74</v>
      </c>
      <c r="Q549" t="s">
        <v>74</v>
      </c>
      <c r="R549" t="s">
        <v>74</v>
      </c>
      <c r="S549" t="s">
        <v>74</v>
      </c>
      <c r="T549" t="s">
        <v>10395</v>
      </c>
      <c r="U549" t="s">
        <v>74</v>
      </c>
      <c r="V549" t="s">
        <v>10396</v>
      </c>
      <c r="W549" t="s">
        <v>10397</v>
      </c>
      <c r="X549" t="s">
        <v>10398</v>
      </c>
      <c r="Y549" t="s">
        <v>10399</v>
      </c>
      <c r="Z549" t="s">
        <v>10400</v>
      </c>
      <c r="AA549" t="s">
        <v>74</v>
      </c>
      <c r="AB549" t="s">
        <v>10401</v>
      </c>
      <c r="AC549" t="s">
        <v>10402</v>
      </c>
      <c r="AD549" t="s">
        <v>10403</v>
      </c>
      <c r="AE549" t="s">
        <v>10404</v>
      </c>
      <c r="AF549" t="s">
        <v>74</v>
      </c>
      <c r="AG549">
        <v>19</v>
      </c>
      <c r="AH549">
        <v>35</v>
      </c>
      <c r="AI549">
        <v>39</v>
      </c>
      <c r="AJ549">
        <v>0</v>
      </c>
      <c r="AK549">
        <v>25</v>
      </c>
      <c r="AL549" t="s">
        <v>7218</v>
      </c>
      <c r="AM549" t="s">
        <v>1386</v>
      </c>
      <c r="AN549" t="s">
        <v>7219</v>
      </c>
      <c r="AO549" t="s">
        <v>7220</v>
      </c>
      <c r="AP549" t="s">
        <v>7221</v>
      </c>
      <c r="AQ549" t="s">
        <v>74</v>
      </c>
      <c r="AR549" t="s">
        <v>7222</v>
      </c>
      <c r="AS549" t="s">
        <v>7223</v>
      </c>
      <c r="AT549" t="s">
        <v>315</v>
      </c>
      <c r="AU549">
        <v>2016</v>
      </c>
      <c r="AV549">
        <v>63</v>
      </c>
      <c r="AW549" t="s">
        <v>74</v>
      </c>
      <c r="AX549" t="s">
        <v>74</v>
      </c>
      <c r="AY549" t="s">
        <v>74</v>
      </c>
      <c r="AZ549" t="s">
        <v>74</v>
      </c>
      <c r="BA549" t="s">
        <v>74</v>
      </c>
      <c r="BB549">
        <v>28</v>
      </c>
      <c r="BC549">
        <v>34</v>
      </c>
      <c r="BD549" t="s">
        <v>74</v>
      </c>
      <c r="BE549" t="s">
        <v>10405</v>
      </c>
      <c r="BF549" t="str">
        <f>HYPERLINK("http://dx.doi.org/10.1016/j.marpol.2015.09.031","http://dx.doi.org/10.1016/j.marpol.2015.09.031")</f>
        <v>http://dx.doi.org/10.1016/j.marpol.2015.09.031</v>
      </c>
      <c r="BG549" t="s">
        <v>74</v>
      </c>
      <c r="BH549" t="s">
        <v>74</v>
      </c>
      <c r="BI549">
        <v>7</v>
      </c>
      <c r="BJ549" t="s">
        <v>7225</v>
      </c>
      <c r="BK549" t="s">
        <v>1208</v>
      </c>
      <c r="BL549" t="s">
        <v>7226</v>
      </c>
      <c r="BM549" t="s">
        <v>7227</v>
      </c>
      <c r="BN549" t="s">
        <v>74</v>
      </c>
      <c r="BO549" t="s">
        <v>5581</v>
      </c>
      <c r="BP549" t="s">
        <v>74</v>
      </c>
      <c r="BQ549" t="s">
        <v>74</v>
      </c>
      <c r="BR549" t="s">
        <v>100</v>
      </c>
      <c r="BS549" t="s">
        <v>10406</v>
      </c>
      <c r="BT549" t="str">
        <f>HYPERLINK("https%3A%2F%2Fwww.webofscience.com%2Fwos%2Fwoscc%2Ffull-record%2FWOS:000367021000004","View Full Record in Web of Science")</f>
        <v>View Full Record in Web of Science</v>
      </c>
    </row>
    <row r="550" spans="1:72" x14ac:dyDescent="0.15">
      <c r="A550" t="s">
        <v>72</v>
      </c>
      <c r="B550" t="s">
        <v>10407</v>
      </c>
      <c r="C550" t="s">
        <v>74</v>
      </c>
      <c r="D550" t="s">
        <v>74</v>
      </c>
      <c r="E550" t="s">
        <v>74</v>
      </c>
      <c r="F550" t="s">
        <v>10408</v>
      </c>
      <c r="G550" t="s">
        <v>74</v>
      </c>
      <c r="H550" t="s">
        <v>74</v>
      </c>
      <c r="I550" t="s">
        <v>10409</v>
      </c>
      <c r="J550" t="s">
        <v>1703</v>
      </c>
      <c r="K550" t="s">
        <v>74</v>
      </c>
      <c r="L550" t="s">
        <v>74</v>
      </c>
      <c r="M550" t="s">
        <v>200</v>
      </c>
      <c r="N550" t="s">
        <v>79</v>
      </c>
      <c r="O550" t="s">
        <v>74</v>
      </c>
      <c r="P550" t="s">
        <v>74</v>
      </c>
      <c r="Q550" t="s">
        <v>74</v>
      </c>
      <c r="R550" t="s">
        <v>74</v>
      </c>
      <c r="S550" t="s">
        <v>74</v>
      </c>
      <c r="T550" t="s">
        <v>10410</v>
      </c>
      <c r="U550" t="s">
        <v>10411</v>
      </c>
      <c r="V550" t="s">
        <v>10412</v>
      </c>
      <c r="W550" t="s">
        <v>10413</v>
      </c>
      <c r="X550" t="s">
        <v>8621</v>
      </c>
      <c r="Y550" t="s">
        <v>10414</v>
      </c>
      <c r="Z550" t="s">
        <v>10415</v>
      </c>
      <c r="AA550" t="s">
        <v>10416</v>
      </c>
      <c r="AB550" t="s">
        <v>10417</v>
      </c>
      <c r="AC550" t="s">
        <v>10418</v>
      </c>
      <c r="AD550" t="s">
        <v>10418</v>
      </c>
      <c r="AE550" t="s">
        <v>10419</v>
      </c>
      <c r="AF550" t="s">
        <v>74</v>
      </c>
      <c r="AG550">
        <v>11</v>
      </c>
      <c r="AH550">
        <v>3</v>
      </c>
      <c r="AI550">
        <v>3</v>
      </c>
      <c r="AJ550">
        <v>1</v>
      </c>
      <c r="AK550">
        <v>4</v>
      </c>
      <c r="AL550" t="s">
        <v>1713</v>
      </c>
      <c r="AM550" t="s">
        <v>1714</v>
      </c>
      <c r="AN550" t="s">
        <v>1715</v>
      </c>
      <c r="AO550" t="s">
        <v>1716</v>
      </c>
      <c r="AP550" t="s">
        <v>1717</v>
      </c>
      <c r="AQ550" t="s">
        <v>74</v>
      </c>
      <c r="AR550" t="s">
        <v>1718</v>
      </c>
      <c r="AS550" t="s">
        <v>1719</v>
      </c>
      <c r="AT550" t="s">
        <v>74</v>
      </c>
      <c r="AU550">
        <v>2016</v>
      </c>
      <c r="AV550">
        <v>25</v>
      </c>
      <c r="AW550">
        <v>1</v>
      </c>
      <c r="AX550" t="s">
        <v>74</v>
      </c>
      <c r="AY550" t="s">
        <v>74</v>
      </c>
      <c r="AZ550" t="s">
        <v>74</v>
      </c>
      <c r="BA550" t="s">
        <v>74</v>
      </c>
      <c r="BB550">
        <v>71</v>
      </c>
      <c r="BC550">
        <v>77</v>
      </c>
      <c r="BD550" t="s">
        <v>74</v>
      </c>
      <c r="BE550" t="s">
        <v>10420</v>
      </c>
      <c r="BF550" t="str">
        <f>HYPERLINK("http://dx.doi.org/10.1127/metz/2015/0685","http://dx.doi.org/10.1127/metz/2015/0685")</f>
        <v>http://dx.doi.org/10.1127/metz/2015/0685</v>
      </c>
      <c r="BG550" t="s">
        <v>74</v>
      </c>
      <c r="BH550" t="s">
        <v>74</v>
      </c>
      <c r="BI550">
        <v>7</v>
      </c>
      <c r="BJ550" t="s">
        <v>1721</v>
      </c>
      <c r="BK550" t="s">
        <v>264</v>
      </c>
      <c r="BL550" t="s">
        <v>1721</v>
      </c>
      <c r="BM550" t="s">
        <v>10421</v>
      </c>
      <c r="BN550" t="s">
        <v>74</v>
      </c>
      <c r="BO550" t="s">
        <v>7447</v>
      </c>
      <c r="BP550" t="s">
        <v>74</v>
      </c>
      <c r="BQ550" t="s">
        <v>74</v>
      </c>
      <c r="BR550" t="s">
        <v>100</v>
      </c>
      <c r="BS550" t="s">
        <v>10422</v>
      </c>
      <c r="BT550" t="str">
        <f>HYPERLINK("https%3A%2F%2Fwww.webofscience.com%2Fwos%2Fwoscc%2Ffull-record%2FWOS:000370599900005","View Full Record in Web of Science")</f>
        <v>View Full Record in Web of Science</v>
      </c>
    </row>
    <row r="551" spans="1:72" x14ac:dyDescent="0.15">
      <c r="A551" t="s">
        <v>72</v>
      </c>
      <c r="B551" t="s">
        <v>10423</v>
      </c>
      <c r="C551" t="s">
        <v>74</v>
      </c>
      <c r="D551" t="s">
        <v>74</v>
      </c>
      <c r="E551" t="s">
        <v>74</v>
      </c>
      <c r="F551" t="s">
        <v>10424</v>
      </c>
      <c r="G551" t="s">
        <v>74</v>
      </c>
      <c r="H551" t="s">
        <v>74</v>
      </c>
      <c r="I551" t="s">
        <v>10425</v>
      </c>
      <c r="J551" t="s">
        <v>10426</v>
      </c>
      <c r="K551" t="s">
        <v>74</v>
      </c>
      <c r="L551" t="s">
        <v>74</v>
      </c>
      <c r="M551" t="s">
        <v>200</v>
      </c>
      <c r="N551" t="s">
        <v>79</v>
      </c>
      <c r="O551" t="s">
        <v>74</v>
      </c>
      <c r="P551" t="s">
        <v>74</v>
      </c>
      <c r="Q551" t="s">
        <v>74</v>
      </c>
      <c r="R551" t="s">
        <v>74</v>
      </c>
      <c r="S551" t="s">
        <v>74</v>
      </c>
      <c r="T551" t="s">
        <v>10427</v>
      </c>
      <c r="U551" t="s">
        <v>10428</v>
      </c>
      <c r="V551" t="s">
        <v>10429</v>
      </c>
      <c r="W551" t="s">
        <v>10430</v>
      </c>
      <c r="X551" t="s">
        <v>10431</v>
      </c>
      <c r="Y551" t="s">
        <v>10432</v>
      </c>
      <c r="Z551" t="s">
        <v>10433</v>
      </c>
      <c r="AA551" t="s">
        <v>10434</v>
      </c>
      <c r="AB551" t="s">
        <v>10435</v>
      </c>
      <c r="AC551" t="s">
        <v>10436</v>
      </c>
      <c r="AD551" t="s">
        <v>10437</v>
      </c>
      <c r="AE551" t="s">
        <v>10438</v>
      </c>
      <c r="AF551" t="s">
        <v>74</v>
      </c>
      <c r="AG551">
        <v>95</v>
      </c>
      <c r="AH551">
        <v>23</v>
      </c>
      <c r="AI551">
        <v>30</v>
      </c>
      <c r="AJ551">
        <v>7</v>
      </c>
      <c r="AK551">
        <v>86</v>
      </c>
      <c r="AL551" t="s">
        <v>3560</v>
      </c>
      <c r="AM551" t="s">
        <v>289</v>
      </c>
      <c r="AN551" t="s">
        <v>6124</v>
      </c>
      <c r="AO551" t="s">
        <v>10439</v>
      </c>
      <c r="AP551" t="s">
        <v>10440</v>
      </c>
      <c r="AQ551" t="s">
        <v>74</v>
      </c>
      <c r="AR551" t="s">
        <v>10441</v>
      </c>
      <c r="AS551" t="s">
        <v>10442</v>
      </c>
      <c r="AT551" t="s">
        <v>315</v>
      </c>
      <c r="AU551">
        <v>2016</v>
      </c>
      <c r="AV551">
        <v>71</v>
      </c>
      <c r="AW551">
        <v>1</v>
      </c>
      <c r="AX551" t="s">
        <v>74</v>
      </c>
      <c r="AY551" t="s">
        <v>74</v>
      </c>
      <c r="AZ551" t="s">
        <v>74</v>
      </c>
      <c r="BA551" t="s">
        <v>74</v>
      </c>
      <c r="BB551">
        <v>131</v>
      </c>
      <c r="BC551">
        <v>149</v>
      </c>
      <c r="BD551" t="s">
        <v>74</v>
      </c>
      <c r="BE551" t="s">
        <v>10443</v>
      </c>
      <c r="BF551" t="str">
        <f>HYPERLINK("http://dx.doi.org/10.1007/s00248-015-0704-6","http://dx.doi.org/10.1007/s00248-015-0704-6")</f>
        <v>http://dx.doi.org/10.1007/s00248-015-0704-6</v>
      </c>
      <c r="BG551" t="s">
        <v>74</v>
      </c>
      <c r="BH551" t="s">
        <v>74</v>
      </c>
      <c r="BI551">
        <v>19</v>
      </c>
      <c r="BJ551" t="s">
        <v>7641</v>
      </c>
      <c r="BK551" t="s">
        <v>264</v>
      </c>
      <c r="BL551" t="s">
        <v>7642</v>
      </c>
      <c r="BM551" t="s">
        <v>10444</v>
      </c>
      <c r="BN551">
        <v>26582318</v>
      </c>
      <c r="BO551" t="s">
        <v>241</v>
      </c>
      <c r="BP551" t="s">
        <v>74</v>
      </c>
      <c r="BQ551" t="s">
        <v>74</v>
      </c>
      <c r="BR551" t="s">
        <v>100</v>
      </c>
      <c r="BS551" t="s">
        <v>10445</v>
      </c>
      <c r="BT551" t="str">
        <f>HYPERLINK("https%3A%2F%2Fwww.webofscience.com%2Fwos%2Fwoscc%2Ffull-record%2FWOS:000367097500014","View Full Record in Web of Science")</f>
        <v>View Full Record in Web of Science</v>
      </c>
    </row>
    <row r="552" spans="1:72" x14ac:dyDescent="0.15">
      <c r="A552" t="s">
        <v>193</v>
      </c>
      <c r="B552" t="s">
        <v>10446</v>
      </c>
      <c r="C552" t="s">
        <v>74</v>
      </c>
      <c r="D552" t="s">
        <v>10447</v>
      </c>
      <c r="E552" t="s">
        <v>74</v>
      </c>
      <c r="F552" t="s">
        <v>10448</v>
      </c>
      <c r="G552" t="s">
        <v>74</v>
      </c>
      <c r="H552" t="s">
        <v>74</v>
      </c>
      <c r="I552" t="s">
        <v>10449</v>
      </c>
      <c r="J552" t="s">
        <v>10450</v>
      </c>
      <c r="K552" t="s">
        <v>10451</v>
      </c>
      <c r="L552" t="s">
        <v>74</v>
      </c>
      <c r="M552" t="s">
        <v>200</v>
      </c>
      <c r="N552" t="s">
        <v>201</v>
      </c>
      <c r="O552" t="s">
        <v>74</v>
      </c>
      <c r="P552" t="s">
        <v>74</v>
      </c>
      <c r="Q552" t="s">
        <v>74</v>
      </c>
      <c r="R552" t="s">
        <v>74</v>
      </c>
      <c r="S552" t="s">
        <v>74</v>
      </c>
      <c r="T552" t="s">
        <v>74</v>
      </c>
      <c r="U552" t="s">
        <v>10452</v>
      </c>
      <c r="V552" t="s">
        <v>10453</v>
      </c>
      <c r="W552" t="s">
        <v>10454</v>
      </c>
      <c r="X552" t="s">
        <v>10455</v>
      </c>
      <c r="Y552" t="s">
        <v>10456</v>
      </c>
      <c r="Z552" t="s">
        <v>10457</v>
      </c>
      <c r="AA552" t="s">
        <v>10458</v>
      </c>
      <c r="AB552" t="s">
        <v>10459</v>
      </c>
      <c r="AC552" t="s">
        <v>74</v>
      </c>
      <c r="AD552" t="s">
        <v>74</v>
      </c>
      <c r="AE552" t="s">
        <v>74</v>
      </c>
      <c r="AF552" t="s">
        <v>74</v>
      </c>
      <c r="AG552">
        <v>173</v>
      </c>
      <c r="AH552">
        <v>11</v>
      </c>
      <c r="AI552">
        <v>12</v>
      </c>
      <c r="AJ552">
        <v>0</v>
      </c>
      <c r="AK552">
        <v>3</v>
      </c>
      <c r="AL552" t="s">
        <v>7679</v>
      </c>
      <c r="AM552" t="s">
        <v>7680</v>
      </c>
      <c r="AN552" t="s">
        <v>10460</v>
      </c>
      <c r="AO552" t="s">
        <v>10461</v>
      </c>
      <c r="AP552" t="s">
        <v>10462</v>
      </c>
      <c r="AQ552" t="s">
        <v>10463</v>
      </c>
      <c r="AR552" t="s">
        <v>10464</v>
      </c>
      <c r="AS552" t="s">
        <v>74</v>
      </c>
      <c r="AT552" t="s">
        <v>74</v>
      </c>
      <c r="AU552">
        <v>2016</v>
      </c>
      <c r="AV552">
        <v>1</v>
      </c>
      <c r="AW552" t="s">
        <v>74</v>
      </c>
      <c r="AX552" t="s">
        <v>74</v>
      </c>
      <c r="AY552" t="s">
        <v>74</v>
      </c>
      <c r="AZ552" t="s">
        <v>74</v>
      </c>
      <c r="BA552" t="s">
        <v>74</v>
      </c>
      <c r="BB552">
        <v>83</v>
      </c>
      <c r="BC552">
        <v>118</v>
      </c>
      <c r="BD552" t="s">
        <v>74</v>
      </c>
      <c r="BE552" t="s">
        <v>10465</v>
      </c>
      <c r="BF552" t="str">
        <f>HYPERLINK("http://dx.doi.org/10.1007/978-981-10-2555-6_5","http://dx.doi.org/10.1007/978-981-10-2555-6_5")</f>
        <v>http://dx.doi.org/10.1007/978-981-10-2555-6_5</v>
      </c>
      <c r="BG552" t="s">
        <v>10466</v>
      </c>
      <c r="BH552" t="s">
        <v>74</v>
      </c>
      <c r="BI552">
        <v>36</v>
      </c>
      <c r="BJ552" t="s">
        <v>10467</v>
      </c>
      <c r="BK552" t="s">
        <v>216</v>
      </c>
      <c r="BL552" t="s">
        <v>10468</v>
      </c>
      <c r="BM552" t="s">
        <v>10469</v>
      </c>
      <c r="BN552" t="s">
        <v>74</v>
      </c>
      <c r="BO552" t="s">
        <v>74</v>
      </c>
      <c r="BP552" t="s">
        <v>74</v>
      </c>
      <c r="BQ552" t="s">
        <v>74</v>
      </c>
      <c r="BR552" t="s">
        <v>100</v>
      </c>
      <c r="BS552" t="s">
        <v>10470</v>
      </c>
      <c r="BT552" t="str">
        <f>HYPERLINK("https%3A%2F%2Fwww.webofscience.com%2Fwos%2Fwoscc%2Ffull-record%2FWOS:000446311400006","View Full Record in Web of Science")</f>
        <v>View Full Record in Web of Science</v>
      </c>
    </row>
    <row r="553" spans="1:72" x14ac:dyDescent="0.15">
      <c r="A553" t="s">
        <v>193</v>
      </c>
      <c r="B553" t="s">
        <v>10471</v>
      </c>
      <c r="C553" t="s">
        <v>74</v>
      </c>
      <c r="D553" t="s">
        <v>10447</v>
      </c>
      <c r="E553" t="s">
        <v>74</v>
      </c>
      <c r="F553" t="s">
        <v>10472</v>
      </c>
      <c r="G553" t="s">
        <v>74</v>
      </c>
      <c r="H553" t="s">
        <v>74</v>
      </c>
      <c r="I553" t="s">
        <v>10473</v>
      </c>
      <c r="J553" t="s">
        <v>10450</v>
      </c>
      <c r="K553" t="s">
        <v>10451</v>
      </c>
      <c r="L553" t="s">
        <v>74</v>
      </c>
      <c r="M553" t="s">
        <v>200</v>
      </c>
      <c r="N553" t="s">
        <v>201</v>
      </c>
      <c r="O553" t="s">
        <v>74</v>
      </c>
      <c r="P553" t="s">
        <v>74</v>
      </c>
      <c r="Q553" t="s">
        <v>74</v>
      </c>
      <c r="R553" t="s">
        <v>74</v>
      </c>
      <c r="S553" t="s">
        <v>74</v>
      </c>
      <c r="T553" t="s">
        <v>74</v>
      </c>
      <c r="U553" t="s">
        <v>10474</v>
      </c>
      <c r="V553" t="s">
        <v>10475</v>
      </c>
      <c r="W553" t="s">
        <v>10476</v>
      </c>
      <c r="X553" t="s">
        <v>10477</v>
      </c>
      <c r="Y553" t="s">
        <v>10478</v>
      </c>
      <c r="Z553" t="s">
        <v>10479</v>
      </c>
      <c r="AA553" t="s">
        <v>10480</v>
      </c>
      <c r="AB553" t="s">
        <v>10481</v>
      </c>
      <c r="AC553" t="s">
        <v>74</v>
      </c>
      <c r="AD553" t="s">
        <v>74</v>
      </c>
      <c r="AE553" t="s">
        <v>74</v>
      </c>
      <c r="AF553" t="s">
        <v>74</v>
      </c>
      <c r="AG553">
        <v>44</v>
      </c>
      <c r="AH553">
        <v>0</v>
      </c>
      <c r="AI553">
        <v>0</v>
      </c>
      <c r="AJ553">
        <v>0</v>
      </c>
      <c r="AK553">
        <v>3</v>
      </c>
      <c r="AL553" t="s">
        <v>7679</v>
      </c>
      <c r="AM553" t="s">
        <v>7680</v>
      </c>
      <c r="AN553" t="s">
        <v>10460</v>
      </c>
      <c r="AO553" t="s">
        <v>10461</v>
      </c>
      <c r="AP553" t="s">
        <v>10462</v>
      </c>
      <c r="AQ553" t="s">
        <v>10463</v>
      </c>
      <c r="AR553" t="s">
        <v>10464</v>
      </c>
      <c r="AS553" t="s">
        <v>74</v>
      </c>
      <c r="AT553" t="s">
        <v>74</v>
      </c>
      <c r="AU553">
        <v>2016</v>
      </c>
      <c r="AV553">
        <v>1</v>
      </c>
      <c r="AW553" t="s">
        <v>74</v>
      </c>
      <c r="AX553" t="s">
        <v>74</v>
      </c>
      <c r="AY553" t="s">
        <v>74</v>
      </c>
      <c r="AZ553" t="s">
        <v>74</v>
      </c>
      <c r="BA553" t="s">
        <v>74</v>
      </c>
      <c r="BB553">
        <v>171</v>
      </c>
      <c r="BC553">
        <v>186</v>
      </c>
      <c r="BD553" t="s">
        <v>74</v>
      </c>
      <c r="BE553" t="s">
        <v>10482</v>
      </c>
      <c r="BF553" t="str">
        <f>HYPERLINK("http://dx.doi.org/10.1007/978-981-10-2555-6_8","http://dx.doi.org/10.1007/978-981-10-2555-6_8")</f>
        <v>http://dx.doi.org/10.1007/978-981-10-2555-6_8</v>
      </c>
      <c r="BG553" t="s">
        <v>10466</v>
      </c>
      <c r="BH553" t="s">
        <v>74</v>
      </c>
      <c r="BI553">
        <v>16</v>
      </c>
      <c r="BJ553" t="s">
        <v>10467</v>
      </c>
      <c r="BK553" t="s">
        <v>216</v>
      </c>
      <c r="BL553" t="s">
        <v>10468</v>
      </c>
      <c r="BM553" t="s">
        <v>10469</v>
      </c>
      <c r="BN553" t="s">
        <v>74</v>
      </c>
      <c r="BO553" t="s">
        <v>74</v>
      </c>
      <c r="BP553" t="s">
        <v>74</v>
      </c>
      <c r="BQ553" t="s">
        <v>74</v>
      </c>
      <c r="BR553" t="s">
        <v>100</v>
      </c>
      <c r="BS553" t="s">
        <v>10483</v>
      </c>
      <c r="BT553" t="str">
        <f>HYPERLINK("https%3A%2F%2Fwww.webofscience.com%2Fwos%2Fwoscc%2Ffull-record%2FWOS:000446311400009","View Full Record in Web of Science")</f>
        <v>View Full Record in Web of Science</v>
      </c>
    </row>
    <row r="554" spans="1:72" x14ac:dyDescent="0.15">
      <c r="A554" t="s">
        <v>72</v>
      </c>
      <c r="B554" t="s">
        <v>10484</v>
      </c>
      <c r="C554" t="s">
        <v>74</v>
      </c>
      <c r="D554" t="s">
        <v>74</v>
      </c>
      <c r="E554" t="s">
        <v>74</v>
      </c>
      <c r="F554" t="s">
        <v>10485</v>
      </c>
      <c r="G554" t="s">
        <v>74</v>
      </c>
      <c r="H554" t="s">
        <v>74</v>
      </c>
      <c r="I554" t="s">
        <v>10486</v>
      </c>
      <c r="J554" t="s">
        <v>10487</v>
      </c>
      <c r="K554" t="s">
        <v>74</v>
      </c>
      <c r="L554" t="s">
        <v>74</v>
      </c>
      <c r="M554" t="s">
        <v>200</v>
      </c>
      <c r="N554" t="s">
        <v>79</v>
      </c>
      <c r="O554" t="s">
        <v>74</v>
      </c>
      <c r="P554" t="s">
        <v>74</v>
      </c>
      <c r="Q554" t="s">
        <v>74</v>
      </c>
      <c r="R554" t="s">
        <v>74</v>
      </c>
      <c r="S554" t="s">
        <v>74</v>
      </c>
      <c r="T554" t="s">
        <v>10488</v>
      </c>
      <c r="U554" t="s">
        <v>10489</v>
      </c>
      <c r="V554" t="s">
        <v>10490</v>
      </c>
      <c r="W554" t="s">
        <v>10491</v>
      </c>
      <c r="X554" t="s">
        <v>10492</v>
      </c>
      <c r="Y554" t="s">
        <v>10493</v>
      </c>
      <c r="Z554" t="s">
        <v>10494</v>
      </c>
      <c r="AA554" t="s">
        <v>10495</v>
      </c>
      <c r="AB554" t="s">
        <v>10496</v>
      </c>
      <c r="AC554" t="s">
        <v>10497</v>
      </c>
      <c r="AD554" t="s">
        <v>10498</v>
      </c>
      <c r="AE554" t="s">
        <v>10499</v>
      </c>
      <c r="AF554" t="s">
        <v>74</v>
      </c>
      <c r="AG554">
        <v>22</v>
      </c>
      <c r="AH554">
        <v>11</v>
      </c>
      <c r="AI554">
        <v>13</v>
      </c>
      <c r="AJ554">
        <v>0</v>
      </c>
      <c r="AK554">
        <v>16</v>
      </c>
      <c r="AL554" t="s">
        <v>5110</v>
      </c>
      <c r="AM554" t="s">
        <v>289</v>
      </c>
      <c r="AN554" t="s">
        <v>5111</v>
      </c>
      <c r="AO554" t="s">
        <v>10500</v>
      </c>
      <c r="AP554" t="s">
        <v>10501</v>
      </c>
      <c r="AQ554" t="s">
        <v>74</v>
      </c>
      <c r="AR554" t="s">
        <v>10502</v>
      </c>
      <c r="AS554" t="s">
        <v>5726</v>
      </c>
      <c r="AT554" t="s">
        <v>315</v>
      </c>
      <c r="AU554">
        <v>2016</v>
      </c>
      <c r="AV554">
        <v>85</v>
      </c>
      <c r="AW554">
        <v>1</v>
      </c>
      <c r="AX554" t="s">
        <v>74</v>
      </c>
      <c r="AY554" t="s">
        <v>74</v>
      </c>
      <c r="AZ554" t="s">
        <v>74</v>
      </c>
      <c r="BA554" t="s">
        <v>74</v>
      </c>
      <c r="BB554">
        <v>102</v>
      </c>
      <c r="BC554">
        <v>108</v>
      </c>
      <c r="BD554" t="s">
        <v>74</v>
      </c>
      <c r="BE554" t="s">
        <v>10503</v>
      </c>
      <c r="BF554" t="str">
        <f>HYPERLINK("http://dx.doi.org/10.1134/S0026261716010057","http://dx.doi.org/10.1134/S0026261716010057")</f>
        <v>http://dx.doi.org/10.1134/S0026261716010057</v>
      </c>
      <c r="BG554" t="s">
        <v>74</v>
      </c>
      <c r="BH554" t="s">
        <v>74</v>
      </c>
      <c r="BI554">
        <v>7</v>
      </c>
      <c r="BJ554" t="s">
        <v>5726</v>
      </c>
      <c r="BK554" t="s">
        <v>264</v>
      </c>
      <c r="BL554" t="s">
        <v>5726</v>
      </c>
      <c r="BM554" t="s">
        <v>10504</v>
      </c>
      <c r="BN554" t="s">
        <v>74</v>
      </c>
      <c r="BO554" t="s">
        <v>74</v>
      </c>
      <c r="BP554" t="s">
        <v>74</v>
      </c>
      <c r="BQ554" t="s">
        <v>74</v>
      </c>
      <c r="BR554" t="s">
        <v>100</v>
      </c>
      <c r="BS554" t="s">
        <v>10505</v>
      </c>
      <c r="BT554" t="str">
        <f>HYPERLINK("https%3A%2F%2Fwww.webofscience.com%2Fwos%2Fwoscc%2Ffull-record%2FWOS:000370791300012","View Full Record in Web of Science")</f>
        <v>View Full Record in Web of Science</v>
      </c>
    </row>
    <row r="555" spans="1:72" x14ac:dyDescent="0.15">
      <c r="A555" t="s">
        <v>72</v>
      </c>
      <c r="B555" t="s">
        <v>10506</v>
      </c>
      <c r="C555" t="s">
        <v>74</v>
      </c>
      <c r="D555" t="s">
        <v>74</v>
      </c>
      <c r="E555" t="s">
        <v>74</v>
      </c>
      <c r="F555" t="s">
        <v>10507</v>
      </c>
      <c r="G555" t="s">
        <v>74</v>
      </c>
      <c r="H555" t="s">
        <v>74</v>
      </c>
      <c r="I555" t="s">
        <v>10508</v>
      </c>
      <c r="J555" t="s">
        <v>1174</v>
      </c>
      <c r="K555" t="s">
        <v>74</v>
      </c>
      <c r="L555" t="s">
        <v>74</v>
      </c>
      <c r="M555" t="s">
        <v>200</v>
      </c>
      <c r="N555" t="s">
        <v>79</v>
      </c>
      <c r="O555" t="s">
        <v>74</v>
      </c>
      <c r="P555" t="s">
        <v>74</v>
      </c>
      <c r="Q555" t="s">
        <v>74</v>
      </c>
      <c r="R555" t="s">
        <v>74</v>
      </c>
      <c r="S555" t="s">
        <v>74</v>
      </c>
      <c r="T555" t="s">
        <v>10509</v>
      </c>
      <c r="U555" t="s">
        <v>10510</v>
      </c>
      <c r="V555" t="s">
        <v>10511</v>
      </c>
      <c r="W555" t="s">
        <v>10512</v>
      </c>
      <c r="X555" t="s">
        <v>10513</v>
      </c>
      <c r="Y555" t="s">
        <v>10514</v>
      </c>
      <c r="Z555" t="s">
        <v>10515</v>
      </c>
      <c r="AA555" t="s">
        <v>74</v>
      </c>
      <c r="AB555" t="s">
        <v>1181</v>
      </c>
      <c r="AC555" t="s">
        <v>10516</v>
      </c>
      <c r="AD555" t="s">
        <v>10517</v>
      </c>
      <c r="AE555" t="s">
        <v>10518</v>
      </c>
      <c r="AF555" t="s">
        <v>74</v>
      </c>
      <c r="AG555">
        <v>17</v>
      </c>
      <c r="AH555">
        <v>0</v>
      </c>
      <c r="AI555">
        <v>1</v>
      </c>
      <c r="AJ555">
        <v>0</v>
      </c>
      <c r="AK555">
        <v>6</v>
      </c>
      <c r="AL555" t="s">
        <v>502</v>
      </c>
      <c r="AM555" t="s">
        <v>503</v>
      </c>
      <c r="AN555" t="s">
        <v>504</v>
      </c>
      <c r="AO555" t="s">
        <v>1184</v>
      </c>
      <c r="AP555" t="s">
        <v>1185</v>
      </c>
      <c r="AQ555" t="s">
        <v>74</v>
      </c>
      <c r="AR555" t="s">
        <v>1186</v>
      </c>
      <c r="AS555" t="s">
        <v>1187</v>
      </c>
      <c r="AT555" t="s">
        <v>74</v>
      </c>
      <c r="AU555">
        <v>2016</v>
      </c>
      <c r="AV555">
        <v>27</v>
      </c>
      <c r="AW555">
        <v>5</v>
      </c>
      <c r="AX555" t="s">
        <v>74</v>
      </c>
      <c r="AY555" t="s">
        <v>74</v>
      </c>
      <c r="AZ555" t="s">
        <v>74</v>
      </c>
      <c r="BA555" t="s">
        <v>74</v>
      </c>
      <c r="BB555">
        <v>3151</v>
      </c>
      <c r="BC555">
        <v>3152</v>
      </c>
      <c r="BD555" t="s">
        <v>74</v>
      </c>
      <c r="BE555" t="s">
        <v>10519</v>
      </c>
      <c r="BF555" t="str">
        <f>HYPERLINK("http://dx.doi.org/10.3109/19401736.2015.1007309","http://dx.doi.org/10.3109/19401736.2015.1007309")</f>
        <v>http://dx.doi.org/10.3109/19401736.2015.1007309</v>
      </c>
      <c r="BG555" t="s">
        <v>74</v>
      </c>
      <c r="BH555" t="s">
        <v>74</v>
      </c>
      <c r="BI555">
        <v>2</v>
      </c>
      <c r="BJ555" t="s">
        <v>509</v>
      </c>
      <c r="BK555" t="s">
        <v>264</v>
      </c>
      <c r="BL555" t="s">
        <v>509</v>
      </c>
      <c r="BM555" t="s">
        <v>4533</v>
      </c>
      <c r="BN555">
        <v>25707408</v>
      </c>
      <c r="BO555" t="s">
        <v>74</v>
      </c>
      <c r="BP555" t="s">
        <v>74</v>
      </c>
      <c r="BQ555" t="s">
        <v>74</v>
      </c>
      <c r="BR555" t="s">
        <v>100</v>
      </c>
      <c r="BS555" t="s">
        <v>10520</v>
      </c>
      <c r="BT555" t="str">
        <f>HYPERLINK("https%3A%2F%2Fwww.webofscience.com%2Fwos%2Fwoscc%2Ffull-record%2FWOS:000377956700037","View Full Record in Web of Science")</f>
        <v>View Full Record in Web of Science</v>
      </c>
    </row>
    <row r="556" spans="1:72" x14ac:dyDescent="0.15">
      <c r="A556" t="s">
        <v>267</v>
      </c>
      <c r="B556" t="s">
        <v>10521</v>
      </c>
      <c r="C556" t="s">
        <v>74</v>
      </c>
      <c r="D556" t="s">
        <v>10522</v>
      </c>
      <c r="E556" t="s">
        <v>74</v>
      </c>
      <c r="F556" t="s">
        <v>10523</v>
      </c>
      <c r="G556" t="s">
        <v>74</v>
      </c>
      <c r="H556" t="s">
        <v>74</v>
      </c>
      <c r="I556" t="s">
        <v>10524</v>
      </c>
      <c r="J556" t="s">
        <v>10525</v>
      </c>
      <c r="K556" t="s">
        <v>1053</v>
      </c>
      <c r="L556" t="s">
        <v>74</v>
      </c>
      <c r="M556" t="s">
        <v>200</v>
      </c>
      <c r="N556" t="s">
        <v>273</v>
      </c>
      <c r="O556" t="s">
        <v>10526</v>
      </c>
      <c r="P556" t="s">
        <v>10527</v>
      </c>
      <c r="Q556" t="s">
        <v>1129</v>
      </c>
      <c r="R556" t="s">
        <v>74</v>
      </c>
      <c r="S556" t="s">
        <v>74</v>
      </c>
      <c r="T556" t="s">
        <v>10528</v>
      </c>
      <c r="U556" t="s">
        <v>74</v>
      </c>
      <c r="V556" t="s">
        <v>10529</v>
      </c>
      <c r="W556" t="s">
        <v>10530</v>
      </c>
      <c r="X556" t="s">
        <v>10531</v>
      </c>
      <c r="Y556" t="s">
        <v>10532</v>
      </c>
      <c r="Z556" t="s">
        <v>10533</v>
      </c>
      <c r="AA556" t="s">
        <v>10534</v>
      </c>
      <c r="AB556" t="s">
        <v>10535</v>
      </c>
      <c r="AC556" t="s">
        <v>74</v>
      </c>
      <c r="AD556" t="s">
        <v>74</v>
      </c>
      <c r="AE556" t="s">
        <v>74</v>
      </c>
      <c r="AF556" t="s">
        <v>74</v>
      </c>
      <c r="AG556">
        <v>10</v>
      </c>
      <c r="AH556">
        <v>0</v>
      </c>
      <c r="AI556">
        <v>0</v>
      </c>
      <c r="AJ556">
        <v>0</v>
      </c>
      <c r="AK556">
        <v>2</v>
      </c>
      <c r="AL556" t="s">
        <v>1067</v>
      </c>
      <c r="AM556" t="s">
        <v>1068</v>
      </c>
      <c r="AN556" t="s">
        <v>1069</v>
      </c>
      <c r="AO556" t="s">
        <v>1070</v>
      </c>
      <c r="AP556" t="s">
        <v>1107</v>
      </c>
      <c r="AQ556" t="s">
        <v>10536</v>
      </c>
      <c r="AR556" t="s">
        <v>1072</v>
      </c>
      <c r="AS556" t="s">
        <v>74</v>
      </c>
      <c r="AT556" t="s">
        <v>74</v>
      </c>
      <c r="AU556">
        <v>2016</v>
      </c>
      <c r="AV556">
        <v>9911</v>
      </c>
      <c r="AW556" t="s">
        <v>74</v>
      </c>
      <c r="AX556">
        <v>1</v>
      </c>
      <c r="AY556" t="s">
        <v>74</v>
      </c>
      <c r="AZ556" t="s">
        <v>74</v>
      </c>
      <c r="BA556" t="s">
        <v>74</v>
      </c>
      <c r="BB556" t="s">
        <v>74</v>
      </c>
      <c r="BC556" t="s">
        <v>74</v>
      </c>
      <c r="BD556" t="s">
        <v>10537</v>
      </c>
      <c r="BE556" t="s">
        <v>10538</v>
      </c>
      <c r="BF556" t="str">
        <f>HYPERLINK("http://dx.doi.org/10.1117/12.2231065","http://dx.doi.org/10.1117/12.2231065")</f>
        <v>http://dx.doi.org/10.1117/12.2231065</v>
      </c>
      <c r="BG556" t="s">
        <v>74</v>
      </c>
      <c r="BH556" t="s">
        <v>74</v>
      </c>
      <c r="BI556">
        <v>11</v>
      </c>
      <c r="BJ556" t="s">
        <v>2925</v>
      </c>
      <c r="BK556" t="s">
        <v>293</v>
      </c>
      <c r="BL556" t="s">
        <v>2925</v>
      </c>
      <c r="BM556" t="s">
        <v>10539</v>
      </c>
      <c r="BN556" t="s">
        <v>74</v>
      </c>
      <c r="BO556" t="s">
        <v>74</v>
      </c>
      <c r="BP556" t="s">
        <v>74</v>
      </c>
      <c r="BQ556" t="s">
        <v>74</v>
      </c>
      <c r="BR556" t="s">
        <v>100</v>
      </c>
      <c r="BS556" t="s">
        <v>10540</v>
      </c>
      <c r="BT556" t="str">
        <f>HYPERLINK("https%3A%2F%2Fwww.webofscience.com%2Fwos%2Fwoscc%2Ffull-record%2FWOS:000385794000044","View Full Record in Web of Science")</f>
        <v>View Full Record in Web of Science</v>
      </c>
    </row>
    <row r="557" spans="1:72" x14ac:dyDescent="0.15">
      <c r="A557" t="s">
        <v>72</v>
      </c>
      <c r="B557" t="s">
        <v>10541</v>
      </c>
      <c r="C557" t="s">
        <v>74</v>
      </c>
      <c r="D557" t="s">
        <v>74</v>
      </c>
      <c r="E557" t="s">
        <v>74</v>
      </c>
      <c r="F557" t="s">
        <v>10542</v>
      </c>
      <c r="G557" t="s">
        <v>74</v>
      </c>
      <c r="H557" t="s">
        <v>74</v>
      </c>
      <c r="I557" t="s">
        <v>10543</v>
      </c>
      <c r="J557" t="s">
        <v>7246</v>
      </c>
      <c r="K557" t="s">
        <v>74</v>
      </c>
      <c r="L557" t="s">
        <v>74</v>
      </c>
      <c r="M557" t="s">
        <v>200</v>
      </c>
      <c r="N557" t="s">
        <v>8638</v>
      </c>
      <c r="O557" t="s">
        <v>74</v>
      </c>
      <c r="P557" t="s">
        <v>74</v>
      </c>
      <c r="Q557" t="s">
        <v>74</v>
      </c>
      <c r="R557" t="s">
        <v>74</v>
      </c>
      <c r="S557" t="s">
        <v>74</v>
      </c>
      <c r="T557" t="s">
        <v>74</v>
      </c>
      <c r="U557" t="s">
        <v>10544</v>
      </c>
      <c r="V557" t="s">
        <v>10545</v>
      </c>
      <c r="W557" t="s">
        <v>10546</v>
      </c>
      <c r="X557" t="s">
        <v>10547</v>
      </c>
      <c r="Y557" t="s">
        <v>10548</v>
      </c>
      <c r="Z557" t="s">
        <v>10549</v>
      </c>
      <c r="AA557" t="s">
        <v>74</v>
      </c>
      <c r="AB557" t="s">
        <v>10550</v>
      </c>
      <c r="AC557" t="s">
        <v>74</v>
      </c>
      <c r="AD557" t="s">
        <v>74</v>
      </c>
      <c r="AE557" t="s">
        <v>74</v>
      </c>
      <c r="AF557" t="s">
        <v>74</v>
      </c>
      <c r="AG557">
        <v>12</v>
      </c>
      <c r="AH557">
        <v>2</v>
      </c>
      <c r="AI557">
        <v>2</v>
      </c>
      <c r="AJ557">
        <v>2</v>
      </c>
      <c r="AK557">
        <v>24</v>
      </c>
      <c r="AL557" t="s">
        <v>7256</v>
      </c>
      <c r="AM557" t="s">
        <v>2100</v>
      </c>
      <c r="AN557" t="s">
        <v>7257</v>
      </c>
      <c r="AO557" t="s">
        <v>7258</v>
      </c>
      <c r="AP557" t="s">
        <v>7259</v>
      </c>
      <c r="AQ557" t="s">
        <v>74</v>
      </c>
      <c r="AR557" t="s">
        <v>7260</v>
      </c>
      <c r="AS557" t="s">
        <v>7261</v>
      </c>
      <c r="AT557" t="s">
        <v>315</v>
      </c>
      <c r="AU557">
        <v>2016</v>
      </c>
      <c r="AV557">
        <v>6</v>
      </c>
      <c r="AW557">
        <v>1</v>
      </c>
      <c r="AX557" t="s">
        <v>74</v>
      </c>
      <c r="AY557" t="s">
        <v>74</v>
      </c>
      <c r="AZ557" t="s">
        <v>74</v>
      </c>
      <c r="BA557" t="s">
        <v>74</v>
      </c>
      <c r="BB557">
        <v>22</v>
      </c>
      <c r="BC557">
        <v>23</v>
      </c>
      <c r="BD557" t="s">
        <v>74</v>
      </c>
      <c r="BE557" t="s">
        <v>10551</v>
      </c>
      <c r="BF557" t="str">
        <f>HYPERLINK("http://dx.doi.org/10.1038/nclimate2900","http://dx.doi.org/10.1038/nclimate2900")</f>
        <v>http://dx.doi.org/10.1038/nclimate2900</v>
      </c>
      <c r="BG557" t="s">
        <v>74</v>
      </c>
      <c r="BH557" t="s">
        <v>74</v>
      </c>
      <c r="BI557">
        <v>3</v>
      </c>
      <c r="BJ557" t="s">
        <v>7264</v>
      </c>
      <c r="BK557" t="s">
        <v>710</v>
      </c>
      <c r="BL557" t="s">
        <v>3245</v>
      </c>
      <c r="BM557" t="s">
        <v>7265</v>
      </c>
      <c r="BN557" t="s">
        <v>74</v>
      </c>
      <c r="BO557" t="s">
        <v>74</v>
      </c>
      <c r="BP557" t="s">
        <v>74</v>
      </c>
      <c r="BQ557" t="s">
        <v>74</v>
      </c>
      <c r="BR557" t="s">
        <v>100</v>
      </c>
      <c r="BS557" t="s">
        <v>10552</v>
      </c>
      <c r="BT557" t="str">
        <f>HYPERLINK("https%3A%2F%2Fwww.webofscience.com%2Fwos%2Fwoscc%2Ffull-record%2FWOS:000367030800011","View Full Record in Web of Science")</f>
        <v>View Full Record in Web of Science</v>
      </c>
    </row>
    <row r="558" spans="1:72" x14ac:dyDescent="0.15">
      <c r="A558" t="s">
        <v>72</v>
      </c>
      <c r="B558" t="s">
        <v>10553</v>
      </c>
      <c r="C558" t="s">
        <v>74</v>
      </c>
      <c r="D558" t="s">
        <v>74</v>
      </c>
      <c r="E558" t="s">
        <v>74</v>
      </c>
      <c r="F558" t="s">
        <v>10554</v>
      </c>
      <c r="G558" t="s">
        <v>74</v>
      </c>
      <c r="H558" t="s">
        <v>74</v>
      </c>
      <c r="I558" t="s">
        <v>10555</v>
      </c>
      <c r="J558" t="s">
        <v>10556</v>
      </c>
      <c r="K558" t="s">
        <v>74</v>
      </c>
      <c r="L558" t="s">
        <v>74</v>
      </c>
      <c r="M558" t="s">
        <v>200</v>
      </c>
      <c r="N558" t="s">
        <v>79</v>
      </c>
      <c r="O558" t="s">
        <v>74</v>
      </c>
      <c r="P558" t="s">
        <v>74</v>
      </c>
      <c r="Q558" t="s">
        <v>74</v>
      </c>
      <c r="R558" t="s">
        <v>74</v>
      </c>
      <c r="S558" t="s">
        <v>74</v>
      </c>
      <c r="T558" t="s">
        <v>74</v>
      </c>
      <c r="U558" t="s">
        <v>10557</v>
      </c>
      <c r="V558" t="s">
        <v>10558</v>
      </c>
      <c r="W558" t="s">
        <v>10559</v>
      </c>
      <c r="X558" t="s">
        <v>10560</v>
      </c>
      <c r="Y558" t="s">
        <v>10561</v>
      </c>
      <c r="Z558" t="s">
        <v>10562</v>
      </c>
      <c r="AA558" t="s">
        <v>10563</v>
      </c>
      <c r="AB558" t="s">
        <v>10564</v>
      </c>
      <c r="AC558" t="s">
        <v>10565</v>
      </c>
      <c r="AD558" t="s">
        <v>10566</v>
      </c>
      <c r="AE558" t="s">
        <v>10567</v>
      </c>
      <c r="AF558" t="s">
        <v>74</v>
      </c>
      <c r="AG558">
        <v>66</v>
      </c>
      <c r="AH558">
        <v>47</v>
      </c>
      <c r="AI558">
        <v>50</v>
      </c>
      <c r="AJ558">
        <v>0</v>
      </c>
      <c r="AK558">
        <v>19</v>
      </c>
      <c r="AL558" t="s">
        <v>7256</v>
      </c>
      <c r="AM558" t="s">
        <v>2100</v>
      </c>
      <c r="AN558" t="s">
        <v>7257</v>
      </c>
      <c r="AO558" t="s">
        <v>10568</v>
      </c>
      <c r="AP558" t="s">
        <v>74</v>
      </c>
      <c r="AQ558" t="s">
        <v>74</v>
      </c>
      <c r="AR558" t="s">
        <v>10569</v>
      </c>
      <c r="AS558" t="s">
        <v>10570</v>
      </c>
      <c r="AT558" t="s">
        <v>315</v>
      </c>
      <c r="AU558">
        <v>2016</v>
      </c>
      <c r="AV558">
        <v>7</v>
      </c>
      <c r="AW558" t="s">
        <v>74</v>
      </c>
      <c r="AX558" t="s">
        <v>74</v>
      </c>
      <c r="AY558" t="s">
        <v>74</v>
      </c>
      <c r="AZ558" t="s">
        <v>74</v>
      </c>
      <c r="BA558" t="s">
        <v>74</v>
      </c>
      <c r="BB558" t="s">
        <v>74</v>
      </c>
      <c r="BC558" t="s">
        <v>74</v>
      </c>
      <c r="BD558">
        <v>10397</v>
      </c>
      <c r="BE558" t="s">
        <v>10571</v>
      </c>
      <c r="BF558" t="str">
        <f>HYPERLINK("http://dx.doi.org/10.1038/ncomms10397","http://dx.doi.org/10.1038/ncomms10397")</f>
        <v>http://dx.doi.org/10.1038/ncomms10397</v>
      </c>
      <c r="BG558" t="s">
        <v>74</v>
      </c>
      <c r="BH558" t="s">
        <v>74</v>
      </c>
      <c r="BI558">
        <v>10</v>
      </c>
      <c r="BJ558" t="s">
        <v>3540</v>
      </c>
      <c r="BK558" t="s">
        <v>264</v>
      </c>
      <c r="BL558" t="s">
        <v>3541</v>
      </c>
      <c r="BM558" t="s">
        <v>10572</v>
      </c>
      <c r="BN558">
        <v>26783159</v>
      </c>
      <c r="BO558" t="s">
        <v>523</v>
      </c>
      <c r="BP558" t="s">
        <v>74</v>
      </c>
      <c r="BQ558" t="s">
        <v>74</v>
      </c>
      <c r="BR558" t="s">
        <v>100</v>
      </c>
      <c r="BS558" t="s">
        <v>10573</v>
      </c>
      <c r="BT558" t="str">
        <f>HYPERLINK("https%3A%2F%2Fwww.webofscience.com%2Fwos%2Fwoscc%2Ffull-record%2FWOS:000369031000001","View Full Record in Web of Science")</f>
        <v>View Full Record in Web of Science</v>
      </c>
    </row>
    <row r="559" spans="1:72" x14ac:dyDescent="0.15">
      <c r="A559" t="s">
        <v>72</v>
      </c>
      <c r="B559" t="s">
        <v>10574</v>
      </c>
      <c r="C559" t="s">
        <v>74</v>
      </c>
      <c r="D559" t="s">
        <v>74</v>
      </c>
      <c r="E559" t="s">
        <v>74</v>
      </c>
      <c r="F559" t="s">
        <v>10575</v>
      </c>
      <c r="G559" t="s">
        <v>74</v>
      </c>
      <c r="H559" t="s">
        <v>74</v>
      </c>
      <c r="I559" t="s">
        <v>10576</v>
      </c>
      <c r="J559" t="s">
        <v>10577</v>
      </c>
      <c r="K559" t="s">
        <v>74</v>
      </c>
      <c r="L559" t="s">
        <v>74</v>
      </c>
      <c r="M559" t="s">
        <v>200</v>
      </c>
      <c r="N559" t="s">
        <v>79</v>
      </c>
      <c r="O559" t="s">
        <v>74</v>
      </c>
      <c r="P559" t="s">
        <v>74</v>
      </c>
      <c r="Q559" t="s">
        <v>74</v>
      </c>
      <c r="R559" t="s">
        <v>74</v>
      </c>
      <c r="S559" t="s">
        <v>74</v>
      </c>
      <c r="T559" t="s">
        <v>74</v>
      </c>
      <c r="U559" t="s">
        <v>10578</v>
      </c>
      <c r="V559" t="s">
        <v>10579</v>
      </c>
      <c r="W559" t="s">
        <v>10580</v>
      </c>
      <c r="X559" t="s">
        <v>10581</v>
      </c>
      <c r="Y559" t="s">
        <v>10582</v>
      </c>
      <c r="Z559" t="s">
        <v>10583</v>
      </c>
      <c r="AA559" t="s">
        <v>10584</v>
      </c>
      <c r="AB559" t="s">
        <v>10585</v>
      </c>
      <c r="AC559" t="s">
        <v>10586</v>
      </c>
      <c r="AD559" t="s">
        <v>10587</v>
      </c>
      <c r="AE559" t="s">
        <v>10588</v>
      </c>
      <c r="AF559" t="s">
        <v>74</v>
      </c>
      <c r="AG559">
        <v>31</v>
      </c>
      <c r="AH559">
        <v>117</v>
      </c>
      <c r="AI559">
        <v>124</v>
      </c>
      <c r="AJ559">
        <v>2</v>
      </c>
      <c r="AK559">
        <v>81</v>
      </c>
      <c r="AL559" t="s">
        <v>7256</v>
      </c>
      <c r="AM559" t="s">
        <v>289</v>
      </c>
      <c r="AN559" t="s">
        <v>10589</v>
      </c>
      <c r="AO559" t="s">
        <v>10590</v>
      </c>
      <c r="AP559" t="s">
        <v>10591</v>
      </c>
      <c r="AQ559" t="s">
        <v>74</v>
      </c>
      <c r="AR559" t="s">
        <v>10592</v>
      </c>
      <c r="AS559" t="s">
        <v>10593</v>
      </c>
      <c r="AT559" t="s">
        <v>315</v>
      </c>
      <c r="AU559">
        <v>2016</v>
      </c>
      <c r="AV559">
        <v>9</v>
      </c>
      <c r="AW559">
        <v>1</v>
      </c>
      <c r="AX559" t="s">
        <v>74</v>
      </c>
      <c r="AY559" t="s">
        <v>74</v>
      </c>
      <c r="AZ559" t="s">
        <v>74</v>
      </c>
      <c r="BA559" t="s">
        <v>74</v>
      </c>
      <c r="BB559">
        <v>51</v>
      </c>
      <c r="BC559" t="s">
        <v>7262</v>
      </c>
      <c r="BD559" t="s">
        <v>74</v>
      </c>
      <c r="BE559" t="s">
        <v>10594</v>
      </c>
      <c r="BF559" t="str">
        <f>HYPERLINK("http://dx.doi.org/10.1038/NGEO2580","http://dx.doi.org/10.1038/NGEO2580")</f>
        <v>http://dx.doi.org/10.1038/NGEO2580</v>
      </c>
      <c r="BG559" t="s">
        <v>74</v>
      </c>
      <c r="BH559" t="s">
        <v>74</v>
      </c>
      <c r="BI559">
        <v>6</v>
      </c>
      <c r="BJ559" t="s">
        <v>95</v>
      </c>
      <c r="BK559" t="s">
        <v>264</v>
      </c>
      <c r="BL559" t="s">
        <v>97</v>
      </c>
      <c r="BM559" t="s">
        <v>10595</v>
      </c>
      <c r="BN559" t="s">
        <v>74</v>
      </c>
      <c r="BO559" t="s">
        <v>74</v>
      </c>
      <c r="BP559" t="s">
        <v>74</v>
      </c>
      <c r="BQ559" t="s">
        <v>74</v>
      </c>
      <c r="BR559" t="s">
        <v>100</v>
      </c>
      <c r="BS559" t="s">
        <v>10596</v>
      </c>
      <c r="BT559" t="str">
        <f>HYPERLINK("https%3A%2F%2Fwww.webofscience.com%2Fwos%2Fwoscc%2Ffull-record%2FWOS:000367200300016","View Full Record in Web of Science")</f>
        <v>View Full Record in Web of Science</v>
      </c>
    </row>
    <row r="560" spans="1:72" x14ac:dyDescent="0.15">
      <c r="A560" t="s">
        <v>72</v>
      </c>
      <c r="B560" t="s">
        <v>10597</v>
      </c>
      <c r="C560" t="s">
        <v>74</v>
      </c>
      <c r="D560" t="s">
        <v>74</v>
      </c>
      <c r="E560" t="s">
        <v>74</v>
      </c>
      <c r="F560" t="s">
        <v>10598</v>
      </c>
      <c r="G560" t="s">
        <v>74</v>
      </c>
      <c r="H560" t="s">
        <v>74</v>
      </c>
      <c r="I560" t="s">
        <v>10599</v>
      </c>
      <c r="J560" t="s">
        <v>10600</v>
      </c>
      <c r="K560" t="s">
        <v>74</v>
      </c>
      <c r="L560" t="s">
        <v>74</v>
      </c>
      <c r="M560" t="s">
        <v>200</v>
      </c>
      <c r="N560" t="s">
        <v>79</v>
      </c>
      <c r="O560" t="s">
        <v>74</v>
      </c>
      <c r="P560" t="s">
        <v>74</v>
      </c>
      <c r="Q560" t="s">
        <v>74</v>
      </c>
      <c r="R560" t="s">
        <v>74</v>
      </c>
      <c r="S560" t="s">
        <v>74</v>
      </c>
      <c r="T560" t="s">
        <v>10601</v>
      </c>
      <c r="U560" t="s">
        <v>74</v>
      </c>
      <c r="V560" t="s">
        <v>74</v>
      </c>
      <c r="W560" t="s">
        <v>10602</v>
      </c>
      <c r="X560" t="s">
        <v>108</v>
      </c>
      <c r="Y560" t="s">
        <v>10603</v>
      </c>
      <c r="Z560" t="s">
        <v>10604</v>
      </c>
      <c r="AA560" t="s">
        <v>10605</v>
      </c>
      <c r="AB560" t="s">
        <v>74</v>
      </c>
      <c r="AC560" t="s">
        <v>74</v>
      </c>
      <c r="AD560" t="s">
        <v>74</v>
      </c>
      <c r="AE560" t="s">
        <v>74</v>
      </c>
      <c r="AF560" t="s">
        <v>74</v>
      </c>
      <c r="AG560">
        <v>19</v>
      </c>
      <c r="AH560">
        <v>4</v>
      </c>
      <c r="AI560">
        <v>4</v>
      </c>
      <c r="AJ560">
        <v>0</v>
      </c>
      <c r="AK560">
        <v>1</v>
      </c>
      <c r="AL560" t="s">
        <v>10606</v>
      </c>
      <c r="AM560" t="s">
        <v>10607</v>
      </c>
      <c r="AN560" t="s">
        <v>10608</v>
      </c>
      <c r="AO560" t="s">
        <v>10609</v>
      </c>
      <c r="AP560" t="s">
        <v>10610</v>
      </c>
      <c r="AQ560" t="s">
        <v>74</v>
      </c>
      <c r="AR560" t="s">
        <v>10600</v>
      </c>
      <c r="AS560" t="s">
        <v>10600</v>
      </c>
      <c r="AT560" t="s">
        <v>74</v>
      </c>
      <c r="AU560">
        <v>2016</v>
      </c>
      <c r="AV560">
        <v>63</v>
      </c>
      <c r="AW560" t="s">
        <v>10611</v>
      </c>
      <c r="AX560" t="s">
        <v>74</v>
      </c>
      <c r="AY560" t="s">
        <v>74</v>
      </c>
      <c r="AZ560" t="s">
        <v>74</v>
      </c>
      <c r="BA560" t="s">
        <v>74</v>
      </c>
      <c r="BB560">
        <v>176</v>
      </c>
      <c r="BC560">
        <v>178</v>
      </c>
      <c r="BD560" t="s">
        <v>74</v>
      </c>
      <c r="BE560" t="s">
        <v>74</v>
      </c>
      <c r="BF560" t="s">
        <v>74</v>
      </c>
      <c r="BG560" t="s">
        <v>74</v>
      </c>
      <c r="BH560" t="s">
        <v>74</v>
      </c>
      <c r="BI560">
        <v>3</v>
      </c>
      <c r="BJ560" t="s">
        <v>1232</v>
      </c>
      <c r="BK560" t="s">
        <v>264</v>
      </c>
      <c r="BL560" t="s">
        <v>672</v>
      </c>
      <c r="BM560" t="s">
        <v>10612</v>
      </c>
      <c r="BN560" t="s">
        <v>74</v>
      </c>
      <c r="BO560" t="s">
        <v>74</v>
      </c>
      <c r="BP560" t="s">
        <v>74</v>
      </c>
      <c r="BQ560" t="s">
        <v>74</v>
      </c>
      <c r="BR560" t="s">
        <v>100</v>
      </c>
      <c r="BS560" t="s">
        <v>10613</v>
      </c>
      <c r="BT560" t="str">
        <f>HYPERLINK("https%3A%2F%2Fwww.webofscience.com%2Fwos%2Fwoscc%2Ffull-record%2FWOS:000418955600007","View Full Record in Web of Science")</f>
        <v>View Full Record in Web of Science</v>
      </c>
    </row>
    <row r="561" spans="1:72" x14ac:dyDescent="0.15">
      <c r="A561" t="s">
        <v>72</v>
      </c>
      <c r="B561" t="s">
        <v>10614</v>
      </c>
      <c r="C561" t="s">
        <v>74</v>
      </c>
      <c r="D561" t="s">
        <v>74</v>
      </c>
      <c r="E561" t="s">
        <v>74</v>
      </c>
      <c r="F561" t="s">
        <v>10615</v>
      </c>
      <c r="G561" t="s">
        <v>74</v>
      </c>
      <c r="H561" t="s">
        <v>74</v>
      </c>
      <c r="I561" t="s">
        <v>10616</v>
      </c>
      <c r="J561" t="s">
        <v>10617</v>
      </c>
      <c r="K561" t="s">
        <v>74</v>
      </c>
      <c r="L561" t="s">
        <v>74</v>
      </c>
      <c r="M561" t="s">
        <v>200</v>
      </c>
      <c r="N561" t="s">
        <v>79</v>
      </c>
      <c r="O561" t="s">
        <v>74</v>
      </c>
      <c r="P561" t="s">
        <v>74</v>
      </c>
      <c r="Q561" t="s">
        <v>74</v>
      </c>
      <c r="R561" t="s">
        <v>74</v>
      </c>
      <c r="S561" t="s">
        <v>74</v>
      </c>
      <c r="T561" t="s">
        <v>74</v>
      </c>
      <c r="U561" t="s">
        <v>10618</v>
      </c>
      <c r="V561" t="s">
        <v>10619</v>
      </c>
      <c r="W561" t="s">
        <v>10620</v>
      </c>
      <c r="X561" t="s">
        <v>10621</v>
      </c>
      <c r="Y561" t="s">
        <v>10622</v>
      </c>
      <c r="Z561" t="s">
        <v>9351</v>
      </c>
      <c r="AA561" t="s">
        <v>10623</v>
      </c>
      <c r="AB561" t="s">
        <v>10624</v>
      </c>
      <c r="AC561" t="s">
        <v>10625</v>
      </c>
      <c r="AD561" t="s">
        <v>10626</v>
      </c>
      <c r="AE561" t="s">
        <v>10627</v>
      </c>
      <c r="AF561" t="s">
        <v>74</v>
      </c>
      <c r="AG561">
        <v>17</v>
      </c>
      <c r="AH561">
        <v>50</v>
      </c>
      <c r="AI561">
        <v>53</v>
      </c>
      <c r="AJ561">
        <v>2</v>
      </c>
      <c r="AK561">
        <v>11</v>
      </c>
      <c r="AL561" t="s">
        <v>7256</v>
      </c>
      <c r="AM561" t="s">
        <v>2100</v>
      </c>
      <c r="AN561" t="s">
        <v>7257</v>
      </c>
      <c r="AO561" t="s">
        <v>74</v>
      </c>
      <c r="AP561" t="s">
        <v>10628</v>
      </c>
      <c r="AQ561" t="s">
        <v>74</v>
      </c>
      <c r="AR561" t="s">
        <v>10629</v>
      </c>
      <c r="AS561" t="s">
        <v>10630</v>
      </c>
      <c r="AT561" t="s">
        <v>74</v>
      </c>
      <c r="AU561">
        <v>2016</v>
      </c>
      <c r="AV561">
        <v>2</v>
      </c>
      <c r="AW561" t="s">
        <v>74</v>
      </c>
      <c r="AX561" t="s">
        <v>74</v>
      </c>
      <c r="AY561" t="s">
        <v>74</v>
      </c>
      <c r="AZ561" t="s">
        <v>74</v>
      </c>
      <c r="BA561" t="s">
        <v>74</v>
      </c>
      <c r="BB561" t="s">
        <v>74</v>
      </c>
      <c r="BC561" t="s">
        <v>74</v>
      </c>
      <c r="BD561">
        <v>16008</v>
      </c>
      <c r="BE561" t="s">
        <v>10631</v>
      </c>
      <c r="BF561" t="str">
        <f>HYPERLINK("http://dx.doi.org/10.1038/npjbiofilms.2016.8","http://dx.doi.org/10.1038/npjbiofilms.2016.8")</f>
        <v>http://dx.doi.org/10.1038/npjbiofilms.2016.8</v>
      </c>
      <c r="BG561" t="s">
        <v>74</v>
      </c>
      <c r="BH561" t="s">
        <v>74</v>
      </c>
      <c r="BI561">
        <v>4</v>
      </c>
      <c r="BJ561" t="s">
        <v>7616</v>
      </c>
      <c r="BK561" t="s">
        <v>264</v>
      </c>
      <c r="BL561" t="s">
        <v>7616</v>
      </c>
      <c r="BM561" t="s">
        <v>10632</v>
      </c>
      <c r="BN561">
        <v>28721245</v>
      </c>
      <c r="BO561" t="s">
        <v>523</v>
      </c>
      <c r="BP561" t="s">
        <v>74</v>
      </c>
      <c r="BQ561" t="s">
        <v>74</v>
      </c>
      <c r="BR561" t="s">
        <v>100</v>
      </c>
      <c r="BS561" t="s">
        <v>10633</v>
      </c>
      <c r="BT561" t="str">
        <f>HYPERLINK("https%3A%2F%2Fwww.webofscience.com%2Fwos%2Fwoscc%2Ffull-record%2FWOS:000419466300024","View Full Record in Web of Science")</f>
        <v>View Full Record in Web of Science</v>
      </c>
    </row>
    <row r="562" spans="1:72" x14ac:dyDescent="0.15">
      <c r="A562" t="s">
        <v>72</v>
      </c>
      <c r="B562" t="s">
        <v>10634</v>
      </c>
      <c r="C562" t="s">
        <v>74</v>
      </c>
      <c r="D562" t="s">
        <v>74</v>
      </c>
      <c r="E562" t="s">
        <v>74</v>
      </c>
      <c r="F562" t="s">
        <v>10635</v>
      </c>
      <c r="G562" t="s">
        <v>74</v>
      </c>
      <c r="H562" t="s">
        <v>74</v>
      </c>
      <c r="I562" t="s">
        <v>10636</v>
      </c>
      <c r="J562" t="s">
        <v>10637</v>
      </c>
      <c r="K562" t="s">
        <v>74</v>
      </c>
      <c r="L562" t="s">
        <v>74</v>
      </c>
      <c r="M562" t="s">
        <v>200</v>
      </c>
      <c r="N562" t="s">
        <v>79</v>
      </c>
      <c r="O562" t="s">
        <v>74</v>
      </c>
      <c r="P562" t="s">
        <v>74</v>
      </c>
      <c r="Q562" t="s">
        <v>74</v>
      </c>
      <c r="R562" t="s">
        <v>74</v>
      </c>
      <c r="S562" t="s">
        <v>74</v>
      </c>
      <c r="T562" t="s">
        <v>10638</v>
      </c>
      <c r="U562" t="s">
        <v>10639</v>
      </c>
      <c r="V562" t="s">
        <v>10640</v>
      </c>
      <c r="W562" t="s">
        <v>10641</v>
      </c>
      <c r="X562" t="s">
        <v>10642</v>
      </c>
      <c r="Y562" t="s">
        <v>10643</v>
      </c>
      <c r="Z562" t="s">
        <v>10644</v>
      </c>
      <c r="AA562" t="s">
        <v>2999</v>
      </c>
      <c r="AB562" t="s">
        <v>10645</v>
      </c>
      <c r="AC562" t="s">
        <v>10646</v>
      </c>
      <c r="AD562" t="s">
        <v>10647</v>
      </c>
      <c r="AE562" t="s">
        <v>10648</v>
      </c>
      <c r="AF562" t="s">
        <v>74</v>
      </c>
      <c r="AG562">
        <v>57</v>
      </c>
      <c r="AH562">
        <v>23</v>
      </c>
      <c r="AI562">
        <v>24</v>
      </c>
      <c r="AJ562">
        <v>0</v>
      </c>
      <c r="AK562">
        <v>15</v>
      </c>
      <c r="AL562" t="s">
        <v>10649</v>
      </c>
      <c r="AM562" t="s">
        <v>10650</v>
      </c>
      <c r="AN562" t="s">
        <v>10651</v>
      </c>
      <c r="AO562" t="s">
        <v>74</v>
      </c>
      <c r="AP562" t="s">
        <v>10652</v>
      </c>
      <c r="AQ562" t="s">
        <v>74</v>
      </c>
      <c r="AR562" t="s">
        <v>10637</v>
      </c>
      <c r="AS562" t="s">
        <v>10653</v>
      </c>
      <c r="AT562" t="s">
        <v>315</v>
      </c>
      <c r="AU562">
        <v>2016</v>
      </c>
      <c r="AV562">
        <v>8</v>
      </c>
      <c r="AW562">
        <v>1</v>
      </c>
      <c r="AX562" t="s">
        <v>74</v>
      </c>
      <c r="AY562" t="s">
        <v>74</v>
      </c>
      <c r="AZ562" t="s">
        <v>74</v>
      </c>
      <c r="BA562" t="s">
        <v>74</v>
      </c>
      <c r="BB562" t="s">
        <v>74</v>
      </c>
      <c r="BC562" t="s">
        <v>74</v>
      </c>
      <c r="BD562">
        <v>13</v>
      </c>
      <c r="BE562" t="s">
        <v>10654</v>
      </c>
      <c r="BF562" t="str">
        <f>HYPERLINK("http://dx.doi.org/10.3390/nu8010013","http://dx.doi.org/10.3390/nu8010013")</f>
        <v>http://dx.doi.org/10.3390/nu8010013</v>
      </c>
      <c r="BG562" t="s">
        <v>74</v>
      </c>
      <c r="BH562" t="s">
        <v>74</v>
      </c>
      <c r="BI562">
        <v>14</v>
      </c>
      <c r="BJ562" t="s">
        <v>10655</v>
      </c>
      <c r="BK562" t="s">
        <v>710</v>
      </c>
      <c r="BL562" t="s">
        <v>10655</v>
      </c>
      <c r="BM562" t="s">
        <v>10656</v>
      </c>
      <c r="BN562">
        <v>26729157</v>
      </c>
      <c r="BO562" t="s">
        <v>2519</v>
      </c>
      <c r="BP562" t="s">
        <v>74</v>
      </c>
      <c r="BQ562" t="s">
        <v>74</v>
      </c>
      <c r="BR562" t="s">
        <v>100</v>
      </c>
      <c r="BS562" t="s">
        <v>10657</v>
      </c>
      <c r="BT562" t="str">
        <f>HYPERLINK("https%3A%2F%2Fwww.webofscience.com%2Fwos%2Fwoscc%2Ffull-record%2FWOS:000374589300013","View Full Record in Web of Science")</f>
        <v>View Full Record in Web of Science</v>
      </c>
    </row>
    <row r="563" spans="1:72" x14ac:dyDescent="0.15">
      <c r="A563" t="s">
        <v>72</v>
      </c>
      <c r="B563" t="s">
        <v>10658</v>
      </c>
      <c r="C563" t="s">
        <v>74</v>
      </c>
      <c r="D563" t="s">
        <v>74</v>
      </c>
      <c r="E563" t="s">
        <v>74</v>
      </c>
      <c r="F563" t="s">
        <v>10659</v>
      </c>
      <c r="G563" t="s">
        <v>74</v>
      </c>
      <c r="H563" t="s">
        <v>74</v>
      </c>
      <c r="I563" t="s">
        <v>10660</v>
      </c>
      <c r="J563" t="s">
        <v>2588</v>
      </c>
      <c r="K563" t="s">
        <v>74</v>
      </c>
      <c r="L563" t="s">
        <v>74</v>
      </c>
      <c r="M563" t="s">
        <v>200</v>
      </c>
      <c r="N563" t="s">
        <v>8638</v>
      </c>
      <c r="O563" t="s">
        <v>74</v>
      </c>
      <c r="P563" t="s">
        <v>74</v>
      </c>
      <c r="Q563" t="s">
        <v>74</v>
      </c>
      <c r="R563" t="s">
        <v>74</v>
      </c>
      <c r="S563" t="s">
        <v>74</v>
      </c>
      <c r="T563" t="s">
        <v>74</v>
      </c>
      <c r="U563" t="s">
        <v>74</v>
      </c>
      <c r="V563" t="s">
        <v>74</v>
      </c>
      <c r="W563" t="s">
        <v>10661</v>
      </c>
      <c r="X563" t="s">
        <v>10662</v>
      </c>
      <c r="Y563" t="s">
        <v>10663</v>
      </c>
      <c r="Z563" t="s">
        <v>3280</v>
      </c>
      <c r="AA563" t="s">
        <v>10664</v>
      </c>
      <c r="AB563" t="s">
        <v>10665</v>
      </c>
      <c r="AC563" t="s">
        <v>74</v>
      </c>
      <c r="AD563" t="s">
        <v>74</v>
      </c>
      <c r="AE563" t="s">
        <v>74</v>
      </c>
      <c r="AF563" t="s">
        <v>74</v>
      </c>
      <c r="AG563">
        <v>4</v>
      </c>
      <c r="AH563">
        <v>0</v>
      </c>
      <c r="AI563">
        <v>0</v>
      </c>
      <c r="AJ563">
        <v>0</v>
      </c>
      <c r="AK563">
        <v>4</v>
      </c>
      <c r="AL563" t="s">
        <v>2263</v>
      </c>
      <c r="AM563" t="s">
        <v>2264</v>
      </c>
      <c r="AN563" t="s">
        <v>2265</v>
      </c>
      <c r="AO563" t="s">
        <v>2596</v>
      </c>
      <c r="AP563" t="s">
        <v>2597</v>
      </c>
      <c r="AQ563" t="s">
        <v>74</v>
      </c>
      <c r="AR563" t="s">
        <v>2598</v>
      </c>
      <c r="AS563" t="s">
        <v>2599</v>
      </c>
      <c r="AT563" t="s">
        <v>74</v>
      </c>
      <c r="AU563">
        <v>2016</v>
      </c>
      <c r="AV563">
        <v>47</v>
      </c>
      <c r="AW563">
        <v>3</v>
      </c>
      <c r="AX563" t="s">
        <v>74</v>
      </c>
      <c r="AY563" t="s">
        <v>74</v>
      </c>
      <c r="AZ563" t="s">
        <v>74</v>
      </c>
      <c r="BA563" t="s">
        <v>74</v>
      </c>
      <c r="BB563">
        <v>219</v>
      </c>
      <c r="BC563">
        <v>220</v>
      </c>
      <c r="BD563" t="s">
        <v>74</v>
      </c>
      <c r="BE563" t="s">
        <v>10666</v>
      </c>
      <c r="BF563" t="str">
        <f>HYPERLINK("http://dx.doi.org/10.1080/00908320.2016.1194089","http://dx.doi.org/10.1080/00908320.2016.1194089")</f>
        <v>http://dx.doi.org/10.1080/00908320.2016.1194089</v>
      </c>
      <c r="BG563" t="s">
        <v>74</v>
      </c>
      <c r="BH563" t="s">
        <v>74</v>
      </c>
      <c r="BI563">
        <v>2</v>
      </c>
      <c r="BJ563" t="s">
        <v>2601</v>
      </c>
      <c r="BK563" t="s">
        <v>1208</v>
      </c>
      <c r="BL563" t="s">
        <v>2602</v>
      </c>
      <c r="BM563" t="s">
        <v>3269</v>
      </c>
      <c r="BN563" t="s">
        <v>74</v>
      </c>
      <c r="BO563" t="s">
        <v>486</v>
      </c>
      <c r="BP563" t="s">
        <v>74</v>
      </c>
      <c r="BQ563" t="s">
        <v>74</v>
      </c>
      <c r="BR563" t="s">
        <v>100</v>
      </c>
      <c r="BS563" t="s">
        <v>10667</v>
      </c>
      <c r="BT563" t="str">
        <f>HYPERLINK("https%3A%2F%2Fwww.webofscience.com%2Fwos%2Fwoscc%2Ffull-record%2FWOS:000382753400001","View Full Record in Web of Science")</f>
        <v>View Full Record in Web of Science</v>
      </c>
    </row>
    <row r="564" spans="1:72" x14ac:dyDescent="0.15">
      <c r="A564" t="s">
        <v>72</v>
      </c>
      <c r="B564" t="s">
        <v>10658</v>
      </c>
      <c r="C564" t="s">
        <v>74</v>
      </c>
      <c r="D564" t="s">
        <v>74</v>
      </c>
      <c r="E564" t="s">
        <v>74</v>
      </c>
      <c r="F564" t="s">
        <v>10659</v>
      </c>
      <c r="G564" t="s">
        <v>74</v>
      </c>
      <c r="H564" t="s">
        <v>74</v>
      </c>
      <c r="I564" t="s">
        <v>10668</v>
      </c>
      <c r="J564" t="s">
        <v>2588</v>
      </c>
      <c r="K564" t="s">
        <v>74</v>
      </c>
      <c r="L564" t="s">
        <v>74</v>
      </c>
      <c r="M564" t="s">
        <v>200</v>
      </c>
      <c r="N564" t="s">
        <v>8638</v>
      </c>
      <c r="O564" t="s">
        <v>74</v>
      </c>
      <c r="P564" t="s">
        <v>74</v>
      </c>
      <c r="Q564" t="s">
        <v>74</v>
      </c>
      <c r="R564" t="s">
        <v>74</v>
      </c>
      <c r="S564" t="s">
        <v>74</v>
      </c>
      <c r="T564" t="s">
        <v>74</v>
      </c>
      <c r="U564" t="s">
        <v>74</v>
      </c>
      <c r="V564" t="s">
        <v>74</v>
      </c>
      <c r="W564" t="s">
        <v>10669</v>
      </c>
      <c r="X564" t="s">
        <v>10662</v>
      </c>
      <c r="Y564" t="s">
        <v>10670</v>
      </c>
      <c r="Z564" t="s">
        <v>10671</v>
      </c>
      <c r="AA564" t="s">
        <v>10672</v>
      </c>
      <c r="AB564" t="s">
        <v>10673</v>
      </c>
      <c r="AC564" t="s">
        <v>74</v>
      </c>
      <c r="AD564" t="s">
        <v>74</v>
      </c>
      <c r="AE564" t="s">
        <v>74</v>
      </c>
      <c r="AF564" t="s">
        <v>74</v>
      </c>
      <c r="AG564">
        <v>6</v>
      </c>
      <c r="AH564">
        <v>0</v>
      </c>
      <c r="AI564">
        <v>0</v>
      </c>
      <c r="AJ564">
        <v>0</v>
      </c>
      <c r="AK564">
        <v>2</v>
      </c>
      <c r="AL564" t="s">
        <v>2263</v>
      </c>
      <c r="AM564" t="s">
        <v>2264</v>
      </c>
      <c r="AN564" t="s">
        <v>2265</v>
      </c>
      <c r="AO564" t="s">
        <v>2596</v>
      </c>
      <c r="AP564" t="s">
        <v>2597</v>
      </c>
      <c r="AQ564" t="s">
        <v>74</v>
      </c>
      <c r="AR564" t="s">
        <v>2598</v>
      </c>
      <c r="AS564" t="s">
        <v>2599</v>
      </c>
      <c r="AT564" t="s">
        <v>74</v>
      </c>
      <c r="AU564">
        <v>2016</v>
      </c>
      <c r="AV564">
        <v>47</v>
      </c>
      <c r="AW564">
        <v>4</v>
      </c>
      <c r="AX564" t="s">
        <v>74</v>
      </c>
      <c r="AY564" t="s">
        <v>74</v>
      </c>
      <c r="AZ564" t="s">
        <v>74</v>
      </c>
      <c r="BA564" t="s">
        <v>74</v>
      </c>
      <c r="BB564">
        <v>346</v>
      </c>
      <c r="BC564">
        <v>347</v>
      </c>
      <c r="BD564" t="s">
        <v>74</v>
      </c>
      <c r="BE564" t="s">
        <v>10674</v>
      </c>
      <c r="BF564" t="str">
        <f>HYPERLINK("http://dx.doi.org/10.1080/00908320.2016.1231004","http://dx.doi.org/10.1080/00908320.2016.1231004")</f>
        <v>http://dx.doi.org/10.1080/00908320.2016.1231004</v>
      </c>
      <c r="BG564" t="s">
        <v>74</v>
      </c>
      <c r="BH564" t="s">
        <v>74</v>
      </c>
      <c r="BI564">
        <v>2</v>
      </c>
      <c r="BJ564" t="s">
        <v>2601</v>
      </c>
      <c r="BK564" t="s">
        <v>1208</v>
      </c>
      <c r="BL564" t="s">
        <v>2602</v>
      </c>
      <c r="BM564" t="s">
        <v>2603</v>
      </c>
      <c r="BN564" t="s">
        <v>74</v>
      </c>
      <c r="BO564" t="s">
        <v>486</v>
      </c>
      <c r="BP564" t="s">
        <v>74</v>
      </c>
      <c r="BQ564" t="s">
        <v>74</v>
      </c>
      <c r="BR564" t="s">
        <v>100</v>
      </c>
      <c r="BS564" t="s">
        <v>10675</v>
      </c>
      <c r="BT564" t="str">
        <f>HYPERLINK("https%3A%2F%2Fwww.webofscience.com%2Fwos%2Fwoscc%2Ffull-record%2FWOS:000386626600003","View Full Record in Web of Science")</f>
        <v>View Full Record in Web of Science</v>
      </c>
    </row>
    <row r="565" spans="1:72" x14ac:dyDescent="0.15">
      <c r="A565" t="s">
        <v>72</v>
      </c>
      <c r="B565" t="s">
        <v>10676</v>
      </c>
      <c r="C565" t="s">
        <v>74</v>
      </c>
      <c r="D565" t="s">
        <v>74</v>
      </c>
      <c r="E565" t="s">
        <v>74</v>
      </c>
      <c r="F565" t="s">
        <v>10677</v>
      </c>
      <c r="G565" t="s">
        <v>74</v>
      </c>
      <c r="H565" t="s">
        <v>74</v>
      </c>
      <c r="I565" t="s">
        <v>10678</v>
      </c>
      <c r="J565" t="s">
        <v>10679</v>
      </c>
      <c r="K565" t="s">
        <v>74</v>
      </c>
      <c r="L565" t="s">
        <v>74</v>
      </c>
      <c r="M565" t="s">
        <v>200</v>
      </c>
      <c r="N565" t="s">
        <v>79</v>
      </c>
      <c r="O565" t="s">
        <v>74</v>
      </c>
      <c r="P565" t="s">
        <v>74</v>
      </c>
      <c r="Q565" t="s">
        <v>74</v>
      </c>
      <c r="R565" t="s">
        <v>74</v>
      </c>
      <c r="S565" t="s">
        <v>74</v>
      </c>
      <c r="T565" t="s">
        <v>10680</v>
      </c>
      <c r="U565" t="s">
        <v>10681</v>
      </c>
      <c r="V565" t="s">
        <v>10682</v>
      </c>
      <c r="W565" t="s">
        <v>10683</v>
      </c>
      <c r="X565" t="s">
        <v>10684</v>
      </c>
      <c r="Y565" t="s">
        <v>10685</v>
      </c>
      <c r="Z565" t="s">
        <v>10686</v>
      </c>
      <c r="AA565" t="s">
        <v>10687</v>
      </c>
      <c r="AB565" t="s">
        <v>10688</v>
      </c>
      <c r="AC565" t="s">
        <v>10689</v>
      </c>
      <c r="AD565" t="s">
        <v>10690</v>
      </c>
      <c r="AE565" t="s">
        <v>10691</v>
      </c>
      <c r="AF565" t="s">
        <v>74</v>
      </c>
      <c r="AG565">
        <v>64</v>
      </c>
      <c r="AH565">
        <v>20</v>
      </c>
      <c r="AI565">
        <v>22</v>
      </c>
      <c r="AJ565">
        <v>3</v>
      </c>
      <c r="AK565">
        <v>18</v>
      </c>
      <c r="AL565" t="s">
        <v>7218</v>
      </c>
      <c r="AM565" t="s">
        <v>1386</v>
      </c>
      <c r="AN565" t="s">
        <v>7219</v>
      </c>
      <c r="AO565" t="s">
        <v>10692</v>
      </c>
      <c r="AP565" t="s">
        <v>10693</v>
      </c>
      <c r="AQ565" t="s">
        <v>74</v>
      </c>
      <c r="AR565" t="s">
        <v>10694</v>
      </c>
      <c r="AS565" t="s">
        <v>10695</v>
      </c>
      <c r="AT565" t="s">
        <v>315</v>
      </c>
      <c r="AU565">
        <v>2016</v>
      </c>
      <c r="AV565">
        <v>97</v>
      </c>
      <c r="AW565" t="s">
        <v>74</v>
      </c>
      <c r="AX565" t="s">
        <v>74</v>
      </c>
      <c r="AY565" t="s">
        <v>74</v>
      </c>
      <c r="AZ565" t="s">
        <v>74</v>
      </c>
      <c r="BA565" t="s">
        <v>74</v>
      </c>
      <c r="BB565">
        <v>37</v>
      </c>
      <c r="BC565">
        <v>51</v>
      </c>
      <c r="BD565" t="s">
        <v>74</v>
      </c>
      <c r="BE565" t="s">
        <v>10696</v>
      </c>
      <c r="BF565" t="str">
        <f>HYPERLINK("http://dx.doi.org/10.1016/j.ocemod.2015.11.010","http://dx.doi.org/10.1016/j.ocemod.2015.11.010")</f>
        <v>http://dx.doi.org/10.1016/j.ocemod.2015.11.010</v>
      </c>
      <c r="BG565" t="s">
        <v>74</v>
      </c>
      <c r="BH565" t="s">
        <v>74</v>
      </c>
      <c r="BI565">
        <v>15</v>
      </c>
      <c r="BJ565" t="s">
        <v>3766</v>
      </c>
      <c r="BK565" t="s">
        <v>264</v>
      </c>
      <c r="BL565" t="s">
        <v>3766</v>
      </c>
      <c r="BM565" t="s">
        <v>10697</v>
      </c>
      <c r="BN565" t="s">
        <v>74</v>
      </c>
      <c r="BO565" t="s">
        <v>10698</v>
      </c>
      <c r="BP565" t="s">
        <v>74</v>
      </c>
      <c r="BQ565" t="s">
        <v>74</v>
      </c>
      <c r="BR565" t="s">
        <v>100</v>
      </c>
      <c r="BS565" t="s">
        <v>10699</v>
      </c>
      <c r="BT565" t="str">
        <f>HYPERLINK("https%3A%2F%2Fwww.webofscience.com%2Fwos%2Fwoscc%2Ffull-record%2FWOS:000367556200004","View Full Record in Web of Science")</f>
        <v>View Full Record in Web of Science</v>
      </c>
    </row>
    <row r="566" spans="1:72" x14ac:dyDescent="0.15">
      <c r="A566" t="s">
        <v>72</v>
      </c>
      <c r="B566" t="s">
        <v>10700</v>
      </c>
      <c r="C566" t="s">
        <v>74</v>
      </c>
      <c r="D566" t="s">
        <v>74</v>
      </c>
      <c r="E566" t="s">
        <v>74</v>
      </c>
      <c r="F566" t="s">
        <v>10701</v>
      </c>
      <c r="G566" t="s">
        <v>74</v>
      </c>
      <c r="H566" t="s">
        <v>74</v>
      </c>
      <c r="I566" t="s">
        <v>10702</v>
      </c>
      <c r="J566" t="s">
        <v>10679</v>
      </c>
      <c r="K566" t="s">
        <v>74</v>
      </c>
      <c r="L566" t="s">
        <v>74</v>
      </c>
      <c r="M566" t="s">
        <v>200</v>
      </c>
      <c r="N566" t="s">
        <v>79</v>
      </c>
      <c r="O566" t="s">
        <v>74</v>
      </c>
      <c r="P566" t="s">
        <v>74</v>
      </c>
      <c r="Q566" t="s">
        <v>74</v>
      </c>
      <c r="R566" t="s">
        <v>74</v>
      </c>
      <c r="S566" t="s">
        <v>74</v>
      </c>
      <c r="T566" t="s">
        <v>10703</v>
      </c>
      <c r="U566" t="s">
        <v>10704</v>
      </c>
      <c r="V566" t="s">
        <v>10705</v>
      </c>
      <c r="W566" t="s">
        <v>10706</v>
      </c>
      <c r="X566" t="s">
        <v>10707</v>
      </c>
      <c r="Y566" t="s">
        <v>10708</v>
      </c>
      <c r="Z566" t="s">
        <v>10709</v>
      </c>
      <c r="AA566" t="s">
        <v>10710</v>
      </c>
      <c r="AB566" t="s">
        <v>10711</v>
      </c>
      <c r="AC566" t="s">
        <v>10712</v>
      </c>
      <c r="AD566" t="s">
        <v>10713</v>
      </c>
      <c r="AE566" t="s">
        <v>10714</v>
      </c>
      <c r="AF566" t="s">
        <v>74</v>
      </c>
      <c r="AG566">
        <v>44</v>
      </c>
      <c r="AH566">
        <v>32</v>
      </c>
      <c r="AI566">
        <v>40</v>
      </c>
      <c r="AJ566">
        <v>0</v>
      </c>
      <c r="AK566">
        <v>11</v>
      </c>
      <c r="AL566" t="s">
        <v>7218</v>
      </c>
      <c r="AM566" t="s">
        <v>1386</v>
      </c>
      <c r="AN566" t="s">
        <v>7219</v>
      </c>
      <c r="AO566" t="s">
        <v>10692</v>
      </c>
      <c r="AP566" t="s">
        <v>10693</v>
      </c>
      <c r="AQ566" t="s">
        <v>74</v>
      </c>
      <c r="AR566" t="s">
        <v>10694</v>
      </c>
      <c r="AS566" t="s">
        <v>10695</v>
      </c>
      <c r="AT566" t="s">
        <v>315</v>
      </c>
      <c r="AU566">
        <v>2016</v>
      </c>
      <c r="AV566">
        <v>97</v>
      </c>
      <c r="AW566" t="s">
        <v>74</v>
      </c>
      <c r="AX566" t="s">
        <v>74</v>
      </c>
      <c r="AY566" t="s">
        <v>74</v>
      </c>
      <c r="AZ566" t="s">
        <v>74</v>
      </c>
      <c r="BA566" t="s">
        <v>74</v>
      </c>
      <c r="BB566">
        <v>52</v>
      </c>
      <c r="BC566">
        <v>64</v>
      </c>
      <c r="BD566" t="s">
        <v>74</v>
      </c>
      <c r="BE566" t="s">
        <v>10715</v>
      </c>
      <c r="BF566" t="str">
        <f>HYPERLINK("http://dx.doi.org/10.1016/j.ocemod.2015.11.008","http://dx.doi.org/10.1016/j.ocemod.2015.11.008")</f>
        <v>http://dx.doi.org/10.1016/j.ocemod.2015.11.008</v>
      </c>
      <c r="BG566" t="s">
        <v>74</v>
      </c>
      <c r="BH566" t="s">
        <v>74</v>
      </c>
      <c r="BI566">
        <v>13</v>
      </c>
      <c r="BJ566" t="s">
        <v>3766</v>
      </c>
      <c r="BK566" t="s">
        <v>264</v>
      </c>
      <c r="BL566" t="s">
        <v>3766</v>
      </c>
      <c r="BM566" t="s">
        <v>10697</v>
      </c>
      <c r="BN566" t="s">
        <v>74</v>
      </c>
      <c r="BO566" t="s">
        <v>2274</v>
      </c>
      <c r="BP566" t="s">
        <v>74</v>
      </c>
      <c r="BQ566" t="s">
        <v>74</v>
      </c>
      <c r="BR566" t="s">
        <v>100</v>
      </c>
      <c r="BS566" t="s">
        <v>10716</v>
      </c>
      <c r="BT566" t="str">
        <f>HYPERLINK("https%3A%2F%2Fwww.webofscience.com%2Fwos%2Fwoscc%2Ffull-record%2FWOS:000367556200005","View Full Record in Web of Science")</f>
        <v>View Full Record in Web of Science</v>
      </c>
    </row>
    <row r="567" spans="1:72" x14ac:dyDescent="0.15">
      <c r="A567" t="s">
        <v>72</v>
      </c>
      <c r="B567" t="s">
        <v>10717</v>
      </c>
      <c r="C567" t="s">
        <v>74</v>
      </c>
      <c r="D567" t="s">
        <v>74</v>
      </c>
      <c r="E567" t="s">
        <v>74</v>
      </c>
      <c r="F567" t="s">
        <v>10718</v>
      </c>
      <c r="G567" t="s">
        <v>74</v>
      </c>
      <c r="H567" t="s">
        <v>74</v>
      </c>
      <c r="I567" t="s">
        <v>10719</v>
      </c>
      <c r="J567" t="s">
        <v>3750</v>
      </c>
      <c r="K567" t="s">
        <v>74</v>
      </c>
      <c r="L567" t="s">
        <v>74</v>
      </c>
      <c r="M567" t="s">
        <v>200</v>
      </c>
      <c r="N567" t="s">
        <v>79</v>
      </c>
      <c r="O567" t="s">
        <v>74</v>
      </c>
      <c r="P567" t="s">
        <v>74</v>
      </c>
      <c r="Q567" t="s">
        <v>74</v>
      </c>
      <c r="R567" t="s">
        <v>74</v>
      </c>
      <c r="S567" t="s">
        <v>74</v>
      </c>
      <c r="T567" t="s">
        <v>74</v>
      </c>
      <c r="U567" t="s">
        <v>10720</v>
      </c>
      <c r="V567" t="s">
        <v>10721</v>
      </c>
      <c r="W567" t="s">
        <v>10722</v>
      </c>
      <c r="X567" t="s">
        <v>10723</v>
      </c>
      <c r="Y567" t="s">
        <v>10724</v>
      </c>
      <c r="Z567" t="s">
        <v>10725</v>
      </c>
      <c r="AA567" t="s">
        <v>74</v>
      </c>
      <c r="AB567" t="s">
        <v>10726</v>
      </c>
      <c r="AC567" t="s">
        <v>10727</v>
      </c>
      <c r="AD567" t="s">
        <v>10728</v>
      </c>
      <c r="AE567" t="s">
        <v>10729</v>
      </c>
      <c r="AF567" t="s">
        <v>74</v>
      </c>
      <c r="AG567">
        <v>59</v>
      </c>
      <c r="AH567">
        <v>96</v>
      </c>
      <c r="AI567">
        <v>106</v>
      </c>
      <c r="AJ567">
        <v>0</v>
      </c>
      <c r="AK567">
        <v>13</v>
      </c>
      <c r="AL567" t="s">
        <v>358</v>
      </c>
      <c r="AM567" t="s">
        <v>359</v>
      </c>
      <c r="AN567" t="s">
        <v>3238</v>
      </c>
      <c r="AO567" t="s">
        <v>3762</v>
      </c>
      <c r="AP567" t="s">
        <v>74</v>
      </c>
      <c r="AQ567" t="s">
        <v>74</v>
      </c>
      <c r="AR567" t="s">
        <v>3763</v>
      </c>
      <c r="AS567" t="s">
        <v>3764</v>
      </c>
      <c r="AT567" t="s">
        <v>74</v>
      </c>
      <c r="AU567">
        <v>2016</v>
      </c>
      <c r="AV567">
        <v>12</v>
      </c>
      <c r="AW567">
        <v>1</v>
      </c>
      <c r="AX567" t="s">
        <v>74</v>
      </c>
      <c r="AY567" t="s">
        <v>74</v>
      </c>
      <c r="AZ567" t="s">
        <v>74</v>
      </c>
      <c r="BA567" t="s">
        <v>74</v>
      </c>
      <c r="BB567">
        <v>169</v>
      </c>
      <c r="BC567">
        <v>184</v>
      </c>
      <c r="BD567" t="s">
        <v>74</v>
      </c>
      <c r="BE567" t="s">
        <v>10730</v>
      </c>
      <c r="BF567" t="str">
        <f>HYPERLINK("http://dx.doi.org/10.5194/os-12-169-2016","http://dx.doi.org/10.5194/os-12-169-2016")</f>
        <v>http://dx.doi.org/10.5194/os-12-169-2016</v>
      </c>
      <c r="BG567" t="s">
        <v>74</v>
      </c>
      <c r="BH567" t="s">
        <v>74</v>
      </c>
      <c r="BI567">
        <v>16</v>
      </c>
      <c r="BJ567" t="s">
        <v>3766</v>
      </c>
      <c r="BK567" t="s">
        <v>264</v>
      </c>
      <c r="BL567" t="s">
        <v>3766</v>
      </c>
      <c r="BM567" t="s">
        <v>10731</v>
      </c>
      <c r="BN567" t="s">
        <v>74</v>
      </c>
      <c r="BO567" t="s">
        <v>2134</v>
      </c>
      <c r="BP567" t="s">
        <v>74</v>
      </c>
      <c r="BQ567" t="s">
        <v>74</v>
      </c>
      <c r="BR567" t="s">
        <v>100</v>
      </c>
      <c r="BS567" t="s">
        <v>10732</v>
      </c>
      <c r="BT567" t="str">
        <f>HYPERLINK("https%3A%2F%2Fwww.webofscience.com%2Fwos%2Fwoscc%2Ffull-record%2FWOS:000369342300013","View Full Record in Web of Science")</f>
        <v>View Full Record in Web of Science</v>
      </c>
    </row>
    <row r="568" spans="1:72" x14ac:dyDescent="0.15">
      <c r="A568" t="s">
        <v>72</v>
      </c>
      <c r="B568" t="s">
        <v>10733</v>
      </c>
      <c r="C568" t="s">
        <v>74</v>
      </c>
      <c r="D568" t="s">
        <v>74</v>
      </c>
      <c r="E568" t="s">
        <v>74</v>
      </c>
      <c r="F568" t="s">
        <v>10734</v>
      </c>
      <c r="G568" t="s">
        <v>74</v>
      </c>
      <c r="H568" t="s">
        <v>74</v>
      </c>
      <c r="I568" t="s">
        <v>10735</v>
      </c>
      <c r="J568" t="s">
        <v>3750</v>
      </c>
      <c r="K568" t="s">
        <v>74</v>
      </c>
      <c r="L568" t="s">
        <v>74</v>
      </c>
      <c r="M568" t="s">
        <v>200</v>
      </c>
      <c r="N568" t="s">
        <v>79</v>
      </c>
      <c r="O568" t="s">
        <v>74</v>
      </c>
      <c r="P568" t="s">
        <v>74</v>
      </c>
      <c r="Q568" t="s">
        <v>74</v>
      </c>
      <c r="R568" t="s">
        <v>74</v>
      </c>
      <c r="S568" t="s">
        <v>74</v>
      </c>
      <c r="T568" t="s">
        <v>74</v>
      </c>
      <c r="U568" t="s">
        <v>10736</v>
      </c>
      <c r="V568" t="s">
        <v>10737</v>
      </c>
      <c r="W568" t="s">
        <v>10738</v>
      </c>
      <c r="X568" t="s">
        <v>10739</v>
      </c>
      <c r="Y568" t="s">
        <v>10740</v>
      </c>
      <c r="Z568" t="s">
        <v>10741</v>
      </c>
      <c r="AA568" t="s">
        <v>10742</v>
      </c>
      <c r="AB568" t="s">
        <v>10743</v>
      </c>
      <c r="AC568" t="s">
        <v>10744</v>
      </c>
      <c r="AD568" t="s">
        <v>10745</v>
      </c>
      <c r="AE568" t="s">
        <v>10746</v>
      </c>
      <c r="AF568" t="s">
        <v>74</v>
      </c>
      <c r="AG568">
        <v>78</v>
      </c>
      <c r="AH568">
        <v>14</v>
      </c>
      <c r="AI568">
        <v>14</v>
      </c>
      <c r="AJ568">
        <v>0</v>
      </c>
      <c r="AK568">
        <v>14</v>
      </c>
      <c r="AL568" t="s">
        <v>358</v>
      </c>
      <c r="AM568" t="s">
        <v>359</v>
      </c>
      <c r="AN568" t="s">
        <v>3238</v>
      </c>
      <c r="AO568" t="s">
        <v>3762</v>
      </c>
      <c r="AP568" t="s">
        <v>74</v>
      </c>
      <c r="AQ568" t="s">
        <v>74</v>
      </c>
      <c r="AR568" t="s">
        <v>3763</v>
      </c>
      <c r="AS568" t="s">
        <v>3764</v>
      </c>
      <c r="AT568" t="s">
        <v>74</v>
      </c>
      <c r="AU568">
        <v>2016</v>
      </c>
      <c r="AV568">
        <v>12</v>
      </c>
      <c r="AW568">
        <v>3</v>
      </c>
      <c r="AX568" t="s">
        <v>74</v>
      </c>
      <c r="AY568" t="s">
        <v>74</v>
      </c>
      <c r="AZ568" t="s">
        <v>74</v>
      </c>
      <c r="BA568" t="s">
        <v>74</v>
      </c>
      <c r="BB568">
        <v>743</v>
      </c>
      <c r="BC568">
        <v>769</v>
      </c>
      <c r="BD568" t="s">
        <v>74</v>
      </c>
      <c r="BE568" t="s">
        <v>10747</v>
      </c>
      <c r="BF568" t="str">
        <f>HYPERLINK("http://dx.doi.org/10.5194/os-12-743-2016","http://dx.doi.org/10.5194/os-12-743-2016")</f>
        <v>http://dx.doi.org/10.5194/os-12-743-2016</v>
      </c>
      <c r="BG568" t="s">
        <v>74</v>
      </c>
      <c r="BH568" t="s">
        <v>74</v>
      </c>
      <c r="BI568">
        <v>27</v>
      </c>
      <c r="BJ568" t="s">
        <v>3766</v>
      </c>
      <c r="BK568" t="s">
        <v>264</v>
      </c>
      <c r="BL568" t="s">
        <v>3766</v>
      </c>
      <c r="BM568" t="s">
        <v>10748</v>
      </c>
      <c r="BN568" t="s">
        <v>74</v>
      </c>
      <c r="BO568" t="s">
        <v>4816</v>
      </c>
      <c r="BP568" t="s">
        <v>74</v>
      </c>
      <c r="BQ568" t="s">
        <v>74</v>
      </c>
      <c r="BR568" t="s">
        <v>100</v>
      </c>
      <c r="BS568" t="s">
        <v>10749</v>
      </c>
      <c r="BT568" t="str">
        <f>HYPERLINK("https%3A%2F%2Fwww.webofscience.com%2Fwos%2Fwoscc%2Ffull-record%2FWOS:000379347400009","View Full Record in Web of Science")</f>
        <v>View Full Record in Web of Science</v>
      </c>
    </row>
    <row r="569" spans="1:72" x14ac:dyDescent="0.15">
      <c r="A569" t="s">
        <v>193</v>
      </c>
      <c r="B569" t="s">
        <v>10750</v>
      </c>
      <c r="C569" t="s">
        <v>74</v>
      </c>
      <c r="D569" t="s">
        <v>10751</v>
      </c>
      <c r="E569" t="s">
        <v>74</v>
      </c>
      <c r="F569" t="s">
        <v>10752</v>
      </c>
      <c r="G569" t="s">
        <v>74</v>
      </c>
      <c r="H569" t="s">
        <v>74</v>
      </c>
      <c r="I569" t="s">
        <v>10753</v>
      </c>
      <c r="J569" t="s">
        <v>10754</v>
      </c>
      <c r="K569" t="s">
        <v>10755</v>
      </c>
      <c r="L569" t="s">
        <v>74</v>
      </c>
      <c r="M569" t="s">
        <v>200</v>
      </c>
      <c r="N569" t="s">
        <v>201</v>
      </c>
      <c r="O569" t="s">
        <v>74</v>
      </c>
      <c r="P569" t="s">
        <v>74</v>
      </c>
      <c r="Q569" t="s">
        <v>74</v>
      </c>
      <c r="R569" t="s">
        <v>74</v>
      </c>
      <c r="S569" t="s">
        <v>74</v>
      </c>
      <c r="T569" t="s">
        <v>74</v>
      </c>
      <c r="U569" t="s">
        <v>10756</v>
      </c>
      <c r="V569" t="s">
        <v>10757</v>
      </c>
      <c r="W569" t="s">
        <v>10758</v>
      </c>
      <c r="X569" t="s">
        <v>10759</v>
      </c>
      <c r="Y569" t="s">
        <v>10760</v>
      </c>
      <c r="Z569" t="s">
        <v>10761</v>
      </c>
      <c r="AA569" t="s">
        <v>10762</v>
      </c>
      <c r="AB569" t="s">
        <v>10763</v>
      </c>
      <c r="AC569" t="s">
        <v>74</v>
      </c>
      <c r="AD569" t="s">
        <v>74</v>
      </c>
      <c r="AE569" t="s">
        <v>74</v>
      </c>
      <c r="AF569" t="s">
        <v>74</v>
      </c>
      <c r="AG569">
        <v>132</v>
      </c>
      <c r="AH569">
        <v>8</v>
      </c>
      <c r="AI569">
        <v>9</v>
      </c>
      <c r="AJ569">
        <v>0</v>
      </c>
      <c r="AK569">
        <v>25</v>
      </c>
      <c r="AL569" t="s">
        <v>10351</v>
      </c>
      <c r="AM569" t="s">
        <v>10352</v>
      </c>
      <c r="AN569" t="s">
        <v>10353</v>
      </c>
      <c r="AO569" t="s">
        <v>10764</v>
      </c>
      <c r="AP569" t="s">
        <v>74</v>
      </c>
      <c r="AQ569" t="s">
        <v>10765</v>
      </c>
      <c r="AR569" t="s">
        <v>10766</v>
      </c>
      <c r="AS569" t="s">
        <v>10767</v>
      </c>
      <c r="AT569" t="s">
        <v>74</v>
      </c>
      <c r="AU569">
        <v>2016</v>
      </c>
      <c r="AV569">
        <v>54</v>
      </c>
      <c r="AW569" t="s">
        <v>74</v>
      </c>
      <c r="AX569" t="s">
        <v>74</v>
      </c>
      <c r="AY569" t="s">
        <v>74</v>
      </c>
      <c r="AZ569" t="s">
        <v>74</v>
      </c>
      <c r="BA569" t="s">
        <v>74</v>
      </c>
      <c r="BB569">
        <v>387</v>
      </c>
      <c r="BC569">
        <v>412</v>
      </c>
      <c r="BD569" t="s">
        <v>74</v>
      </c>
      <c r="BE569" t="s">
        <v>74</v>
      </c>
      <c r="BF569" t="s">
        <v>74</v>
      </c>
      <c r="BG569" t="s">
        <v>10768</v>
      </c>
      <c r="BH569" t="s">
        <v>74</v>
      </c>
      <c r="BI569">
        <v>26</v>
      </c>
      <c r="BJ569" t="s">
        <v>6862</v>
      </c>
      <c r="BK569" t="s">
        <v>7471</v>
      </c>
      <c r="BL569" t="s">
        <v>6862</v>
      </c>
      <c r="BM569" t="s">
        <v>10769</v>
      </c>
      <c r="BN569" t="s">
        <v>74</v>
      </c>
      <c r="BO569" t="s">
        <v>10698</v>
      </c>
      <c r="BP569" t="s">
        <v>74</v>
      </c>
      <c r="BQ569" t="s">
        <v>74</v>
      </c>
      <c r="BR569" t="s">
        <v>100</v>
      </c>
      <c r="BS569" t="s">
        <v>10770</v>
      </c>
      <c r="BT569" t="str">
        <f>HYPERLINK("https%3A%2F%2Fwww.webofscience.com%2Fwos%2Fwoscc%2Ffull-record%2FWOS:000397060700008","View Full Record in Web of Science")</f>
        <v>View Full Record in Web of Science</v>
      </c>
    </row>
    <row r="570" spans="1:72" x14ac:dyDescent="0.15">
      <c r="A570" t="s">
        <v>72</v>
      </c>
      <c r="B570" t="s">
        <v>10771</v>
      </c>
      <c r="C570" t="s">
        <v>74</v>
      </c>
      <c r="D570" t="s">
        <v>74</v>
      </c>
      <c r="E570" t="s">
        <v>74</v>
      </c>
      <c r="F570" t="s">
        <v>10772</v>
      </c>
      <c r="G570" t="s">
        <v>74</v>
      </c>
      <c r="H570" t="s">
        <v>74</v>
      </c>
      <c r="I570" t="s">
        <v>10773</v>
      </c>
      <c r="J570" t="s">
        <v>5322</v>
      </c>
      <c r="K570" t="s">
        <v>74</v>
      </c>
      <c r="L570" t="s">
        <v>74</v>
      </c>
      <c r="M570" t="s">
        <v>200</v>
      </c>
      <c r="N570" t="s">
        <v>79</v>
      </c>
      <c r="O570" t="s">
        <v>74</v>
      </c>
      <c r="P570" t="s">
        <v>74</v>
      </c>
      <c r="Q570" t="s">
        <v>74</v>
      </c>
      <c r="R570" t="s">
        <v>74</v>
      </c>
      <c r="S570" t="s">
        <v>74</v>
      </c>
      <c r="T570" t="s">
        <v>74</v>
      </c>
      <c r="U570" t="s">
        <v>10774</v>
      </c>
      <c r="V570" t="s">
        <v>10775</v>
      </c>
      <c r="W570" t="s">
        <v>10776</v>
      </c>
      <c r="X570" t="s">
        <v>10777</v>
      </c>
      <c r="Y570" t="s">
        <v>10778</v>
      </c>
      <c r="Z570" t="s">
        <v>10779</v>
      </c>
      <c r="AA570" t="s">
        <v>10780</v>
      </c>
      <c r="AB570" t="s">
        <v>10781</v>
      </c>
      <c r="AC570" t="s">
        <v>10782</v>
      </c>
      <c r="AD570" t="s">
        <v>10783</v>
      </c>
      <c r="AE570" t="s">
        <v>10784</v>
      </c>
      <c r="AF570" t="s">
        <v>74</v>
      </c>
      <c r="AG570">
        <v>32</v>
      </c>
      <c r="AH570">
        <v>17</v>
      </c>
      <c r="AI570">
        <v>19</v>
      </c>
      <c r="AJ570">
        <v>3</v>
      </c>
      <c r="AK570">
        <v>28</v>
      </c>
      <c r="AL570" t="s">
        <v>5110</v>
      </c>
      <c r="AM570" t="s">
        <v>289</v>
      </c>
      <c r="AN570" t="s">
        <v>5111</v>
      </c>
      <c r="AO570" t="s">
        <v>5334</v>
      </c>
      <c r="AP570" t="s">
        <v>5335</v>
      </c>
      <c r="AQ570" t="s">
        <v>74</v>
      </c>
      <c r="AR570" t="s">
        <v>5336</v>
      </c>
      <c r="AS570" t="s">
        <v>5337</v>
      </c>
      <c r="AT570" t="s">
        <v>315</v>
      </c>
      <c r="AU570">
        <v>2016</v>
      </c>
      <c r="AV570">
        <v>56</v>
      </c>
      <c r="AW570">
        <v>1</v>
      </c>
      <c r="AX570" t="s">
        <v>74</v>
      </c>
      <c r="AY570" t="s">
        <v>74</v>
      </c>
      <c r="AZ570" t="s">
        <v>74</v>
      </c>
      <c r="BA570" t="s">
        <v>74</v>
      </c>
      <c r="BB570">
        <v>36</v>
      </c>
      <c r="BC570">
        <v>45</v>
      </c>
      <c r="BD570" t="s">
        <v>74</v>
      </c>
      <c r="BE570" t="s">
        <v>10785</v>
      </c>
      <c r="BF570" t="str">
        <f>HYPERLINK("http://dx.doi.org/10.1134/S0001437016010161","http://dx.doi.org/10.1134/S0001437016010161")</f>
        <v>http://dx.doi.org/10.1134/S0001437016010161</v>
      </c>
      <c r="BG570" t="s">
        <v>74</v>
      </c>
      <c r="BH570" t="s">
        <v>74</v>
      </c>
      <c r="BI570">
        <v>10</v>
      </c>
      <c r="BJ570" t="s">
        <v>5339</v>
      </c>
      <c r="BK570" t="s">
        <v>264</v>
      </c>
      <c r="BL570" t="s">
        <v>5339</v>
      </c>
      <c r="BM570" t="s">
        <v>5340</v>
      </c>
      <c r="BN570" t="s">
        <v>74</v>
      </c>
      <c r="BO570" t="s">
        <v>74</v>
      </c>
      <c r="BP570" t="s">
        <v>74</v>
      </c>
      <c r="BQ570" t="s">
        <v>74</v>
      </c>
      <c r="BR570" t="s">
        <v>100</v>
      </c>
      <c r="BS570" t="s">
        <v>10786</v>
      </c>
      <c r="BT570" t="str">
        <f>HYPERLINK("https%3A%2F%2Fwww.webofscience.com%2Fwos%2Fwoscc%2Ffull-record%2FWOS:000373643300006","View Full Record in Web of Science")</f>
        <v>View Full Record in Web of Science</v>
      </c>
    </row>
    <row r="571" spans="1:72" x14ac:dyDescent="0.15">
      <c r="A571" t="s">
        <v>267</v>
      </c>
      <c r="B571" t="s">
        <v>10787</v>
      </c>
      <c r="C571" t="s">
        <v>74</v>
      </c>
      <c r="D571" t="s">
        <v>74</v>
      </c>
      <c r="E571" t="s">
        <v>269</v>
      </c>
      <c r="F571" t="s">
        <v>10788</v>
      </c>
      <c r="G571" t="s">
        <v>74</v>
      </c>
      <c r="H571" t="s">
        <v>74</v>
      </c>
      <c r="I571" t="s">
        <v>10789</v>
      </c>
      <c r="J571" t="s">
        <v>555</v>
      </c>
      <c r="K571" t="s">
        <v>74</v>
      </c>
      <c r="L571" t="s">
        <v>74</v>
      </c>
      <c r="M571" t="s">
        <v>200</v>
      </c>
      <c r="N571" t="s">
        <v>273</v>
      </c>
      <c r="O571" t="s">
        <v>556</v>
      </c>
      <c r="P571" t="s">
        <v>557</v>
      </c>
      <c r="Q571" t="s">
        <v>558</v>
      </c>
      <c r="R571" t="s">
        <v>74</v>
      </c>
      <c r="S571" t="s">
        <v>74</v>
      </c>
      <c r="T571" t="s">
        <v>74</v>
      </c>
      <c r="U571" t="s">
        <v>10790</v>
      </c>
      <c r="V571" t="s">
        <v>10791</v>
      </c>
      <c r="W571" t="s">
        <v>10792</v>
      </c>
      <c r="X571" t="s">
        <v>10793</v>
      </c>
      <c r="Y571" t="s">
        <v>10794</v>
      </c>
      <c r="Z571" t="s">
        <v>10795</v>
      </c>
      <c r="AA571" t="s">
        <v>74</v>
      </c>
      <c r="AB571" t="s">
        <v>74</v>
      </c>
      <c r="AC571" t="s">
        <v>10796</v>
      </c>
      <c r="AD571" t="s">
        <v>3367</v>
      </c>
      <c r="AE571" t="s">
        <v>10797</v>
      </c>
      <c r="AF571" t="s">
        <v>74</v>
      </c>
      <c r="AG571">
        <v>20</v>
      </c>
      <c r="AH571">
        <v>2</v>
      </c>
      <c r="AI571">
        <v>2</v>
      </c>
      <c r="AJ571">
        <v>0</v>
      </c>
      <c r="AK571">
        <v>0</v>
      </c>
      <c r="AL571" t="s">
        <v>269</v>
      </c>
      <c r="AM571" t="s">
        <v>289</v>
      </c>
      <c r="AN571" t="s">
        <v>290</v>
      </c>
      <c r="AO571" t="s">
        <v>74</v>
      </c>
      <c r="AP571" t="s">
        <v>74</v>
      </c>
      <c r="AQ571" t="s">
        <v>569</v>
      </c>
      <c r="AR571" t="s">
        <v>74</v>
      </c>
      <c r="AS571" t="s">
        <v>74</v>
      </c>
      <c r="AT571" t="s">
        <v>74</v>
      </c>
      <c r="AU571">
        <v>2016</v>
      </c>
      <c r="AV571" t="s">
        <v>74</v>
      </c>
      <c r="AW571" t="s">
        <v>74</v>
      </c>
      <c r="AX571" t="s">
        <v>74</v>
      </c>
      <c r="AY571" t="s">
        <v>74</v>
      </c>
      <c r="AZ571" t="s">
        <v>74</v>
      </c>
      <c r="BA571" t="s">
        <v>74</v>
      </c>
      <c r="BB571" t="s">
        <v>74</v>
      </c>
      <c r="BC571" t="s">
        <v>74</v>
      </c>
      <c r="BD571" t="s">
        <v>74</v>
      </c>
      <c r="BE571" t="s">
        <v>10798</v>
      </c>
      <c r="BF571" t="str">
        <f>HYPERLINK("http://dx.doi.org/10.1109/OCEANS.2016.7761307","http://dx.doi.org/10.1109/OCEANS.2016.7761307")</f>
        <v>http://dx.doi.org/10.1109/OCEANS.2016.7761307</v>
      </c>
      <c r="BG571" t="s">
        <v>74</v>
      </c>
      <c r="BH571" t="s">
        <v>74</v>
      </c>
      <c r="BI571">
        <v>6</v>
      </c>
      <c r="BJ571" t="s">
        <v>571</v>
      </c>
      <c r="BK571" t="s">
        <v>293</v>
      </c>
      <c r="BL571" t="s">
        <v>572</v>
      </c>
      <c r="BM571" t="s">
        <v>573</v>
      </c>
      <c r="BN571" t="s">
        <v>74</v>
      </c>
      <c r="BO571" t="s">
        <v>74</v>
      </c>
      <c r="BP571" t="s">
        <v>74</v>
      </c>
      <c r="BQ571" t="s">
        <v>74</v>
      </c>
      <c r="BR571" t="s">
        <v>100</v>
      </c>
      <c r="BS571" t="s">
        <v>10799</v>
      </c>
      <c r="BT571" t="str">
        <f>HYPERLINK("https%3A%2F%2Fwww.webofscience.com%2Fwos%2Fwoscc%2Ffull-record%2FWOS:000399929001153","View Full Record in Web of Science")</f>
        <v>View Full Record in Web of Science</v>
      </c>
    </row>
    <row r="572" spans="1:72" x14ac:dyDescent="0.15">
      <c r="A572" t="s">
        <v>267</v>
      </c>
      <c r="B572" t="s">
        <v>10800</v>
      </c>
      <c r="C572" t="s">
        <v>74</v>
      </c>
      <c r="D572" t="s">
        <v>74</v>
      </c>
      <c r="E572" t="s">
        <v>269</v>
      </c>
      <c r="F572" t="s">
        <v>10801</v>
      </c>
      <c r="G572" t="s">
        <v>74</v>
      </c>
      <c r="H572" t="s">
        <v>74</v>
      </c>
      <c r="I572" t="s">
        <v>10802</v>
      </c>
      <c r="J572" t="s">
        <v>555</v>
      </c>
      <c r="K572" t="s">
        <v>74</v>
      </c>
      <c r="L572" t="s">
        <v>74</v>
      </c>
      <c r="M572" t="s">
        <v>200</v>
      </c>
      <c r="N572" t="s">
        <v>273</v>
      </c>
      <c r="O572" t="s">
        <v>556</v>
      </c>
      <c r="P572" t="s">
        <v>557</v>
      </c>
      <c r="Q572" t="s">
        <v>558</v>
      </c>
      <c r="R572" t="s">
        <v>74</v>
      </c>
      <c r="S572" t="s">
        <v>74</v>
      </c>
      <c r="T572" t="s">
        <v>10803</v>
      </c>
      <c r="U572" t="s">
        <v>74</v>
      </c>
      <c r="V572" t="s">
        <v>10804</v>
      </c>
      <c r="W572" t="s">
        <v>10805</v>
      </c>
      <c r="X572" t="s">
        <v>10806</v>
      </c>
      <c r="Y572" t="s">
        <v>10807</v>
      </c>
      <c r="Z572" t="s">
        <v>74</v>
      </c>
      <c r="AA572" t="s">
        <v>10808</v>
      </c>
      <c r="AB572" t="s">
        <v>10809</v>
      </c>
      <c r="AC572" t="s">
        <v>74</v>
      </c>
      <c r="AD572" t="s">
        <v>74</v>
      </c>
      <c r="AE572" t="s">
        <v>74</v>
      </c>
      <c r="AF572" t="s">
        <v>74</v>
      </c>
      <c r="AG572">
        <v>14</v>
      </c>
      <c r="AH572">
        <v>2</v>
      </c>
      <c r="AI572">
        <v>2</v>
      </c>
      <c r="AJ572">
        <v>0</v>
      </c>
      <c r="AK572">
        <v>0</v>
      </c>
      <c r="AL572" t="s">
        <v>269</v>
      </c>
      <c r="AM572" t="s">
        <v>289</v>
      </c>
      <c r="AN572" t="s">
        <v>290</v>
      </c>
      <c r="AO572" t="s">
        <v>74</v>
      </c>
      <c r="AP572" t="s">
        <v>74</v>
      </c>
      <c r="AQ572" t="s">
        <v>569</v>
      </c>
      <c r="AR572" t="s">
        <v>74</v>
      </c>
      <c r="AS572" t="s">
        <v>74</v>
      </c>
      <c r="AT572" t="s">
        <v>74</v>
      </c>
      <c r="AU572">
        <v>2016</v>
      </c>
      <c r="AV572" t="s">
        <v>74</v>
      </c>
      <c r="AW572" t="s">
        <v>74</v>
      </c>
      <c r="AX572" t="s">
        <v>74</v>
      </c>
      <c r="AY572" t="s">
        <v>74</v>
      </c>
      <c r="AZ572" t="s">
        <v>74</v>
      </c>
      <c r="BA572" t="s">
        <v>74</v>
      </c>
      <c r="BB572" t="s">
        <v>74</v>
      </c>
      <c r="BC572" t="s">
        <v>74</v>
      </c>
      <c r="BD572" t="s">
        <v>74</v>
      </c>
      <c r="BE572" t="s">
        <v>10810</v>
      </c>
      <c r="BF572" t="str">
        <f>HYPERLINK("http://dx.doi.org/10.1109/OCEANS.2016.7761152","http://dx.doi.org/10.1109/OCEANS.2016.7761152")</f>
        <v>http://dx.doi.org/10.1109/OCEANS.2016.7761152</v>
      </c>
      <c r="BG572" t="s">
        <v>74</v>
      </c>
      <c r="BH572" t="s">
        <v>74</v>
      </c>
      <c r="BI572">
        <v>7</v>
      </c>
      <c r="BJ572" t="s">
        <v>571</v>
      </c>
      <c r="BK572" t="s">
        <v>293</v>
      </c>
      <c r="BL572" t="s">
        <v>572</v>
      </c>
      <c r="BM572" t="s">
        <v>573</v>
      </c>
      <c r="BN572" t="s">
        <v>74</v>
      </c>
      <c r="BO572" t="s">
        <v>74</v>
      </c>
      <c r="BP572" t="s">
        <v>74</v>
      </c>
      <c r="BQ572" t="s">
        <v>74</v>
      </c>
      <c r="BR572" t="s">
        <v>100</v>
      </c>
      <c r="BS572" t="s">
        <v>10811</v>
      </c>
      <c r="BT572" t="str">
        <f>HYPERLINK("https%3A%2F%2Fwww.webofscience.com%2Fwos%2Fwoscc%2Ffull-record%2FWOS:000399929000158","View Full Record in Web of Science")</f>
        <v>View Full Record in Web of Science</v>
      </c>
    </row>
    <row r="573" spans="1:72" x14ac:dyDescent="0.15">
      <c r="A573" t="s">
        <v>267</v>
      </c>
      <c r="B573" t="s">
        <v>10812</v>
      </c>
      <c r="C573" t="s">
        <v>74</v>
      </c>
      <c r="D573" t="s">
        <v>74</v>
      </c>
      <c r="E573" t="s">
        <v>269</v>
      </c>
      <c r="F573" t="s">
        <v>10813</v>
      </c>
      <c r="G573" t="s">
        <v>74</v>
      </c>
      <c r="H573" t="s">
        <v>74</v>
      </c>
      <c r="I573" t="s">
        <v>10814</v>
      </c>
      <c r="J573" t="s">
        <v>555</v>
      </c>
      <c r="K573" t="s">
        <v>74</v>
      </c>
      <c r="L573" t="s">
        <v>74</v>
      </c>
      <c r="M573" t="s">
        <v>200</v>
      </c>
      <c r="N573" t="s">
        <v>273</v>
      </c>
      <c r="O573" t="s">
        <v>556</v>
      </c>
      <c r="P573" t="s">
        <v>557</v>
      </c>
      <c r="Q573" t="s">
        <v>558</v>
      </c>
      <c r="R573" t="s">
        <v>74</v>
      </c>
      <c r="S573" t="s">
        <v>74</v>
      </c>
      <c r="T573" t="s">
        <v>74</v>
      </c>
      <c r="U573" t="s">
        <v>74</v>
      </c>
      <c r="V573" t="s">
        <v>10815</v>
      </c>
      <c r="W573" t="s">
        <v>10816</v>
      </c>
      <c r="X573" t="s">
        <v>10817</v>
      </c>
      <c r="Y573" t="s">
        <v>10818</v>
      </c>
      <c r="Z573" t="s">
        <v>10819</v>
      </c>
      <c r="AA573" t="s">
        <v>10820</v>
      </c>
      <c r="AB573" t="s">
        <v>10821</v>
      </c>
      <c r="AC573" t="s">
        <v>10822</v>
      </c>
      <c r="AD573" t="s">
        <v>10822</v>
      </c>
      <c r="AE573" t="s">
        <v>10823</v>
      </c>
      <c r="AF573" t="s">
        <v>74</v>
      </c>
      <c r="AG573">
        <v>8</v>
      </c>
      <c r="AH573">
        <v>2</v>
      </c>
      <c r="AI573">
        <v>2</v>
      </c>
      <c r="AJ573">
        <v>0</v>
      </c>
      <c r="AK573">
        <v>2</v>
      </c>
      <c r="AL573" t="s">
        <v>269</v>
      </c>
      <c r="AM573" t="s">
        <v>289</v>
      </c>
      <c r="AN573" t="s">
        <v>290</v>
      </c>
      <c r="AO573" t="s">
        <v>74</v>
      </c>
      <c r="AP573" t="s">
        <v>74</v>
      </c>
      <c r="AQ573" t="s">
        <v>569</v>
      </c>
      <c r="AR573" t="s">
        <v>74</v>
      </c>
      <c r="AS573" t="s">
        <v>74</v>
      </c>
      <c r="AT573" t="s">
        <v>74</v>
      </c>
      <c r="AU573">
        <v>2016</v>
      </c>
      <c r="AV573" t="s">
        <v>74</v>
      </c>
      <c r="AW573" t="s">
        <v>74</v>
      </c>
      <c r="AX573" t="s">
        <v>74</v>
      </c>
      <c r="AY573" t="s">
        <v>74</v>
      </c>
      <c r="AZ573" t="s">
        <v>74</v>
      </c>
      <c r="BA573" t="s">
        <v>74</v>
      </c>
      <c r="BB573" t="s">
        <v>74</v>
      </c>
      <c r="BC573" t="s">
        <v>74</v>
      </c>
      <c r="BD573" t="s">
        <v>74</v>
      </c>
      <c r="BE573" t="s">
        <v>10824</v>
      </c>
      <c r="BF573" t="str">
        <f>HYPERLINK("http://dx.doi.org/10.1109/OCEANS.2016.7761382","http://dx.doi.org/10.1109/OCEANS.2016.7761382")</f>
        <v>http://dx.doi.org/10.1109/OCEANS.2016.7761382</v>
      </c>
      <c r="BG573" t="s">
        <v>74</v>
      </c>
      <c r="BH573" t="s">
        <v>74</v>
      </c>
      <c r="BI573">
        <v>5</v>
      </c>
      <c r="BJ573" t="s">
        <v>571</v>
      </c>
      <c r="BK573" t="s">
        <v>293</v>
      </c>
      <c r="BL573" t="s">
        <v>572</v>
      </c>
      <c r="BM573" t="s">
        <v>573</v>
      </c>
      <c r="BN573" t="s">
        <v>74</v>
      </c>
      <c r="BO573" t="s">
        <v>74</v>
      </c>
      <c r="BP573" t="s">
        <v>74</v>
      </c>
      <c r="BQ573" t="s">
        <v>74</v>
      </c>
      <c r="BR573" t="s">
        <v>100</v>
      </c>
      <c r="BS573" t="s">
        <v>10825</v>
      </c>
      <c r="BT573" t="str">
        <f>HYPERLINK("https%3A%2F%2Fwww.webofscience.com%2Fwos%2Fwoscc%2Ffull-record%2FWOS:000399929002064","View Full Record in Web of Science")</f>
        <v>View Full Record in Web of Science</v>
      </c>
    </row>
    <row r="574" spans="1:72" x14ac:dyDescent="0.15">
      <c r="A574" t="s">
        <v>72</v>
      </c>
      <c r="B574" t="s">
        <v>10826</v>
      </c>
      <c r="C574" t="s">
        <v>74</v>
      </c>
      <c r="D574" t="s">
        <v>74</v>
      </c>
      <c r="E574" t="s">
        <v>74</v>
      </c>
      <c r="F574" t="s">
        <v>10827</v>
      </c>
      <c r="G574" t="s">
        <v>74</v>
      </c>
      <c r="H574" t="s">
        <v>74</v>
      </c>
      <c r="I574" t="s">
        <v>10828</v>
      </c>
      <c r="J574" t="s">
        <v>10829</v>
      </c>
      <c r="K574" t="s">
        <v>74</v>
      </c>
      <c r="L574" t="s">
        <v>74</v>
      </c>
      <c r="M574" t="s">
        <v>200</v>
      </c>
      <c r="N574" t="s">
        <v>79</v>
      </c>
      <c r="O574" t="s">
        <v>74</v>
      </c>
      <c r="P574" t="s">
        <v>74</v>
      </c>
      <c r="Q574" t="s">
        <v>74</v>
      </c>
      <c r="R574" t="s">
        <v>74</v>
      </c>
      <c r="S574" t="s">
        <v>74</v>
      </c>
      <c r="T574" t="s">
        <v>10830</v>
      </c>
      <c r="U574" t="s">
        <v>74</v>
      </c>
      <c r="V574" t="s">
        <v>10831</v>
      </c>
      <c r="W574" t="s">
        <v>10832</v>
      </c>
      <c r="X574" t="s">
        <v>10833</v>
      </c>
      <c r="Y574" t="s">
        <v>10834</v>
      </c>
      <c r="Z574" t="s">
        <v>10835</v>
      </c>
      <c r="AA574" t="s">
        <v>10836</v>
      </c>
      <c r="AB574" t="s">
        <v>10837</v>
      </c>
      <c r="AC574" t="s">
        <v>10838</v>
      </c>
      <c r="AD574" t="s">
        <v>10839</v>
      </c>
      <c r="AE574" t="s">
        <v>10840</v>
      </c>
      <c r="AF574" t="s">
        <v>74</v>
      </c>
      <c r="AG574">
        <v>25</v>
      </c>
      <c r="AH574">
        <v>7</v>
      </c>
      <c r="AI574">
        <v>7</v>
      </c>
      <c r="AJ574">
        <v>0</v>
      </c>
      <c r="AK574">
        <v>6</v>
      </c>
      <c r="AL574" t="s">
        <v>10841</v>
      </c>
      <c r="AM574" t="s">
        <v>310</v>
      </c>
      <c r="AN574" t="s">
        <v>10842</v>
      </c>
      <c r="AO574" t="s">
        <v>10843</v>
      </c>
      <c r="AP574" t="s">
        <v>74</v>
      </c>
      <c r="AQ574" t="s">
        <v>74</v>
      </c>
      <c r="AR574" t="s">
        <v>10844</v>
      </c>
      <c r="AS574" t="s">
        <v>10845</v>
      </c>
      <c r="AT574" t="s">
        <v>315</v>
      </c>
      <c r="AU574">
        <v>2016</v>
      </c>
      <c r="AV574">
        <v>1</v>
      </c>
      <c r="AW574">
        <v>1</v>
      </c>
      <c r="AX574" t="s">
        <v>74</v>
      </c>
      <c r="AY574" t="s">
        <v>74</v>
      </c>
      <c r="AZ574" t="s">
        <v>74</v>
      </c>
      <c r="BA574" t="s">
        <v>74</v>
      </c>
      <c r="BB574">
        <v>179</v>
      </c>
      <c r="BC574">
        <v>188</v>
      </c>
      <c r="BD574" t="s">
        <v>74</v>
      </c>
      <c r="BE574" t="s">
        <v>10846</v>
      </c>
      <c r="BF574" t="str">
        <f>HYPERLINK("http://dx.doi.org/10.1515/opag-2016-0023","http://dx.doi.org/10.1515/opag-2016-0023")</f>
        <v>http://dx.doi.org/10.1515/opag-2016-0023</v>
      </c>
      <c r="BG574" t="s">
        <v>74</v>
      </c>
      <c r="BH574" t="s">
        <v>74</v>
      </c>
      <c r="BI574">
        <v>10</v>
      </c>
      <c r="BJ574" t="s">
        <v>10847</v>
      </c>
      <c r="BK574" t="s">
        <v>96</v>
      </c>
      <c r="BL574" t="s">
        <v>6797</v>
      </c>
      <c r="BM574" t="s">
        <v>10848</v>
      </c>
      <c r="BN574" t="s">
        <v>74</v>
      </c>
      <c r="BO574" t="s">
        <v>99</v>
      </c>
      <c r="BP574" t="s">
        <v>74</v>
      </c>
      <c r="BQ574" t="s">
        <v>74</v>
      </c>
      <c r="BR574" t="s">
        <v>100</v>
      </c>
      <c r="BS574" t="s">
        <v>10849</v>
      </c>
      <c r="BT574" t="str">
        <f>HYPERLINK("https%3A%2F%2Fwww.webofscience.com%2Fwos%2Fwoscc%2Ffull-record%2FWOS:000443084600023","View Full Record in Web of Science")</f>
        <v>View Full Record in Web of Science</v>
      </c>
    </row>
    <row r="575" spans="1:72" x14ac:dyDescent="0.15">
      <c r="A575" t="s">
        <v>72</v>
      </c>
      <c r="B575" t="s">
        <v>10850</v>
      </c>
      <c r="C575" t="s">
        <v>74</v>
      </c>
      <c r="D575" t="s">
        <v>74</v>
      </c>
      <c r="E575" t="s">
        <v>74</v>
      </c>
      <c r="F575" t="s">
        <v>10851</v>
      </c>
      <c r="G575" t="s">
        <v>74</v>
      </c>
      <c r="H575" t="s">
        <v>74</v>
      </c>
      <c r="I575" t="s">
        <v>10852</v>
      </c>
      <c r="J575" t="s">
        <v>7270</v>
      </c>
      <c r="K575" t="s">
        <v>74</v>
      </c>
      <c r="L575" t="s">
        <v>74</v>
      </c>
      <c r="M575" t="s">
        <v>200</v>
      </c>
      <c r="N575" t="s">
        <v>79</v>
      </c>
      <c r="O575" t="s">
        <v>74</v>
      </c>
      <c r="P575" t="s">
        <v>74</v>
      </c>
      <c r="Q575" t="s">
        <v>74</v>
      </c>
      <c r="R575" t="s">
        <v>74</v>
      </c>
      <c r="S575" t="s">
        <v>74</v>
      </c>
      <c r="T575" t="s">
        <v>10853</v>
      </c>
      <c r="U575" t="s">
        <v>10854</v>
      </c>
      <c r="V575" t="s">
        <v>10855</v>
      </c>
      <c r="W575" t="s">
        <v>10856</v>
      </c>
      <c r="X575" t="s">
        <v>10857</v>
      </c>
      <c r="Y575" t="s">
        <v>10858</v>
      </c>
      <c r="Z575" t="s">
        <v>10859</v>
      </c>
      <c r="AA575" t="s">
        <v>10860</v>
      </c>
      <c r="AB575" t="s">
        <v>10861</v>
      </c>
      <c r="AC575" t="s">
        <v>10862</v>
      </c>
      <c r="AD575" t="s">
        <v>10863</v>
      </c>
      <c r="AE575" t="s">
        <v>10864</v>
      </c>
      <c r="AF575" t="s">
        <v>74</v>
      </c>
      <c r="AG575">
        <v>75</v>
      </c>
      <c r="AH575">
        <v>7</v>
      </c>
      <c r="AI575">
        <v>10</v>
      </c>
      <c r="AJ575">
        <v>3</v>
      </c>
      <c r="AK575">
        <v>17</v>
      </c>
      <c r="AL575" t="s">
        <v>7137</v>
      </c>
      <c r="AM575" t="s">
        <v>209</v>
      </c>
      <c r="AN575" t="s">
        <v>7138</v>
      </c>
      <c r="AO575" t="s">
        <v>7283</v>
      </c>
      <c r="AP575" t="s">
        <v>7284</v>
      </c>
      <c r="AQ575" t="s">
        <v>74</v>
      </c>
      <c r="AR575" t="s">
        <v>7285</v>
      </c>
      <c r="AS575" t="s">
        <v>7286</v>
      </c>
      <c r="AT575" t="s">
        <v>6992</v>
      </c>
      <c r="AU575">
        <v>2016</v>
      </c>
      <c r="AV575">
        <v>441</v>
      </c>
      <c r="AW575" t="s">
        <v>74</v>
      </c>
      <c r="AX575">
        <v>2</v>
      </c>
      <c r="AY575" t="s">
        <v>74</v>
      </c>
      <c r="AZ575" t="s">
        <v>2540</v>
      </c>
      <c r="BA575" t="s">
        <v>74</v>
      </c>
      <c r="BB575">
        <v>241</v>
      </c>
      <c r="BC575">
        <v>265</v>
      </c>
      <c r="BD575" t="s">
        <v>74</v>
      </c>
      <c r="BE575" t="s">
        <v>10865</v>
      </c>
      <c r="BF575" t="str">
        <f>HYPERLINK("http://dx.doi.org/10.1016/j.palaeo.2015.08.004","http://dx.doi.org/10.1016/j.palaeo.2015.08.004")</f>
        <v>http://dx.doi.org/10.1016/j.palaeo.2015.08.004</v>
      </c>
      <c r="BG575" t="s">
        <v>74</v>
      </c>
      <c r="BH575" t="s">
        <v>74</v>
      </c>
      <c r="BI575">
        <v>25</v>
      </c>
      <c r="BJ575" t="s">
        <v>7288</v>
      </c>
      <c r="BK575" t="s">
        <v>264</v>
      </c>
      <c r="BL575" t="s">
        <v>7289</v>
      </c>
      <c r="BM575" t="s">
        <v>10866</v>
      </c>
      <c r="BN575" t="s">
        <v>74</v>
      </c>
      <c r="BO575" t="s">
        <v>74</v>
      </c>
      <c r="BP575" t="s">
        <v>74</v>
      </c>
      <c r="BQ575" t="s">
        <v>74</v>
      </c>
      <c r="BR575" t="s">
        <v>100</v>
      </c>
      <c r="BS575" t="s">
        <v>10867</v>
      </c>
      <c r="BT575" t="str">
        <f>HYPERLINK("https%3A%2F%2Fwww.webofscience.com%2Fwos%2Fwoscc%2Ffull-record%2FWOS:000367113700003","View Full Record in Web of Science")</f>
        <v>View Full Record in Web of Science</v>
      </c>
    </row>
    <row r="576" spans="1:72" x14ac:dyDescent="0.15">
      <c r="A576" t="s">
        <v>72</v>
      </c>
      <c r="B576" t="s">
        <v>10868</v>
      </c>
      <c r="C576" t="s">
        <v>74</v>
      </c>
      <c r="D576" t="s">
        <v>74</v>
      </c>
      <c r="E576" t="s">
        <v>74</v>
      </c>
      <c r="F576" t="s">
        <v>10869</v>
      </c>
      <c r="G576" t="s">
        <v>74</v>
      </c>
      <c r="H576" t="s">
        <v>74</v>
      </c>
      <c r="I576" t="s">
        <v>10870</v>
      </c>
      <c r="J576" t="s">
        <v>7270</v>
      </c>
      <c r="K576" t="s">
        <v>74</v>
      </c>
      <c r="L576" t="s">
        <v>74</v>
      </c>
      <c r="M576" t="s">
        <v>200</v>
      </c>
      <c r="N576" t="s">
        <v>79</v>
      </c>
      <c r="O576" t="s">
        <v>74</v>
      </c>
      <c r="P576" t="s">
        <v>74</v>
      </c>
      <c r="Q576" t="s">
        <v>74</v>
      </c>
      <c r="R576" t="s">
        <v>74</v>
      </c>
      <c r="S576" t="s">
        <v>74</v>
      </c>
      <c r="T576" t="s">
        <v>10871</v>
      </c>
      <c r="U576" t="s">
        <v>10872</v>
      </c>
      <c r="V576" t="s">
        <v>10873</v>
      </c>
      <c r="W576" t="s">
        <v>10874</v>
      </c>
      <c r="X576" t="s">
        <v>10875</v>
      </c>
      <c r="Y576" t="s">
        <v>10876</v>
      </c>
      <c r="Z576" t="s">
        <v>10877</v>
      </c>
      <c r="AA576" t="s">
        <v>10878</v>
      </c>
      <c r="AB576" t="s">
        <v>10879</v>
      </c>
      <c r="AC576" t="s">
        <v>10880</v>
      </c>
      <c r="AD576" t="s">
        <v>10881</v>
      </c>
      <c r="AE576" t="s">
        <v>10882</v>
      </c>
      <c r="AF576" t="s">
        <v>74</v>
      </c>
      <c r="AG576">
        <v>75</v>
      </c>
      <c r="AH576">
        <v>13</v>
      </c>
      <c r="AI576">
        <v>13</v>
      </c>
      <c r="AJ576">
        <v>1</v>
      </c>
      <c r="AK576">
        <v>25</v>
      </c>
      <c r="AL576" t="s">
        <v>7137</v>
      </c>
      <c r="AM576" t="s">
        <v>209</v>
      </c>
      <c r="AN576" t="s">
        <v>7138</v>
      </c>
      <c r="AO576" t="s">
        <v>7283</v>
      </c>
      <c r="AP576" t="s">
        <v>7284</v>
      </c>
      <c r="AQ576" t="s">
        <v>74</v>
      </c>
      <c r="AR576" t="s">
        <v>7285</v>
      </c>
      <c r="AS576" t="s">
        <v>7286</v>
      </c>
      <c r="AT576" t="s">
        <v>6992</v>
      </c>
      <c r="AU576">
        <v>2016</v>
      </c>
      <c r="AV576">
        <v>441</v>
      </c>
      <c r="AW576" t="s">
        <v>74</v>
      </c>
      <c r="AX576">
        <v>2</v>
      </c>
      <c r="AY576" t="s">
        <v>74</v>
      </c>
      <c r="AZ576" t="s">
        <v>2540</v>
      </c>
      <c r="BA576" t="s">
        <v>74</v>
      </c>
      <c r="BB576">
        <v>292</v>
      </c>
      <c r="BC576">
        <v>304</v>
      </c>
      <c r="BD576" t="s">
        <v>74</v>
      </c>
      <c r="BE576" t="s">
        <v>10883</v>
      </c>
      <c r="BF576" t="str">
        <f>HYPERLINK("http://dx.doi.org/10.1016/j.palaeo.2015.06.016","http://dx.doi.org/10.1016/j.palaeo.2015.06.016")</f>
        <v>http://dx.doi.org/10.1016/j.palaeo.2015.06.016</v>
      </c>
      <c r="BG576" t="s">
        <v>74</v>
      </c>
      <c r="BH576" t="s">
        <v>74</v>
      </c>
      <c r="BI576">
        <v>13</v>
      </c>
      <c r="BJ576" t="s">
        <v>7288</v>
      </c>
      <c r="BK576" t="s">
        <v>264</v>
      </c>
      <c r="BL576" t="s">
        <v>7289</v>
      </c>
      <c r="BM576" t="s">
        <v>10866</v>
      </c>
      <c r="BN576" t="s">
        <v>74</v>
      </c>
      <c r="BO576" t="s">
        <v>10884</v>
      </c>
      <c r="BP576" t="s">
        <v>74</v>
      </c>
      <c r="BQ576" t="s">
        <v>74</v>
      </c>
      <c r="BR576" t="s">
        <v>100</v>
      </c>
      <c r="BS576" t="s">
        <v>10885</v>
      </c>
      <c r="BT576" t="str">
        <f>HYPERLINK("https%3A%2F%2Fwww.webofscience.com%2Fwos%2Fwoscc%2Ffull-record%2FWOS:000367113700005","View Full Record in Web of Science")</f>
        <v>View Full Record in Web of Science</v>
      </c>
    </row>
    <row r="577" spans="1:72" x14ac:dyDescent="0.15">
      <c r="A577" t="s">
        <v>72</v>
      </c>
      <c r="B577" t="s">
        <v>10886</v>
      </c>
      <c r="C577" t="s">
        <v>74</v>
      </c>
      <c r="D577" t="s">
        <v>74</v>
      </c>
      <c r="E577" t="s">
        <v>74</v>
      </c>
      <c r="F577" t="s">
        <v>10887</v>
      </c>
      <c r="G577" t="s">
        <v>74</v>
      </c>
      <c r="H577" t="s">
        <v>74</v>
      </c>
      <c r="I577" t="s">
        <v>10888</v>
      </c>
      <c r="J577" t="s">
        <v>7270</v>
      </c>
      <c r="K577" t="s">
        <v>74</v>
      </c>
      <c r="L577" t="s">
        <v>74</v>
      </c>
      <c r="M577" t="s">
        <v>200</v>
      </c>
      <c r="N577" t="s">
        <v>79</v>
      </c>
      <c r="O577" t="s">
        <v>74</v>
      </c>
      <c r="P577" t="s">
        <v>74</v>
      </c>
      <c r="Q577" t="s">
        <v>74</v>
      </c>
      <c r="R577" t="s">
        <v>74</v>
      </c>
      <c r="S577" t="s">
        <v>74</v>
      </c>
      <c r="T577" t="s">
        <v>10889</v>
      </c>
      <c r="U577" t="s">
        <v>10890</v>
      </c>
      <c r="V577" t="s">
        <v>10891</v>
      </c>
      <c r="W577" t="s">
        <v>10892</v>
      </c>
      <c r="X577" t="s">
        <v>10893</v>
      </c>
      <c r="Y577" t="s">
        <v>10894</v>
      </c>
      <c r="Z577" t="s">
        <v>10895</v>
      </c>
      <c r="AA577" t="s">
        <v>10896</v>
      </c>
      <c r="AB577" t="s">
        <v>10897</v>
      </c>
      <c r="AC577" t="s">
        <v>10898</v>
      </c>
      <c r="AD577" t="s">
        <v>10899</v>
      </c>
      <c r="AE577" t="s">
        <v>10900</v>
      </c>
      <c r="AF577" t="s">
        <v>74</v>
      </c>
      <c r="AG577">
        <v>91</v>
      </c>
      <c r="AH577">
        <v>19</v>
      </c>
      <c r="AI577">
        <v>22</v>
      </c>
      <c r="AJ577">
        <v>1</v>
      </c>
      <c r="AK577">
        <v>10</v>
      </c>
      <c r="AL577" t="s">
        <v>7137</v>
      </c>
      <c r="AM577" t="s">
        <v>209</v>
      </c>
      <c r="AN577" t="s">
        <v>7138</v>
      </c>
      <c r="AO577" t="s">
        <v>7283</v>
      </c>
      <c r="AP577" t="s">
        <v>7284</v>
      </c>
      <c r="AQ577" t="s">
        <v>74</v>
      </c>
      <c r="AR577" t="s">
        <v>7285</v>
      </c>
      <c r="AS577" t="s">
        <v>7286</v>
      </c>
      <c r="AT577" t="s">
        <v>6992</v>
      </c>
      <c r="AU577">
        <v>2016</v>
      </c>
      <c r="AV577">
        <v>441</v>
      </c>
      <c r="AW577" t="s">
        <v>74</v>
      </c>
      <c r="AX577">
        <v>2</v>
      </c>
      <c r="AY577" t="s">
        <v>74</v>
      </c>
      <c r="AZ577" t="s">
        <v>2540</v>
      </c>
      <c r="BA577" t="s">
        <v>74</v>
      </c>
      <c r="BB577">
        <v>305</v>
      </c>
      <c r="BC577">
        <v>316</v>
      </c>
      <c r="BD577" t="s">
        <v>74</v>
      </c>
      <c r="BE577" t="s">
        <v>10901</v>
      </c>
      <c r="BF577" t="str">
        <f>HYPERLINK("http://dx.doi.org/10.1016/j.palaeo.2015.07.011","http://dx.doi.org/10.1016/j.palaeo.2015.07.011")</f>
        <v>http://dx.doi.org/10.1016/j.palaeo.2015.07.011</v>
      </c>
      <c r="BG577" t="s">
        <v>74</v>
      </c>
      <c r="BH577" t="s">
        <v>74</v>
      </c>
      <c r="BI577">
        <v>12</v>
      </c>
      <c r="BJ577" t="s">
        <v>7288</v>
      </c>
      <c r="BK577" t="s">
        <v>264</v>
      </c>
      <c r="BL577" t="s">
        <v>7289</v>
      </c>
      <c r="BM577" t="s">
        <v>10866</v>
      </c>
      <c r="BN577" t="s">
        <v>74</v>
      </c>
      <c r="BO577" t="s">
        <v>5581</v>
      </c>
      <c r="BP577" t="s">
        <v>74</v>
      </c>
      <c r="BQ577" t="s">
        <v>74</v>
      </c>
      <c r="BR577" t="s">
        <v>100</v>
      </c>
      <c r="BS577" t="s">
        <v>10902</v>
      </c>
      <c r="BT577" t="str">
        <f>HYPERLINK("https%3A%2F%2Fwww.webofscience.com%2Fwos%2Fwoscc%2Ffull-record%2FWOS:000367113700006","View Full Record in Web of Science")</f>
        <v>View Full Record in Web of Science</v>
      </c>
    </row>
    <row r="578" spans="1:72" x14ac:dyDescent="0.15">
      <c r="A578" t="s">
        <v>72</v>
      </c>
      <c r="B578" t="s">
        <v>10903</v>
      </c>
      <c r="C578" t="s">
        <v>74</v>
      </c>
      <c r="D578" t="s">
        <v>74</v>
      </c>
      <c r="E578" t="s">
        <v>74</v>
      </c>
      <c r="F578" t="s">
        <v>10904</v>
      </c>
      <c r="G578" t="s">
        <v>74</v>
      </c>
      <c r="H578" t="s">
        <v>74</v>
      </c>
      <c r="I578" t="s">
        <v>10905</v>
      </c>
      <c r="J578" t="s">
        <v>7270</v>
      </c>
      <c r="K578" t="s">
        <v>74</v>
      </c>
      <c r="L578" t="s">
        <v>74</v>
      </c>
      <c r="M578" t="s">
        <v>200</v>
      </c>
      <c r="N578" t="s">
        <v>79</v>
      </c>
      <c r="O578" t="s">
        <v>74</v>
      </c>
      <c r="P578" t="s">
        <v>74</v>
      </c>
      <c r="Q578" t="s">
        <v>74</v>
      </c>
      <c r="R578" t="s">
        <v>74</v>
      </c>
      <c r="S578" t="s">
        <v>74</v>
      </c>
      <c r="T578" t="s">
        <v>10906</v>
      </c>
      <c r="U578" t="s">
        <v>10907</v>
      </c>
      <c r="V578" t="s">
        <v>10908</v>
      </c>
      <c r="W578" t="s">
        <v>10909</v>
      </c>
      <c r="X578" t="s">
        <v>10910</v>
      </c>
      <c r="Y578" t="s">
        <v>10911</v>
      </c>
      <c r="Z578" t="s">
        <v>10912</v>
      </c>
      <c r="AA578" t="s">
        <v>74</v>
      </c>
      <c r="AB578" t="s">
        <v>10913</v>
      </c>
      <c r="AC578" t="s">
        <v>10914</v>
      </c>
      <c r="AD578" t="s">
        <v>10915</v>
      </c>
      <c r="AE578" t="s">
        <v>10916</v>
      </c>
      <c r="AF578" t="s">
        <v>74</v>
      </c>
      <c r="AG578">
        <v>65</v>
      </c>
      <c r="AH578">
        <v>11</v>
      </c>
      <c r="AI578">
        <v>11</v>
      </c>
      <c r="AJ578">
        <v>1</v>
      </c>
      <c r="AK578">
        <v>14</v>
      </c>
      <c r="AL578" t="s">
        <v>7137</v>
      </c>
      <c r="AM578" t="s">
        <v>209</v>
      </c>
      <c r="AN578" t="s">
        <v>7138</v>
      </c>
      <c r="AO578" t="s">
        <v>7283</v>
      </c>
      <c r="AP578" t="s">
        <v>7284</v>
      </c>
      <c r="AQ578" t="s">
        <v>74</v>
      </c>
      <c r="AR578" t="s">
        <v>7285</v>
      </c>
      <c r="AS578" t="s">
        <v>7286</v>
      </c>
      <c r="AT578" t="s">
        <v>6992</v>
      </c>
      <c r="AU578">
        <v>2016</v>
      </c>
      <c r="AV578">
        <v>441</v>
      </c>
      <c r="AW578" t="s">
        <v>74</v>
      </c>
      <c r="AX578">
        <v>4</v>
      </c>
      <c r="AY578" t="s">
        <v>74</v>
      </c>
      <c r="AZ578" t="s">
        <v>74</v>
      </c>
      <c r="BA578" t="s">
        <v>74</v>
      </c>
      <c r="BB578">
        <v>696</v>
      </c>
      <c r="BC578">
        <v>703</v>
      </c>
      <c r="BD578" t="s">
        <v>74</v>
      </c>
      <c r="BE578" t="s">
        <v>10917</v>
      </c>
      <c r="BF578" t="str">
        <f>HYPERLINK("http://dx.doi.org/10.1016/j.palaeo.2015.10.029","http://dx.doi.org/10.1016/j.palaeo.2015.10.029")</f>
        <v>http://dx.doi.org/10.1016/j.palaeo.2015.10.029</v>
      </c>
      <c r="BG578" t="s">
        <v>74</v>
      </c>
      <c r="BH578" t="s">
        <v>74</v>
      </c>
      <c r="BI578">
        <v>8</v>
      </c>
      <c r="BJ578" t="s">
        <v>7288</v>
      </c>
      <c r="BK578" t="s">
        <v>264</v>
      </c>
      <c r="BL578" t="s">
        <v>7289</v>
      </c>
      <c r="BM578" t="s">
        <v>7290</v>
      </c>
      <c r="BN578" t="s">
        <v>74</v>
      </c>
      <c r="BO578" t="s">
        <v>74</v>
      </c>
      <c r="BP578" t="s">
        <v>74</v>
      </c>
      <c r="BQ578" t="s">
        <v>74</v>
      </c>
      <c r="BR578" t="s">
        <v>100</v>
      </c>
      <c r="BS578" t="s">
        <v>10918</v>
      </c>
      <c r="BT578" t="str">
        <f>HYPERLINK("https%3A%2F%2Fwww.webofscience.com%2Fwos%2Fwoscc%2Ffull-record%2FWOS:000367113900007","View Full Record in Web of Science")</f>
        <v>View Full Record in Web of Science</v>
      </c>
    </row>
    <row r="579" spans="1:72" x14ac:dyDescent="0.15">
      <c r="A579" t="s">
        <v>72</v>
      </c>
      <c r="B579" t="s">
        <v>10919</v>
      </c>
      <c r="C579" t="s">
        <v>74</v>
      </c>
      <c r="D579" t="s">
        <v>74</v>
      </c>
      <c r="E579" t="s">
        <v>74</v>
      </c>
      <c r="F579" t="s">
        <v>10920</v>
      </c>
      <c r="G579" t="s">
        <v>74</v>
      </c>
      <c r="H579" t="s">
        <v>74</v>
      </c>
      <c r="I579" t="s">
        <v>10921</v>
      </c>
      <c r="J579" t="s">
        <v>6171</v>
      </c>
      <c r="K579" t="s">
        <v>74</v>
      </c>
      <c r="L579" t="s">
        <v>74</v>
      </c>
      <c r="M579" t="s">
        <v>200</v>
      </c>
      <c r="N579" t="s">
        <v>79</v>
      </c>
      <c r="O579" t="s">
        <v>74</v>
      </c>
      <c r="P579" t="s">
        <v>74</v>
      </c>
      <c r="Q579" t="s">
        <v>74</v>
      </c>
      <c r="R579" t="s">
        <v>74</v>
      </c>
      <c r="S579" t="s">
        <v>74</v>
      </c>
      <c r="T579" t="s">
        <v>10922</v>
      </c>
      <c r="U579" t="s">
        <v>10923</v>
      </c>
      <c r="V579" t="s">
        <v>10924</v>
      </c>
      <c r="W579" t="s">
        <v>10925</v>
      </c>
      <c r="X579" t="s">
        <v>10926</v>
      </c>
      <c r="Y579" t="s">
        <v>10927</v>
      </c>
      <c r="Z579" t="s">
        <v>10928</v>
      </c>
      <c r="AA579" t="s">
        <v>10929</v>
      </c>
      <c r="AB579" t="s">
        <v>10930</v>
      </c>
      <c r="AC579" t="s">
        <v>10931</v>
      </c>
      <c r="AD579" t="s">
        <v>10932</v>
      </c>
      <c r="AE579" t="s">
        <v>10933</v>
      </c>
      <c r="AF579" t="s">
        <v>74</v>
      </c>
      <c r="AG579">
        <v>64</v>
      </c>
      <c r="AH579">
        <v>48</v>
      </c>
      <c r="AI579">
        <v>54</v>
      </c>
      <c r="AJ579">
        <v>3</v>
      </c>
      <c r="AK579">
        <v>33</v>
      </c>
      <c r="AL579" t="s">
        <v>2410</v>
      </c>
      <c r="AM579" t="s">
        <v>1559</v>
      </c>
      <c r="AN579" t="s">
        <v>2411</v>
      </c>
      <c r="AO579" t="s">
        <v>6184</v>
      </c>
      <c r="AP579" t="s">
        <v>6185</v>
      </c>
      <c r="AQ579" t="s">
        <v>74</v>
      </c>
      <c r="AR579" t="s">
        <v>6171</v>
      </c>
      <c r="AS579" t="s">
        <v>6186</v>
      </c>
      <c r="AT579" t="s">
        <v>315</v>
      </c>
      <c r="AU579">
        <v>2016</v>
      </c>
      <c r="AV579">
        <v>31</v>
      </c>
      <c r="AW579">
        <v>1</v>
      </c>
      <c r="AX579" t="s">
        <v>74</v>
      </c>
      <c r="AY579" t="s">
        <v>74</v>
      </c>
      <c r="AZ579" t="s">
        <v>74</v>
      </c>
      <c r="BA579" t="s">
        <v>74</v>
      </c>
      <c r="BB579">
        <v>81</v>
      </c>
      <c r="BC579">
        <v>97</v>
      </c>
      <c r="BD579" t="s">
        <v>74</v>
      </c>
      <c r="BE579" t="s">
        <v>10934</v>
      </c>
      <c r="BF579" t="str">
        <f>HYPERLINK("http://dx.doi.org/10.1002/2015PA002820","http://dx.doi.org/10.1002/2015PA002820")</f>
        <v>http://dx.doi.org/10.1002/2015PA002820</v>
      </c>
      <c r="BG579" t="s">
        <v>74</v>
      </c>
      <c r="BH579" t="s">
        <v>74</v>
      </c>
      <c r="BI579">
        <v>17</v>
      </c>
      <c r="BJ579" t="s">
        <v>6188</v>
      </c>
      <c r="BK579" t="s">
        <v>264</v>
      </c>
      <c r="BL579" t="s">
        <v>6189</v>
      </c>
      <c r="BM579" t="s">
        <v>6190</v>
      </c>
      <c r="BN579" t="s">
        <v>74</v>
      </c>
      <c r="BO579" t="s">
        <v>10935</v>
      </c>
      <c r="BP579" t="s">
        <v>74</v>
      </c>
      <c r="BQ579" t="s">
        <v>74</v>
      </c>
      <c r="BR579" t="s">
        <v>100</v>
      </c>
      <c r="BS579" t="s">
        <v>10936</v>
      </c>
      <c r="BT579" t="str">
        <f>HYPERLINK("https%3A%2F%2Fwww.webofscience.com%2Fwos%2Fwoscc%2Ffull-record%2FWOS:000370351800005","View Full Record in Web of Science")</f>
        <v>View Full Record in Web of Science</v>
      </c>
    </row>
    <row r="580" spans="1:72" x14ac:dyDescent="0.15">
      <c r="A580" t="s">
        <v>72</v>
      </c>
      <c r="B580" t="s">
        <v>10937</v>
      </c>
      <c r="C580" t="s">
        <v>74</v>
      </c>
      <c r="D580" t="s">
        <v>74</v>
      </c>
      <c r="E580" t="s">
        <v>74</v>
      </c>
      <c r="F580" t="s">
        <v>10938</v>
      </c>
      <c r="G580" t="s">
        <v>74</v>
      </c>
      <c r="H580" t="s">
        <v>74</v>
      </c>
      <c r="I580" t="s">
        <v>10939</v>
      </c>
      <c r="J580" t="s">
        <v>10940</v>
      </c>
      <c r="K580" t="s">
        <v>74</v>
      </c>
      <c r="L580" t="s">
        <v>74</v>
      </c>
      <c r="M580" t="s">
        <v>200</v>
      </c>
      <c r="N580" t="s">
        <v>79</v>
      </c>
      <c r="O580" t="s">
        <v>74</v>
      </c>
      <c r="P580" t="s">
        <v>74</v>
      </c>
      <c r="Q580" t="s">
        <v>74</v>
      </c>
      <c r="R580" t="s">
        <v>74</v>
      </c>
      <c r="S580" t="s">
        <v>74</v>
      </c>
      <c r="T580" t="s">
        <v>10941</v>
      </c>
      <c r="U580" t="s">
        <v>74</v>
      </c>
      <c r="V580" t="s">
        <v>10942</v>
      </c>
      <c r="W580" t="s">
        <v>10943</v>
      </c>
      <c r="X580" t="s">
        <v>10944</v>
      </c>
      <c r="Y580" t="s">
        <v>10945</v>
      </c>
      <c r="Z580" t="s">
        <v>10946</v>
      </c>
      <c r="AA580" t="s">
        <v>10947</v>
      </c>
      <c r="AB580" t="s">
        <v>74</v>
      </c>
      <c r="AC580" t="s">
        <v>10948</v>
      </c>
      <c r="AD580" t="s">
        <v>74</v>
      </c>
      <c r="AE580" t="s">
        <v>10949</v>
      </c>
      <c r="AF580" t="s">
        <v>74</v>
      </c>
      <c r="AG580">
        <v>15</v>
      </c>
      <c r="AH580">
        <v>2</v>
      </c>
      <c r="AI580">
        <v>3</v>
      </c>
      <c r="AJ580">
        <v>0</v>
      </c>
      <c r="AK580">
        <v>0</v>
      </c>
      <c r="AL580" t="s">
        <v>10950</v>
      </c>
      <c r="AM580" t="s">
        <v>10951</v>
      </c>
      <c r="AN580" t="s">
        <v>10952</v>
      </c>
      <c r="AO580" t="s">
        <v>10953</v>
      </c>
      <c r="AP580" t="s">
        <v>10954</v>
      </c>
      <c r="AQ580" t="s">
        <v>74</v>
      </c>
      <c r="AR580" t="s">
        <v>10955</v>
      </c>
      <c r="AS580" t="s">
        <v>10956</v>
      </c>
      <c r="AT580" t="s">
        <v>74</v>
      </c>
      <c r="AU580">
        <v>2016</v>
      </c>
      <c r="AV580" t="s">
        <v>74</v>
      </c>
      <c r="AW580">
        <v>6</v>
      </c>
      <c r="AX580" t="s">
        <v>74</v>
      </c>
      <c r="AY580" t="s">
        <v>74</v>
      </c>
      <c r="AZ580" t="s">
        <v>74</v>
      </c>
      <c r="BA580" t="s">
        <v>74</v>
      </c>
      <c r="BB580">
        <v>56</v>
      </c>
      <c r="BC580">
        <v>66</v>
      </c>
      <c r="BD580" t="s">
        <v>74</v>
      </c>
      <c r="BE580" t="s">
        <v>10957</v>
      </c>
      <c r="BF580" t="str">
        <f>HYPERLINK("http://dx.doi.org/10.22449/1573-160X-2016-6-56-66","http://dx.doi.org/10.22449/1573-160X-2016-6-56-66")</f>
        <v>http://dx.doi.org/10.22449/1573-160X-2016-6-56-66</v>
      </c>
      <c r="BG580" t="s">
        <v>74</v>
      </c>
      <c r="BH580" t="s">
        <v>74</v>
      </c>
      <c r="BI580">
        <v>11</v>
      </c>
      <c r="BJ580" t="s">
        <v>5339</v>
      </c>
      <c r="BK580" t="s">
        <v>96</v>
      </c>
      <c r="BL580" t="s">
        <v>5339</v>
      </c>
      <c r="BM580" t="s">
        <v>10958</v>
      </c>
      <c r="BN580" t="s">
        <v>74</v>
      </c>
      <c r="BO580" t="s">
        <v>99</v>
      </c>
      <c r="BP580" t="s">
        <v>74</v>
      </c>
      <c r="BQ580" t="s">
        <v>74</v>
      </c>
      <c r="BR580" t="s">
        <v>100</v>
      </c>
      <c r="BS580" t="s">
        <v>10959</v>
      </c>
      <c r="BT580" t="str">
        <f>HYPERLINK("https%3A%2F%2Fwww.webofscience.com%2Fwos%2Fwoscc%2Ffull-record%2FWOS:000452651400006","View Full Record in Web of Science")</f>
        <v>View Full Record in Web of Science</v>
      </c>
    </row>
    <row r="581" spans="1:72" x14ac:dyDescent="0.15">
      <c r="A581" t="s">
        <v>72</v>
      </c>
      <c r="B581" t="s">
        <v>10960</v>
      </c>
      <c r="C581" t="s">
        <v>74</v>
      </c>
      <c r="D581" t="s">
        <v>74</v>
      </c>
      <c r="E581" t="s">
        <v>74</v>
      </c>
      <c r="F581" t="s">
        <v>10961</v>
      </c>
      <c r="G581" t="s">
        <v>74</v>
      </c>
      <c r="H581" t="s">
        <v>74</v>
      </c>
      <c r="I581" t="s">
        <v>10962</v>
      </c>
      <c r="J581" t="s">
        <v>10963</v>
      </c>
      <c r="K581" t="s">
        <v>74</v>
      </c>
      <c r="L581" t="s">
        <v>74</v>
      </c>
      <c r="M581" t="s">
        <v>200</v>
      </c>
      <c r="N581" t="s">
        <v>79</v>
      </c>
      <c r="O581" t="s">
        <v>74</v>
      </c>
      <c r="P581" t="s">
        <v>74</v>
      </c>
      <c r="Q581" t="s">
        <v>74</v>
      </c>
      <c r="R581" t="s">
        <v>74</v>
      </c>
      <c r="S581" t="s">
        <v>74</v>
      </c>
      <c r="T581" t="s">
        <v>10964</v>
      </c>
      <c r="U581" t="s">
        <v>10965</v>
      </c>
      <c r="V581" t="s">
        <v>10966</v>
      </c>
      <c r="W581" t="s">
        <v>10967</v>
      </c>
      <c r="X581" t="s">
        <v>10968</v>
      </c>
      <c r="Y581" t="s">
        <v>10969</v>
      </c>
      <c r="Z581" t="s">
        <v>10970</v>
      </c>
      <c r="AA581" t="s">
        <v>74</v>
      </c>
      <c r="AB581" t="s">
        <v>74</v>
      </c>
      <c r="AC581" t="s">
        <v>10971</v>
      </c>
      <c r="AD581" t="s">
        <v>10972</v>
      </c>
      <c r="AE581" t="s">
        <v>10973</v>
      </c>
      <c r="AF581" t="s">
        <v>74</v>
      </c>
      <c r="AG581">
        <v>67</v>
      </c>
      <c r="AH581">
        <v>30</v>
      </c>
      <c r="AI581">
        <v>33</v>
      </c>
      <c r="AJ581">
        <v>0</v>
      </c>
      <c r="AK581">
        <v>39</v>
      </c>
      <c r="AL581" t="s">
        <v>5531</v>
      </c>
      <c r="AM581" t="s">
        <v>5532</v>
      </c>
      <c r="AN581" t="s">
        <v>5533</v>
      </c>
      <c r="AO581" t="s">
        <v>10974</v>
      </c>
      <c r="AP581" t="s">
        <v>10975</v>
      </c>
      <c r="AQ581" t="s">
        <v>74</v>
      </c>
      <c r="AR581" t="s">
        <v>10976</v>
      </c>
      <c r="AS581" t="s">
        <v>10977</v>
      </c>
      <c r="AT581" t="s">
        <v>4470</v>
      </c>
      <c r="AU581">
        <v>2016</v>
      </c>
      <c r="AV581">
        <v>89</v>
      </c>
      <c r="AW581">
        <v>1</v>
      </c>
      <c r="AX581" t="s">
        <v>74</v>
      </c>
      <c r="AY581" t="s">
        <v>74</v>
      </c>
      <c r="AZ581" t="s">
        <v>74</v>
      </c>
      <c r="BA581" t="s">
        <v>74</v>
      </c>
      <c r="BB581">
        <v>1</v>
      </c>
      <c r="BC581">
        <v>9</v>
      </c>
      <c r="BD581" t="s">
        <v>74</v>
      </c>
      <c r="BE581" t="s">
        <v>10978</v>
      </c>
      <c r="BF581" t="str">
        <f>HYPERLINK("http://dx.doi.org/10.1086/684812","http://dx.doi.org/10.1086/684812")</f>
        <v>http://dx.doi.org/10.1086/684812</v>
      </c>
      <c r="BG581" t="s">
        <v>74</v>
      </c>
      <c r="BH581" t="s">
        <v>74</v>
      </c>
      <c r="BI581">
        <v>9</v>
      </c>
      <c r="BJ581" t="s">
        <v>9892</v>
      </c>
      <c r="BK581" t="s">
        <v>264</v>
      </c>
      <c r="BL581" t="s">
        <v>9892</v>
      </c>
      <c r="BM581" t="s">
        <v>10979</v>
      </c>
      <c r="BN581">
        <v>27082520</v>
      </c>
      <c r="BO581" t="s">
        <v>74</v>
      </c>
      <c r="BP581" t="s">
        <v>74</v>
      </c>
      <c r="BQ581" t="s">
        <v>74</v>
      </c>
      <c r="BR581" t="s">
        <v>100</v>
      </c>
      <c r="BS581" t="s">
        <v>10980</v>
      </c>
      <c r="BT581" t="str">
        <f>HYPERLINK("https%3A%2F%2Fwww.webofscience.com%2Fwos%2Fwoscc%2Ffull-record%2FWOS:000368560000002","View Full Record in Web of Science")</f>
        <v>View Full Record in Web of Science</v>
      </c>
    </row>
    <row r="582" spans="1:72" x14ac:dyDescent="0.15">
      <c r="A582" t="s">
        <v>72</v>
      </c>
      <c r="B582" t="s">
        <v>10981</v>
      </c>
      <c r="C582" t="s">
        <v>74</v>
      </c>
      <c r="D582" t="s">
        <v>74</v>
      </c>
      <c r="E582" t="s">
        <v>74</v>
      </c>
      <c r="F582" t="s">
        <v>10982</v>
      </c>
      <c r="G582" t="s">
        <v>74</v>
      </c>
      <c r="H582" t="s">
        <v>74</v>
      </c>
      <c r="I582" t="s">
        <v>10983</v>
      </c>
      <c r="J582" t="s">
        <v>6454</v>
      </c>
      <c r="K582" t="s">
        <v>74</v>
      </c>
      <c r="L582" t="s">
        <v>74</v>
      </c>
      <c r="M582" t="s">
        <v>200</v>
      </c>
      <c r="N582" t="s">
        <v>8638</v>
      </c>
      <c r="O582" t="s">
        <v>74</v>
      </c>
      <c r="P582" t="s">
        <v>74</v>
      </c>
      <c r="Q582" t="s">
        <v>74</v>
      </c>
      <c r="R582" t="s">
        <v>74</v>
      </c>
      <c r="S582" t="s">
        <v>74</v>
      </c>
      <c r="T582" t="s">
        <v>10984</v>
      </c>
      <c r="U582" t="s">
        <v>10985</v>
      </c>
      <c r="V582" t="s">
        <v>10986</v>
      </c>
      <c r="W582" t="s">
        <v>10987</v>
      </c>
      <c r="X582" t="s">
        <v>10988</v>
      </c>
      <c r="Y582" t="s">
        <v>10989</v>
      </c>
      <c r="Z582" t="s">
        <v>10990</v>
      </c>
      <c r="AA582" t="s">
        <v>10991</v>
      </c>
      <c r="AB582" t="s">
        <v>10992</v>
      </c>
      <c r="AC582" t="s">
        <v>74</v>
      </c>
      <c r="AD582" t="s">
        <v>74</v>
      </c>
      <c r="AE582" t="s">
        <v>74</v>
      </c>
      <c r="AF582" t="s">
        <v>74</v>
      </c>
      <c r="AG582">
        <v>85</v>
      </c>
      <c r="AH582">
        <v>5</v>
      </c>
      <c r="AI582">
        <v>5</v>
      </c>
      <c r="AJ582">
        <v>1</v>
      </c>
      <c r="AK582">
        <v>15</v>
      </c>
      <c r="AL582" t="s">
        <v>3560</v>
      </c>
      <c r="AM582" t="s">
        <v>289</v>
      </c>
      <c r="AN582" t="s">
        <v>6124</v>
      </c>
      <c r="AO582" t="s">
        <v>6470</v>
      </c>
      <c r="AP582" t="s">
        <v>6471</v>
      </c>
      <c r="AQ582" t="s">
        <v>74</v>
      </c>
      <c r="AR582" t="s">
        <v>6472</v>
      </c>
      <c r="AS582" t="s">
        <v>6473</v>
      </c>
      <c r="AT582" t="s">
        <v>315</v>
      </c>
      <c r="AU582">
        <v>2016</v>
      </c>
      <c r="AV582">
        <v>39</v>
      </c>
      <c r="AW582">
        <v>1</v>
      </c>
      <c r="AX582" t="s">
        <v>74</v>
      </c>
      <c r="AY582" t="s">
        <v>74</v>
      </c>
      <c r="AZ582" t="s">
        <v>2540</v>
      </c>
      <c r="BA582" t="s">
        <v>74</v>
      </c>
      <c r="BB582">
        <v>1</v>
      </c>
      <c r="BC582">
        <v>10</v>
      </c>
      <c r="BD582" t="s">
        <v>74</v>
      </c>
      <c r="BE582" t="s">
        <v>10993</v>
      </c>
      <c r="BF582" t="str">
        <f>HYPERLINK("http://dx.doi.org/10.1007/s00300-015-1852-3","http://dx.doi.org/10.1007/s00300-015-1852-3")</f>
        <v>http://dx.doi.org/10.1007/s00300-015-1852-3</v>
      </c>
      <c r="BG582" t="s">
        <v>74</v>
      </c>
      <c r="BH582" t="s">
        <v>74</v>
      </c>
      <c r="BI582">
        <v>10</v>
      </c>
      <c r="BJ582" t="s">
        <v>6475</v>
      </c>
      <c r="BK582" t="s">
        <v>264</v>
      </c>
      <c r="BL582" t="s">
        <v>6476</v>
      </c>
      <c r="BM582" t="s">
        <v>6477</v>
      </c>
      <c r="BN582" t="s">
        <v>74</v>
      </c>
      <c r="BO582" t="s">
        <v>486</v>
      </c>
      <c r="BP582" t="s">
        <v>74</v>
      </c>
      <c r="BQ582" t="s">
        <v>74</v>
      </c>
      <c r="BR582" t="s">
        <v>100</v>
      </c>
      <c r="BS582" t="s">
        <v>10994</v>
      </c>
      <c r="BT582" t="str">
        <f>HYPERLINK("https%3A%2F%2Fwww.webofscience.com%2Fwos%2Fwoscc%2Ffull-record%2FWOS:000369067100001","View Full Record in Web of Science")</f>
        <v>View Full Record in Web of Science</v>
      </c>
    </row>
    <row r="583" spans="1:72" x14ac:dyDescent="0.15">
      <c r="A583" t="s">
        <v>72</v>
      </c>
      <c r="B583" t="s">
        <v>10995</v>
      </c>
      <c r="C583" t="s">
        <v>74</v>
      </c>
      <c r="D583" t="s">
        <v>74</v>
      </c>
      <c r="E583" t="s">
        <v>74</v>
      </c>
      <c r="F583" t="s">
        <v>10996</v>
      </c>
      <c r="G583" t="s">
        <v>74</v>
      </c>
      <c r="H583" t="s">
        <v>74</v>
      </c>
      <c r="I583" t="s">
        <v>10997</v>
      </c>
      <c r="J583" t="s">
        <v>6454</v>
      </c>
      <c r="K583" t="s">
        <v>74</v>
      </c>
      <c r="L583" t="s">
        <v>74</v>
      </c>
      <c r="M583" t="s">
        <v>200</v>
      </c>
      <c r="N583" t="s">
        <v>1639</v>
      </c>
      <c r="O583" t="s">
        <v>6455</v>
      </c>
      <c r="P583" t="s">
        <v>6456</v>
      </c>
      <c r="Q583" t="s">
        <v>6457</v>
      </c>
      <c r="R583" t="s">
        <v>74</v>
      </c>
      <c r="S583" t="s">
        <v>74</v>
      </c>
      <c r="T583" t="s">
        <v>10998</v>
      </c>
      <c r="U583" t="s">
        <v>10999</v>
      </c>
      <c r="V583" t="s">
        <v>11000</v>
      </c>
      <c r="W583" t="s">
        <v>11001</v>
      </c>
      <c r="X583" t="s">
        <v>11002</v>
      </c>
      <c r="Y583" t="s">
        <v>11003</v>
      </c>
      <c r="Z583" t="s">
        <v>11004</v>
      </c>
      <c r="AA583" t="s">
        <v>11005</v>
      </c>
      <c r="AB583" t="s">
        <v>11006</v>
      </c>
      <c r="AC583" t="s">
        <v>11007</v>
      </c>
      <c r="AD583" t="s">
        <v>11008</v>
      </c>
      <c r="AE583" t="s">
        <v>11009</v>
      </c>
      <c r="AF583" t="s">
        <v>74</v>
      </c>
      <c r="AG583">
        <v>94</v>
      </c>
      <c r="AH583">
        <v>30</v>
      </c>
      <c r="AI583">
        <v>32</v>
      </c>
      <c r="AJ583">
        <v>0</v>
      </c>
      <c r="AK583">
        <v>22</v>
      </c>
      <c r="AL583" t="s">
        <v>3560</v>
      </c>
      <c r="AM583" t="s">
        <v>289</v>
      </c>
      <c r="AN583" t="s">
        <v>6124</v>
      </c>
      <c r="AO583" t="s">
        <v>6470</v>
      </c>
      <c r="AP583" t="s">
        <v>6471</v>
      </c>
      <c r="AQ583" t="s">
        <v>74</v>
      </c>
      <c r="AR583" t="s">
        <v>6472</v>
      </c>
      <c r="AS583" t="s">
        <v>6473</v>
      </c>
      <c r="AT583" t="s">
        <v>315</v>
      </c>
      <c r="AU583">
        <v>2016</v>
      </c>
      <c r="AV583">
        <v>39</v>
      </c>
      <c r="AW583">
        <v>1</v>
      </c>
      <c r="AX583" t="s">
        <v>74</v>
      </c>
      <c r="AY583" t="s">
        <v>74</v>
      </c>
      <c r="AZ583" t="s">
        <v>2540</v>
      </c>
      <c r="BA583" t="s">
        <v>74</v>
      </c>
      <c r="BB583">
        <v>65</v>
      </c>
      <c r="BC583">
        <v>76</v>
      </c>
      <c r="BD583" t="s">
        <v>74</v>
      </c>
      <c r="BE583" t="s">
        <v>11010</v>
      </c>
      <c r="BF583" t="str">
        <f>HYPERLINK("http://dx.doi.org/10.1007/s00300-014-1606-7","http://dx.doi.org/10.1007/s00300-014-1606-7")</f>
        <v>http://dx.doi.org/10.1007/s00300-014-1606-7</v>
      </c>
      <c r="BG583" t="s">
        <v>74</v>
      </c>
      <c r="BH583" t="s">
        <v>74</v>
      </c>
      <c r="BI583">
        <v>12</v>
      </c>
      <c r="BJ583" t="s">
        <v>6475</v>
      </c>
      <c r="BK583" t="s">
        <v>1661</v>
      </c>
      <c r="BL583" t="s">
        <v>6476</v>
      </c>
      <c r="BM583" t="s">
        <v>6477</v>
      </c>
      <c r="BN583" t="s">
        <v>74</v>
      </c>
      <c r="BO583" t="s">
        <v>431</v>
      </c>
      <c r="BP583" t="s">
        <v>74</v>
      </c>
      <c r="BQ583" t="s">
        <v>74</v>
      </c>
      <c r="BR583" t="s">
        <v>100</v>
      </c>
      <c r="BS583" t="s">
        <v>11011</v>
      </c>
      <c r="BT583" t="str">
        <f>HYPERLINK("https%3A%2F%2Fwww.webofscience.com%2Fwos%2Fwoscc%2Ffull-record%2FWOS:000369067100007","View Full Record in Web of Science")</f>
        <v>View Full Record in Web of Science</v>
      </c>
    </row>
    <row r="584" spans="1:72" x14ac:dyDescent="0.15">
      <c r="A584" t="s">
        <v>72</v>
      </c>
      <c r="B584" t="s">
        <v>11012</v>
      </c>
      <c r="C584" t="s">
        <v>74</v>
      </c>
      <c r="D584" t="s">
        <v>74</v>
      </c>
      <c r="E584" t="s">
        <v>74</v>
      </c>
      <c r="F584" t="s">
        <v>11013</v>
      </c>
      <c r="G584" t="s">
        <v>74</v>
      </c>
      <c r="H584" t="s">
        <v>74</v>
      </c>
      <c r="I584" t="s">
        <v>11014</v>
      </c>
      <c r="J584" t="s">
        <v>6454</v>
      </c>
      <c r="K584" t="s">
        <v>74</v>
      </c>
      <c r="L584" t="s">
        <v>74</v>
      </c>
      <c r="M584" t="s">
        <v>200</v>
      </c>
      <c r="N584" t="s">
        <v>1639</v>
      </c>
      <c r="O584" t="s">
        <v>6455</v>
      </c>
      <c r="P584" t="s">
        <v>6456</v>
      </c>
      <c r="Q584" t="s">
        <v>6457</v>
      </c>
      <c r="R584" t="s">
        <v>74</v>
      </c>
      <c r="S584" t="s">
        <v>74</v>
      </c>
      <c r="T584" t="s">
        <v>11015</v>
      </c>
      <c r="U584" t="s">
        <v>11016</v>
      </c>
      <c r="V584" t="s">
        <v>11017</v>
      </c>
      <c r="W584" t="s">
        <v>11018</v>
      </c>
      <c r="X584" t="s">
        <v>11019</v>
      </c>
      <c r="Y584" t="s">
        <v>11020</v>
      </c>
      <c r="Z584" t="s">
        <v>11021</v>
      </c>
      <c r="AA584" t="s">
        <v>11022</v>
      </c>
      <c r="AB584" t="s">
        <v>11023</v>
      </c>
      <c r="AC584" t="s">
        <v>11024</v>
      </c>
      <c r="AD584" t="s">
        <v>11025</v>
      </c>
      <c r="AE584" t="s">
        <v>11026</v>
      </c>
      <c r="AF584" t="s">
        <v>74</v>
      </c>
      <c r="AG584">
        <v>106</v>
      </c>
      <c r="AH584">
        <v>15</v>
      </c>
      <c r="AI584">
        <v>18</v>
      </c>
      <c r="AJ584">
        <v>0</v>
      </c>
      <c r="AK584">
        <v>13</v>
      </c>
      <c r="AL584" t="s">
        <v>3560</v>
      </c>
      <c r="AM584" t="s">
        <v>289</v>
      </c>
      <c r="AN584" t="s">
        <v>6124</v>
      </c>
      <c r="AO584" t="s">
        <v>6470</v>
      </c>
      <c r="AP584" t="s">
        <v>6471</v>
      </c>
      <c r="AQ584" t="s">
        <v>74</v>
      </c>
      <c r="AR584" t="s">
        <v>6472</v>
      </c>
      <c r="AS584" t="s">
        <v>6473</v>
      </c>
      <c r="AT584" t="s">
        <v>315</v>
      </c>
      <c r="AU584">
        <v>2016</v>
      </c>
      <c r="AV584">
        <v>39</v>
      </c>
      <c r="AW584">
        <v>1</v>
      </c>
      <c r="AX584" t="s">
        <v>74</v>
      </c>
      <c r="AY584" t="s">
        <v>74</v>
      </c>
      <c r="AZ584" t="s">
        <v>2540</v>
      </c>
      <c r="BA584" t="s">
        <v>74</v>
      </c>
      <c r="BB584">
        <v>77</v>
      </c>
      <c r="BC584">
        <v>89</v>
      </c>
      <c r="BD584" t="s">
        <v>74</v>
      </c>
      <c r="BE584" t="s">
        <v>11027</v>
      </c>
      <c r="BF584" t="str">
        <f>HYPERLINK("http://dx.doi.org/10.1007/s00300-014-1620-9","http://dx.doi.org/10.1007/s00300-014-1620-9")</f>
        <v>http://dx.doi.org/10.1007/s00300-014-1620-9</v>
      </c>
      <c r="BG584" t="s">
        <v>74</v>
      </c>
      <c r="BH584" t="s">
        <v>74</v>
      </c>
      <c r="BI584">
        <v>13</v>
      </c>
      <c r="BJ584" t="s">
        <v>6475</v>
      </c>
      <c r="BK584" t="s">
        <v>1661</v>
      </c>
      <c r="BL584" t="s">
        <v>6476</v>
      </c>
      <c r="BM584" t="s">
        <v>6477</v>
      </c>
      <c r="BN584" t="s">
        <v>74</v>
      </c>
      <c r="BO584" t="s">
        <v>403</v>
      </c>
      <c r="BP584" t="s">
        <v>74</v>
      </c>
      <c r="BQ584" t="s">
        <v>74</v>
      </c>
      <c r="BR584" t="s">
        <v>100</v>
      </c>
      <c r="BS584" t="s">
        <v>11028</v>
      </c>
      <c r="BT584" t="str">
        <f>HYPERLINK("https%3A%2F%2Fwww.webofscience.com%2Fwos%2Fwoscc%2Ffull-record%2FWOS:000369067100008","View Full Record in Web of Science")</f>
        <v>View Full Record in Web of Science</v>
      </c>
    </row>
    <row r="585" spans="1:72" x14ac:dyDescent="0.15">
      <c r="A585" t="s">
        <v>72</v>
      </c>
      <c r="B585" t="s">
        <v>11029</v>
      </c>
      <c r="C585" t="s">
        <v>74</v>
      </c>
      <c r="D585" t="s">
        <v>74</v>
      </c>
      <c r="E585" t="s">
        <v>74</v>
      </c>
      <c r="F585" t="s">
        <v>11030</v>
      </c>
      <c r="G585" t="s">
        <v>74</v>
      </c>
      <c r="H585" t="s">
        <v>74</v>
      </c>
      <c r="I585" t="s">
        <v>11031</v>
      </c>
      <c r="J585" t="s">
        <v>6454</v>
      </c>
      <c r="K585" t="s">
        <v>74</v>
      </c>
      <c r="L585" t="s">
        <v>74</v>
      </c>
      <c r="M585" t="s">
        <v>200</v>
      </c>
      <c r="N585" t="s">
        <v>1639</v>
      </c>
      <c r="O585" t="s">
        <v>6455</v>
      </c>
      <c r="P585" t="s">
        <v>6456</v>
      </c>
      <c r="Q585" t="s">
        <v>6457</v>
      </c>
      <c r="R585" t="s">
        <v>74</v>
      </c>
      <c r="S585" t="s">
        <v>74</v>
      </c>
      <c r="T585" t="s">
        <v>11032</v>
      </c>
      <c r="U585" t="s">
        <v>11033</v>
      </c>
      <c r="V585" t="s">
        <v>11034</v>
      </c>
      <c r="W585" t="s">
        <v>11035</v>
      </c>
      <c r="X585" t="s">
        <v>11036</v>
      </c>
      <c r="Y585" t="s">
        <v>11037</v>
      </c>
      <c r="Z585" t="s">
        <v>9310</v>
      </c>
      <c r="AA585" t="s">
        <v>11038</v>
      </c>
      <c r="AB585" t="s">
        <v>11039</v>
      </c>
      <c r="AC585" t="s">
        <v>11040</v>
      </c>
      <c r="AD585" t="s">
        <v>11040</v>
      </c>
      <c r="AE585" t="s">
        <v>11041</v>
      </c>
      <c r="AF585" t="s">
        <v>74</v>
      </c>
      <c r="AG585">
        <v>24</v>
      </c>
      <c r="AH585">
        <v>27</v>
      </c>
      <c r="AI585">
        <v>29</v>
      </c>
      <c r="AJ585">
        <v>0</v>
      </c>
      <c r="AK585">
        <v>12</v>
      </c>
      <c r="AL585" t="s">
        <v>3560</v>
      </c>
      <c r="AM585" t="s">
        <v>289</v>
      </c>
      <c r="AN585" t="s">
        <v>5440</v>
      </c>
      <c r="AO585" t="s">
        <v>6470</v>
      </c>
      <c r="AP585" t="s">
        <v>6471</v>
      </c>
      <c r="AQ585" t="s">
        <v>74</v>
      </c>
      <c r="AR585" t="s">
        <v>6472</v>
      </c>
      <c r="AS585" t="s">
        <v>6473</v>
      </c>
      <c r="AT585" t="s">
        <v>315</v>
      </c>
      <c r="AU585">
        <v>2016</v>
      </c>
      <c r="AV585">
        <v>39</v>
      </c>
      <c r="AW585">
        <v>1</v>
      </c>
      <c r="AX585" t="s">
        <v>74</v>
      </c>
      <c r="AY585" t="s">
        <v>74</v>
      </c>
      <c r="AZ585" t="s">
        <v>2540</v>
      </c>
      <c r="BA585" t="s">
        <v>74</v>
      </c>
      <c r="BB585">
        <v>91</v>
      </c>
      <c r="BC585">
        <v>102</v>
      </c>
      <c r="BD585" t="s">
        <v>74</v>
      </c>
      <c r="BE585" t="s">
        <v>11042</v>
      </c>
      <c r="BF585" t="str">
        <f>HYPERLINK("http://dx.doi.org/10.1007/s00300-014-1624-5","http://dx.doi.org/10.1007/s00300-014-1624-5")</f>
        <v>http://dx.doi.org/10.1007/s00300-014-1624-5</v>
      </c>
      <c r="BG585" t="s">
        <v>74</v>
      </c>
      <c r="BH585" t="s">
        <v>74</v>
      </c>
      <c r="BI585">
        <v>12</v>
      </c>
      <c r="BJ585" t="s">
        <v>6475</v>
      </c>
      <c r="BK585" t="s">
        <v>1661</v>
      </c>
      <c r="BL585" t="s">
        <v>6476</v>
      </c>
      <c r="BM585" t="s">
        <v>6477</v>
      </c>
      <c r="BN585" t="s">
        <v>74</v>
      </c>
      <c r="BO585" t="s">
        <v>74</v>
      </c>
      <c r="BP585" t="s">
        <v>74</v>
      </c>
      <c r="BQ585" t="s">
        <v>74</v>
      </c>
      <c r="BR585" t="s">
        <v>100</v>
      </c>
      <c r="BS585" t="s">
        <v>11043</v>
      </c>
      <c r="BT585" t="str">
        <f>HYPERLINK("https%3A%2F%2Fwww.webofscience.com%2Fwos%2Fwoscc%2Ffull-record%2FWOS:000369067100009","View Full Record in Web of Science")</f>
        <v>View Full Record in Web of Science</v>
      </c>
    </row>
    <row r="586" spans="1:72" x14ac:dyDescent="0.15">
      <c r="A586" t="s">
        <v>72</v>
      </c>
      <c r="B586" t="s">
        <v>11044</v>
      </c>
      <c r="C586" t="s">
        <v>74</v>
      </c>
      <c r="D586" t="s">
        <v>74</v>
      </c>
      <c r="E586" t="s">
        <v>74</v>
      </c>
      <c r="F586" t="s">
        <v>11045</v>
      </c>
      <c r="G586" t="s">
        <v>74</v>
      </c>
      <c r="H586" t="s">
        <v>74</v>
      </c>
      <c r="I586" t="s">
        <v>11046</v>
      </c>
      <c r="J586" t="s">
        <v>6454</v>
      </c>
      <c r="K586" t="s">
        <v>74</v>
      </c>
      <c r="L586" t="s">
        <v>74</v>
      </c>
      <c r="M586" t="s">
        <v>200</v>
      </c>
      <c r="N586" t="s">
        <v>1639</v>
      </c>
      <c r="O586" t="s">
        <v>6455</v>
      </c>
      <c r="P586" t="s">
        <v>6456</v>
      </c>
      <c r="Q586" t="s">
        <v>6457</v>
      </c>
      <c r="R586" t="s">
        <v>74</v>
      </c>
      <c r="S586" t="s">
        <v>74</v>
      </c>
      <c r="T586" t="s">
        <v>11047</v>
      </c>
      <c r="U586" t="s">
        <v>11048</v>
      </c>
      <c r="V586" t="s">
        <v>11049</v>
      </c>
      <c r="W586" t="s">
        <v>11050</v>
      </c>
      <c r="X586" t="s">
        <v>11051</v>
      </c>
      <c r="Y586" t="s">
        <v>11052</v>
      </c>
      <c r="Z586" t="s">
        <v>11053</v>
      </c>
      <c r="AA586" t="s">
        <v>11054</v>
      </c>
      <c r="AB586" t="s">
        <v>11055</v>
      </c>
      <c r="AC586" t="s">
        <v>11056</v>
      </c>
      <c r="AD586" t="s">
        <v>11057</v>
      </c>
      <c r="AE586" t="s">
        <v>11058</v>
      </c>
      <c r="AF586" t="s">
        <v>74</v>
      </c>
      <c r="AG586">
        <v>80</v>
      </c>
      <c r="AH586">
        <v>17</v>
      </c>
      <c r="AI586">
        <v>18</v>
      </c>
      <c r="AJ586">
        <v>0</v>
      </c>
      <c r="AK586">
        <v>33</v>
      </c>
      <c r="AL586" t="s">
        <v>3560</v>
      </c>
      <c r="AM586" t="s">
        <v>289</v>
      </c>
      <c r="AN586" t="s">
        <v>5440</v>
      </c>
      <c r="AO586" t="s">
        <v>6470</v>
      </c>
      <c r="AP586" t="s">
        <v>6471</v>
      </c>
      <c r="AQ586" t="s">
        <v>74</v>
      </c>
      <c r="AR586" t="s">
        <v>6472</v>
      </c>
      <c r="AS586" t="s">
        <v>6473</v>
      </c>
      <c r="AT586" t="s">
        <v>315</v>
      </c>
      <c r="AU586">
        <v>2016</v>
      </c>
      <c r="AV586">
        <v>39</v>
      </c>
      <c r="AW586">
        <v>1</v>
      </c>
      <c r="AX586" t="s">
        <v>74</v>
      </c>
      <c r="AY586" t="s">
        <v>74</v>
      </c>
      <c r="AZ586" t="s">
        <v>2540</v>
      </c>
      <c r="BA586" t="s">
        <v>74</v>
      </c>
      <c r="BB586">
        <v>123</v>
      </c>
      <c r="BC586">
        <v>137</v>
      </c>
      <c r="BD586" t="s">
        <v>74</v>
      </c>
      <c r="BE586" t="s">
        <v>11059</v>
      </c>
      <c r="BF586" t="str">
        <f>HYPERLINK("http://dx.doi.org/10.1007/s00300-015-1678-z","http://dx.doi.org/10.1007/s00300-015-1678-z")</f>
        <v>http://dx.doi.org/10.1007/s00300-015-1678-z</v>
      </c>
      <c r="BG586" t="s">
        <v>74</v>
      </c>
      <c r="BH586" t="s">
        <v>74</v>
      </c>
      <c r="BI586">
        <v>15</v>
      </c>
      <c r="BJ586" t="s">
        <v>6475</v>
      </c>
      <c r="BK586" t="s">
        <v>1661</v>
      </c>
      <c r="BL586" t="s">
        <v>6476</v>
      </c>
      <c r="BM586" t="s">
        <v>6477</v>
      </c>
      <c r="BN586" t="s">
        <v>74</v>
      </c>
      <c r="BO586" t="s">
        <v>241</v>
      </c>
      <c r="BP586" t="s">
        <v>74</v>
      </c>
      <c r="BQ586" t="s">
        <v>74</v>
      </c>
      <c r="BR586" t="s">
        <v>100</v>
      </c>
      <c r="BS586" t="s">
        <v>11060</v>
      </c>
      <c r="BT586" t="str">
        <f>HYPERLINK("https%3A%2F%2Fwww.webofscience.com%2Fwos%2Fwoscc%2Ffull-record%2FWOS:000369067100012","View Full Record in Web of Science")</f>
        <v>View Full Record in Web of Science</v>
      </c>
    </row>
    <row r="587" spans="1:72" x14ac:dyDescent="0.15">
      <c r="A587" t="s">
        <v>72</v>
      </c>
      <c r="B587" t="s">
        <v>11061</v>
      </c>
      <c r="C587" t="s">
        <v>74</v>
      </c>
      <c r="D587" t="s">
        <v>74</v>
      </c>
      <c r="E587" t="s">
        <v>74</v>
      </c>
      <c r="F587" t="s">
        <v>11062</v>
      </c>
      <c r="G587" t="s">
        <v>74</v>
      </c>
      <c r="H587" t="s">
        <v>74</v>
      </c>
      <c r="I587" t="s">
        <v>11063</v>
      </c>
      <c r="J587" t="s">
        <v>6454</v>
      </c>
      <c r="K587" t="s">
        <v>74</v>
      </c>
      <c r="L587" t="s">
        <v>74</v>
      </c>
      <c r="M587" t="s">
        <v>200</v>
      </c>
      <c r="N587" t="s">
        <v>1639</v>
      </c>
      <c r="O587" t="s">
        <v>6455</v>
      </c>
      <c r="P587" t="s">
        <v>6456</v>
      </c>
      <c r="Q587" t="s">
        <v>6457</v>
      </c>
      <c r="R587" t="s">
        <v>74</v>
      </c>
      <c r="S587" t="s">
        <v>74</v>
      </c>
      <c r="T587" t="s">
        <v>11064</v>
      </c>
      <c r="U587" t="s">
        <v>11065</v>
      </c>
      <c r="V587" t="s">
        <v>11066</v>
      </c>
      <c r="W587" t="s">
        <v>11067</v>
      </c>
      <c r="X587" t="s">
        <v>11068</v>
      </c>
      <c r="Y587" t="s">
        <v>11069</v>
      </c>
      <c r="Z587" t="s">
        <v>11070</v>
      </c>
      <c r="AA587" t="s">
        <v>11071</v>
      </c>
      <c r="AB587" t="s">
        <v>11072</v>
      </c>
      <c r="AC587" t="s">
        <v>11073</v>
      </c>
      <c r="AD587" t="s">
        <v>11074</v>
      </c>
      <c r="AE587" t="s">
        <v>11075</v>
      </c>
      <c r="AF587" t="s">
        <v>74</v>
      </c>
      <c r="AG587">
        <v>71</v>
      </c>
      <c r="AH587">
        <v>58</v>
      </c>
      <c r="AI587">
        <v>60</v>
      </c>
      <c r="AJ587">
        <v>0</v>
      </c>
      <c r="AK587">
        <v>39</v>
      </c>
      <c r="AL587" t="s">
        <v>3560</v>
      </c>
      <c r="AM587" t="s">
        <v>289</v>
      </c>
      <c r="AN587" t="s">
        <v>5440</v>
      </c>
      <c r="AO587" t="s">
        <v>6470</v>
      </c>
      <c r="AP587" t="s">
        <v>6471</v>
      </c>
      <c r="AQ587" t="s">
        <v>74</v>
      </c>
      <c r="AR587" t="s">
        <v>6472</v>
      </c>
      <c r="AS587" t="s">
        <v>6473</v>
      </c>
      <c r="AT587" t="s">
        <v>315</v>
      </c>
      <c r="AU587">
        <v>2016</v>
      </c>
      <c r="AV587">
        <v>39</v>
      </c>
      <c r="AW587">
        <v>1</v>
      </c>
      <c r="AX587" t="s">
        <v>74</v>
      </c>
      <c r="AY587" t="s">
        <v>74</v>
      </c>
      <c r="AZ587" t="s">
        <v>2540</v>
      </c>
      <c r="BA587" t="s">
        <v>74</v>
      </c>
      <c r="BB587">
        <v>153</v>
      </c>
      <c r="BC587">
        <v>166</v>
      </c>
      <c r="BD587" t="s">
        <v>74</v>
      </c>
      <c r="BE587" t="s">
        <v>11076</v>
      </c>
      <c r="BF587" t="str">
        <f>HYPERLINK("http://dx.doi.org/10.1007/s00300-015-1679-y","http://dx.doi.org/10.1007/s00300-015-1679-y")</f>
        <v>http://dx.doi.org/10.1007/s00300-015-1679-y</v>
      </c>
      <c r="BG587" t="s">
        <v>74</v>
      </c>
      <c r="BH587" t="s">
        <v>74</v>
      </c>
      <c r="BI587">
        <v>14</v>
      </c>
      <c r="BJ587" t="s">
        <v>6475</v>
      </c>
      <c r="BK587" t="s">
        <v>1661</v>
      </c>
      <c r="BL587" t="s">
        <v>6476</v>
      </c>
      <c r="BM587" t="s">
        <v>6477</v>
      </c>
      <c r="BN587" t="s">
        <v>74</v>
      </c>
      <c r="BO587" t="s">
        <v>403</v>
      </c>
      <c r="BP587" t="s">
        <v>74</v>
      </c>
      <c r="BQ587" t="s">
        <v>74</v>
      </c>
      <c r="BR587" t="s">
        <v>100</v>
      </c>
      <c r="BS587" t="s">
        <v>11077</v>
      </c>
      <c r="BT587" t="str">
        <f>HYPERLINK("https%3A%2F%2Fwww.webofscience.com%2Fwos%2Fwoscc%2Ffull-record%2FWOS:000369067100014","View Full Record in Web of Science")</f>
        <v>View Full Record in Web of Science</v>
      </c>
    </row>
    <row r="588" spans="1:72" x14ac:dyDescent="0.15">
      <c r="A588" t="s">
        <v>72</v>
      </c>
      <c r="B588" t="s">
        <v>11078</v>
      </c>
      <c r="C588" t="s">
        <v>74</v>
      </c>
      <c r="D588" t="s">
        <v>74</v>
      </c>
      <c r="E588" t="s">
        <v>74</v>
      </c>
      <c r="F588" t="s">
        <v>11079</v>
      </c>
      <c r="G588" t="s">
        <v>74</v>
      </c>
      <c r="H588" t="s">
        <v>74</v>
      </c>
      <c r="I588" t="s">
        <v>11080</v>
      </c>
      <c r="J588" t="s">
        <v>6454</v>
      </c>
      <c r="K588" t="s">
        <v>74</v>
      </c>
      <c r="L588" t="s">
        <v>74</v>
      </c>
      <c r="M588" t="s">
        <v>200</v>
      </c>
      <c r="N588" t="s">
        <v>1639</v>
      </c>
      <c r="O588" t="s">
        <v>6455</v>
      </c>
      <c r="P588" t="s">
        <v>6456</v>
      </c>
      <c r="Q588" t="s">
        <v>6457</v>
      </c>
      <c r="R588" t="s">
        <v>74</v>
      </c>
      <c r="S588" t="s">
        <v>74</v>
      </c>
      <c r="T588" t="s">
        <v>11081</v>
      </c>
      <c r="U588" t="s">
        <v>11082</v>
      </c>
      <c r="V588" t="s">
        <v>11083</v>
      </c>
      <c r="W588" t="s">
        <v>11084</v>
      </c>
      <c r="X588" t="s">
        <v>11085</v>
      </c>
      <c r="Y588" t="s">
        <v>11086</v>
      </c>
      <c r="Z588" t="s">
        <v>11087</v>
      </c>
      <c r="AA588" t="s">
        <v>11088</v>
      </c>
      <c r="AB588" t="s">
        <v>11089</v>
      </c>
      <c r="AC588" t="s">
        <v>11090</v>
      </c>
      <c r="AD588" t="s">
        <v>11091</v>
      </c>
      <c r="AE588" t="s">
        <v>11092</v>
      </c>
      <c r="AF588" t="s">
        <v>74</v>
      </c>
      <c r="AG588">
        <v>48</v>
      </c>
      <c r="AH588">
        <v>24</v>
      </c>
      <c r="AI588">
        <v>26</v>
      </c>
      <c r="AJ588">
        <v>0</v>
      </c>
      <c r="AK588">
        <v>42</v>
      </c>
      <c r="AL588" t="s">
        <v>3560</v>
      </c>
      <c r="AM588" t="s">
        <v>289</v>
      </c>
      <c r="AN588" t="s">
        <v>6124</v>
      </c>
      <c r="AO588" t="s">
        <v>6470</v>
      </c>
      <c r="AP588" t="s">
        <v>6471</v>
      </c>
      <c r="AQ588" t="s">
        <v>74</v>
      </c>
      <c r="AR588" t="s">
        <v>6472</v>
      </c>
      <c r="AS588" t="s">
        <v>6473</v>
      </c>
      <c r="AT588" t="s">
        <v>315</v>
      </c>
      <c r="AU588">
        <v>2016</v>
      </c>
      <c r="AV588">
        <v>39</v>
      </c>
      <c r="AW588">
        <v>1</v>
      </c>
      <c r="AX588" t="s">
        <v>74</v>
      </c>
      <c r="AY588" t="s">
        <v>74</v>
      </c>
      <c r="AZ588" t="s">
        <v>2540</v>
      </c>
      <c r="BA588" t="s">
        <v>74</v>
      </c>
      <c r="BB588">
        <v>167</v>
      </c>
      <c r="BC588">
        <v>175</v>
      </c>
      <c r="BD588" t="s">
        <v>74</v>
      </c>
      <c r="BE588" t="s">
        <v>11093</v>
      </c>
      <c r="BF588" t="str">
        <f>HYPERLINK("http://dx.doi.org/10.1007/s00300-015-1675-2","http://dx.doi.org/10.1007/s00300-015-1675-2")</f>
        <v>http://dx.doi.org/10.1007/s00300-015-1675-2</v>
      </c>
      <c r="BG588" t="s">
        <v>74</v>
      </c>
      <c r="BH588" t="s">
        <v>74</v>
      </c>
      <c r="BI588">
        <v>9</v>
      </c>
      <c r="BJ588" t="s">
        <v>6475</v>
      </c>
      <c r="BK588" t="s">
        <v>1661</v>
      </c>
      <c r="BL588" t="s">
        <v>6476</v>
      </c>
      <c r="BM588" t="s">
        <v>6477</v>
      </c>
      <c r="BN588" t="s">
        <v>74</v>
      </c>
      <c r="BO588" t="s">
        <v>431</v>
      </c>
      <c r="BP588" t="s">
        <v>74</v>
      </c>
      <c r="BQ588" t="s">
        <v>74</v>
      </c>
      <c r="BR588" t="s">
        <v>100</v>
      </c>
      <c r="BS588" t="s">
        <v>11094</v>
      </c>
      <c r="BT588" t="str">
        <f>HYPERLINK("https%3A%2F%2Fwww.webofscience.com%2Fwos%2Fwoscc%2Ffull-record%2FWOS:000369067100015","View Full Record in Web of Science")</f>
        <v>View Full Record in Web of Science</v>
      </c>
    </row>
    <row r="589" spans="1:72" x14ac:dyDescent="0.15">
      <c r="A589" t="s">
        <v>72</v>
      </c>
      <c r="B589" t="s">
        <v>11095</v>
      </c>
      <c r="C589" t="s">
        <v>74</v>
      </c>
      <c r="D589" t="s">
        <v>74</v>
      </c>
      <c r="E589" t="s">
        <v>74</v>
      </c>
      <c r="F589" t="s">
        <v>11096</v>
      </c>
      <c r="G589" t="s">
        <v>74</v>
      </c>
      <c r="H589" t="s">
        <v>74</v>
      </c>
      <c r="I589" t="s">
        <v>11097</v>
      </c>
      <c r="J589" t="s">
        <v>7083</v>
      </c>
      <c r="K589" t="s">
        <v>74</v>
      </c>
      <c r="L589" t="s">
        <v>74</v>
      </c>
      <c r="M589" t="s">
        <v>200</v>
      </c>
      <c r="N589" t="s">
        <v>79</v>
      </c>
      <c r="O589" t="s">
        <v>74</v>
      </c>
      <c r="P589" t="s">
        <v>74</v>
      </c>
      <c r="Q589" t="s">
        <v>74</v>
      </c>
      <c r="R589" t="s">
        <v>74</v>
      </c>
      <c r="S589" t="s">
        <v>74</v>
      </c>
      <c r="T589" t="s">
        <v>74</v>
      </c>
      <c r="U589" t="s">
        <v>74</v>
      </c>
      <c r="V589" t="s">
        <v>11098</v>
      </c>
      <c r="W589" t="s">
        <v>11099</v>
      </c>
      <c r="X589" t="s">
        <v>468</v>
      </c>
      <c r="Y589" t="s">
        <v>11100</v>
      </c>
      <c r="Z589" t="s">
        <v>74</v>
      </c>
      <c r="AA589" t="s">
        <v>74</v>
      </c>
      <c r="AB589" t="s">
        <v>74</v>
      </c>
      <c r="AC589" t="s">
        <v>11101</v>
      </c>
      <c r="AD589" t="s">
        <v>7515</v>
      </c>
      <c r="AE589" t="s">
        <v>74</v>
      </c>
      <c r="AF589" t="s">
        <v>74</v>
      </c>
      <c r="AG589">
        <v>22</v>
      </c>
      <c r="AH589">
        <v>1</v>
      </c>
      <c r="AI589">
        <v>1</v>
      </c>
      <c r="AJ589">
        <v>0</v>
      </c>
      <c r="AK589">
        <v>2</v>
      </c>
      <c r="AL589" t="s">
        <v>2239</v>
      </c>
      <c r="AM589" t="s">
        <v>289</v>
      </c>
      <c r="AN589" t="s">
        <v>7089</v>
      </c>
      <c r="AO589" t="s">
        <v>7090</v>
      </c>
      <c r="AP589" t="s">
        <v>7091</v>
      </c>
      <c r="AQ589" t="s">
        <v>74</v>
      </c>
      <c r="AR589" t="s">
        <v>7092</v>
      </c>
      <c r="AS589" t="s">
        <v>7093</v>
      </c>
      <c r="AT589" t="s">
        <v>315</v>
      </c>
      <c r="AU589">
        <v>2016</v>
      </c>
      <c r="AV589">
        <v>52</v>
      </c>
      <c r="AW589">
        <v>1</v>
      </c>
      <c r="AX589" t="s">
        <v>74</v>
      </c>
      <c r="AY589" t="s">
        <v>74</v>
      </c>
      <c r="AZ589" t="s">
        <v>74</v>
      </c>
      <c r="BA589" t="s">
        <v>74</v>
      </c>
      <c r="BB589">
        <v>92</v>
      </c>
      <c r="BC589">
        <v>97</v>
      </c>
      <c r="BD589" t="s">
        <v>74</v>
      </c>
      <c r="BE589" t="s">
        <v>11102</v>
      </c>
      <c r="BF589" t="str">
        <f>HYPERLINK("http://dx.doi.org/10.1017/S0032247415000285","http://dx.doi.org/10.1017/S0032247415000285")</f>
        <v>http://dx.doi.org/10.1017/S0032247415000285</v>
      </c>
      <c r="BG589" t="s">
        <v>74</v>
      </c>
      <c r="BH589" t="s">
        <v>74</v>
      </c>
      <c r="BI589">
        <v>6</v>
      </c>
      <c r="BJ589" t="s">
        <v>7095</v>
      </c>
      <c r="BK589" t="s">
        <v>264</v>
      </c>
      <c r="BL589" t="s">
        <v>2887</v>
      </c>
      <c r="BM589" t="s">
        <v>7096</v>
      </c>
      <c r="BN589" t="s">
        <v>74</v>
      </c>
      <c r="BO589" t="s">
        <v>431</v>
      </c>
      <c r="BP589" t="s">
        <v>74</v>
      </c>
      <c r="BQ589" t="s">
        <v>74</v>
      </c>
      <c r="BR589" t="s">
        <v>100</v>
      </c>
      <c r="BS589" t="s">
        <v>11103</v>
      </c>
      <c r="BT589" t="str">
        <f>HYPERLINK("https%3A%2F%2Fwww.webofscience.com%2Fwos%2Fwoscc%2Ffull-record%2FWOS:000367197200007","View Full Record in Web of Science")</f>
        <v>View Full Record in Web of Science</v>
      </c>
    </row>
    <row r="590" spans="1:72" x14ac:dyDescent="0.15">
      <c r="A590" t="s">
        <v>72</v>
      </c>
      <c r="B590" t="s">
        <v>11104</v>
      </c>
      <c r="C590" t="s">
        <v>74</v>
      </c>
      <c r="D590" t="s">
        <v>74</v>
      </c>
      <c r="E590" t="s">
        <v>74</v>
      </c>
      <c r="F590" t="s">
        <v>11105</v>
      </c>
      <c r="G590" t="s">
        <v>74</v>
      </c>
      <c r="H590" t="s">
        <v>74</v>
      </c>
      <c r="I590" t="s">
        <v>11106</v>
      </c>
      <c r="J590" t="s">
        <v>2619</v>
      </c>
      <c r="K590" t="s">
        <v>74</v>
      </c>
      <c r="L590" t="s">
        <v>74</v>
      </c>
      <c r="M590" t="s">
        <v>200</v>
      </c>
      <c r="N590" t="s">
        <v>79</v>
      </c>
      <c r="O590" t="s">
        <v>74</v>
      </c>
      <c r="P590" t="s">
        <v>74</v>
      </c>
      <c r="Q590" t="s">
        <v>74</v>
      </c>
      <c r="R590" t="s">
        <v>74</v>
      </c>
      <c r="S590" t="s">
        <v>74</v>
      </c>
      <c r="T590" t="s">
        <v>11107</v>
      </c>
      <c r="U590" t="s">
        <v>11108</v>
      </c>
      <c r="V590" t="s">
        <v>11109</v>
      </c>
      <c r="W590" t="s">
        <v>11110</v>
      </c>
      <c r="X590" t="s">
        <v>468</v>
      </c>
      <c r="Y590" t="s">
        <v>11111</v>
      </c>
      <c r="Z590" t="s">
        <v>11112</v>
      </c>
      <c r="AA590" t="s">
        <v>11113</v>
      </c>
      <c r="AB590" t="s">
        <v>11114</v>
      </c>
      <c r="AC590" t="s">
        <v>11115</v>
      </c>
      <c r="AD590" t="s">
        <v>11116</v>
      </c>
      <c r="AE590" t="s">
        <v>11117</v>
      </c>
      <c r="AF590" t="s">
        <v>74</v>
      </c>
      <c r="AG590">
        <v>41</v>
      </c>
      <c r="AH590">
        <v>9</v>
      </c>
      <c r="AI590">
        <v>9</v>
      </c>
      <c r="AJ590">
        <v>1</v>
      </c>
      <c r="AK590">
        <v>9</v>
      </c>
      <c r="AL590" t="s">
        <v>502</v>
      </c>
      <c r="AM590" t="s">
        <v>503</v>
      </c>
      <c r="AN590" t="s">
        <v>504</v>
      </c>
      <c r="AO590" t="s">
        <v>2632</v>
      </c>
      <c r="AP590" t="s">
        <v>2633</v>
      </c>
      <c r="AQ590" t="s">
        <v>74</v>
      </c>
      <c r="AR590" t="s">
        <v>2634</v>
      </c>
      <c r="AS590" t="s">
        <v>2635</v>
      </c>
      <c r="AT590" t="s">
        <v>74</v>
      </c>
      <c r="AU590">
        <v>2016</v>
      </c>
      <c r="AV590">
        <v>35</v>
      </c>
      <c r="AW590" t="s">
        <v>74</v>
      </c>
      <c r="AX590" t="s">
        <v>74</v>
      </c>
      <c r="AY590" t="s">
        <v>74</v>
      </c>
      <c r="AZ590" t="s">
        <v>74</v>
      </c>
      <c r="BA590" t="s">
        <v>74</v>
      </c>
      <c r="BB590" t="s">
        <v>74</v>
      </c>
      <c r="BC590" t="s">
        <v>74</v>
      </c>
      <c r="BD590">
        <v>34061</v>
      </c>
      <c r="BE590" t="s">
        <v>11118</v>
      </c>
      <c r="BF590" t="str">
        <f>HYPERLINK("http://dx.doi.org/10.3402/polar.v35.34061","http://dx.doi.org/10.3402/polar.v35.34061")</f>
        <v>http://dx.doi.org/10.3402/polar.v35.34061</v>
      </c>
      <c r="BG590" t="s">
        <v>74</v>
      </c>
      <c r="BH590" t="s">
        <v>74</v>
      </c>
      <c r="BI590">
        <v>12</v>
      </c>
      <c r="BJ590" t="s">
        <v>2637</v>
      </c>
      <c r="BK590" t="s">
        <v>264</v>
      </c>
      <c r="BL590" t="s">
        <v>2638</v>
      </c>
      <c r="BM590" t="s">
        <v>11119</v>
      </c>
      <c r="BN590" t="s">
        <v>74</v>
      </c>
      <c r="BO590" t="s">
        <v>7778</v>
      </c>
      <c r="BP590" t="s">
        <v>74</v>
      </c>
      <c r="BQ590" t="s">
        <v>74</v>
      </c>
      <c r="BR590" t="s">
        <v>100</v>
      </c>
      <c r="BS590" t="s">
        <v>11120</v>
      </c>
      <c r="BT590" t="str">
        <f>HYPERLINK("https%3A%2F%2Fwww.webofscience.com%2Fwos%2Fwoscc%2Ffull-record%2FWOS:000390383100001","View Full Record in Web of Science")</f>
        <v>View Full Record in Web of Science</v>
      </c>
    </row>
    <row r="591" spans="1:72" x14ac:dyDescent="0.15">
      <c r="A591" t="s">
        <v>72</v>
      </c>
      <c r="B591" t="s">
        <v>11121</v>
      </c>
      <c r="C591" t="s">
        <v>74</v>
      </c>
      <c r="D591" t="s">
        <v>74</v>
      </c>
      <c r="E591" t="s">
        <v>74</v>
      </c>
      <c r="F591" t="s">
        <v>11122</v>
      </c>
      <c r="G591" t="s">
        <v>74</v>
      </c>
      <c r="H591" t="s">
        <v>74</v>
      </c>
      <c r="I591" t="s">
        <v>11123</v>
      </c>
      <c r="J591" t="s">
        <v>2619</v>
      </c>
      <c r="K591" t="s">
        <v>74</v>
      </c>
      <c r="L591" t="s">
        <v>74</v>
      </c>
      <c r="M591" t="s">
        <v>200</v>
      </c>
      <c r="N591" t="s">
        <v>79</v>
      </c>
      <c r="O591" t="s">
        <v>74</v>
      </c>
      <c r="P591" t="s">
        <v>74</v>
      </c>
      <c r="Q591" t="s">
        <v>74</v>
      </c>
      <c r="R591" t="s">
        <v>74</v>
      </c>
      <c r="S591" t="s">
        <v>74</v>
      </c>
      <c r="T591" t="s">
        <v>11124</v>
      </c>
      <c r="U591" t="s">
        <v>11125</v>
      </c>
      <c r="V591" t="s">
        <v>11126</v>
      </c>
      <c r="W591" t="s">
        <v>11127</v>
      </c>
      <c r="X591" t="s">
        <v>7373</v>
      </c>
      <c r="Y591" t="s">
        <v>11128</v>
      </c>
      <c r="Z591" t="s">
        <v>11129</v>
      </c>
      <c r="AA591" t="s">
        <v>11130</v>
      </c>
      <c r="AB591" t="s">
        <v>11131</v>
      </c>
      <c r="AC591" t="s">
        <v>11132</v>
      </c>
      <c r="AD591" t="s">
        <v>11133</v>
      </c>
      <c r="AE591" t="s">
        <v>11134</v>
      </c>
      <c r="AF591" t="s">
        <v>74</v>
      </c>
      <c r="AG591">
        <v>30</v>
      </c>
      <c r="AH591">
        <v>3</v>
      </c>
      <c r="AI591">
        <v>4</v>
      </c>
      <c r="AJ591">
        <v>0</v>
      </c>
      <c r="AK591">
        <v>6</v>
      </c>
      <c r="AL591" t="s">
        <v>1967</v>
      </c>
      <c r="AM591" t="s">
        <v>1968</v>
      </c>
      <c r="AN591" t="s">
        <v>1969</v>
      </c>
      <c r="AO591" t="s">
        <v>2632</v>
      </c>
      <c r="AP591" t="s">
        <v>2633</v>
      </c>
      <c r="AQ591" t="s">
        <v>74</v>
      </c>
      <c r="AR591" t="s">
        <v>2634</v>
      </c>
      <c r="AS591" t="s">
        <v>2635</v>
      </c>
      <c r="AT591" t="s">
        <v>74</v>
      </c>
      <c r="AU591">
        <v>2016</v>
      </c>
      <c r="AV591">
        <v>35</v>
      </c>
      <c r="AW591" t="s">
        <v>74</v>
      </c>
      <c r="AX591" t="s">
        <v>74</v>
      </c>
      <c r="AY591" t="s">
        <v>74</v>
      </c>
      <c r="AZ591" t="s">
        <v>74</v>
      </c>
      <c r="BA591" t="s">
        <v>74</v>
      </c>
      <c r="BB591" t="s">
        <v>74</v>
      </c>
      <c r="BC591" t="s">
        <v>74</v>
      </c>
      <c r="BD591">
        <v>25966</v>
      </c>
      <c r="BE591" t="s">
        <v>11135</v>
      </c>
      <c r="BF591" t="str">
        <f>HYPERLINK("http://dx.doi.org/10.3402/polar.v35.25966","http://dx.doi.org/10.3402/polar.v35.25966")</f>
        <v>http://dx.doi.org/10.3402/polar.v35.25966</v>
      </c>
      <c r="BG591" t="s">
        <v>74</v>
      </c>
      <c r="BH591" t="s">
        <v>74</v>
      </c>
      <c r="BI591">
        <v>5</v>
      </c>
      <c r="BJ591" t="s">
        <v>2637</v>
      </c>
      <c r="BK591" t="s">
        <v>264</v>
      </c>
      <c r="BL591" t="s">
        <v>2638</v>
      </c>
      <c r="BM591" t="s">
        <v>11136</v>
      </c>
      <c r="BN591" t="s">
        <v>74</v>
      </c>
      <c r="BO591" t="s">
        <v>99</v>
      </c>
      <c r="BP591" t="s">
        <v>74</v>
      </c>
      <c r="BQ591" t="s">
        <v>74</v>
      </c>
      <c r="BR591" t="s">
        <v>100</v>
      </c>
      <c r="BS591" t="s">
        <v>11137</v>
      </c>
      <c r="BT591" t="str">
        <f>HYPERLINK("https%3A%2F%2Fwww.webofscience.com%2Fwos%2Fwoscc%2Ffull-record%2FWOS:000381040900001","View Full Record in Web of Science")</f>
        <v>View Full Record in Web of Science</v>
      </c>
    </row>
    <row r="592" spans="1:72" x14ac:dyDescent="0.15">
      <c r="A592" t="s">
        <v>72</v>
      </c>
      <c r="B592" t="s">
        <v>11138</v>
      </c>
      <c r="C592" t="s">
        <v>74</v>
      </c>
      <c r="D592" t="s">
        <v>74</v>
      </c>
      <c r="E592" t="s">
        <v>74</v>
      </c>
      <c r="F592" t="s">
        <v>11139</v>
      </c>
      <c r="G592" t="s">
        <v>74</v>
      </c>
      <c r="H592" t="s">
        <v>74</v>
      </c>
      <c r="I592" t="s">
        <v>11140</v>
      </c>
      <c r="J592" t="s">
        <v>2619</v>
      </c>
      <c r="K592" t="s">
        <v>74</v>
      </c>
      <c r="L592" t="s">
        <v>74</v>
      </c>
      <c r="M592" t="s">
        <v>200</v>
      </c>
      <c r="N592" t="s">
        <v>79</v>
      </c>
      <c r="O592" t="s">
        <v>74</v>
      </c>
      <c r="P592" t="s">
        <v>74</v>
      </c>
      <c r="Q592" t="s">
        <v>74</v>
      </c>
      <c r="R592" t="s">
        <v>74</v>
      </c>
      <c r="S592" t="s">
        <v>74</v>
      </c>
      <c r="T592" t="s">
        <v>11141</v>
      </c>
      <c r="U592" t="s">
        <v>11142</v>
      </c>
      <c r="V592" t="s">
        <v>11143</v>
      </c>
      <c r="W592" t="s">
        <v>11144</v>
      </c>
      <c r="X592" t="s">
        <v>11145</v>
      </c>
      <c r="Y592" t="s">
        <v>11146</v>
      </c>
      <c r="Z592" t="s">
        <v>11147</v>
      </c>
      <c r="AA592" t="s">
        <v>74</v>
      </c>
      <c r="AB592" t="s">
        <v>11148</v>
      </c>
      <c r="AC592" t="s">
        <v>11149</v>
      </c>
      <c r="AD592" t="s">
        <v>11150</v>
      </c>
      <c r="AE592" t="s">
        <v>11151</v>
      </c>
      <c r="AF592" t="s">
        <v>74</v>
      </c>
      <c r="AG592">
        <v>40</v>
      </c>
      <c r="AH592">
        <v>29</v>
      </c>
      <c r="AI592">
        <v>31</v>
      </c>
      <c r="AJ592">
        <v>2</v>
      </c>
      <c r="AK592">
        <v>25</v>
      </c>
      <c r="AL592" t="s">
        <v>3655</v>
      </c>
      <c r="AM592" t="s">
        <v>3656</v>
      </c>
      <c r="AN592" t="s">
        <v>3657</v>
      </c>
      <c r="AO592" t="s">
        <v>2632</v>
      </c>
      <c r="AP592" t="s">
        <v>2633</v>
      </c>
      <c r="AQ592" t="s">
        <v>74</v>
      </c>
      <c r="AR592" t="s">
        <v>3658</v>
      </c>
      <c r="AS592" t="s">
        <v>2635</v>
      </c>
      <c r="AT592" t="s">
        <v>74</v>
      </c>
      <c r="AU592">
        <v>2016</v>
      </c>
      <c r="AV592">
        <v>35</v>
      </c>
      <c r="AW592" t="s">
        <v>74</v>
      </c>
      <c r="AX592" t="s">
        <v>74</v>
      </c>
      <c r="AY592" t="s">
        <v>74</v>
      </c>
      <c r="AZ592" t="s">
        <v>74</v>
      </c>
      <c r="BA592" t="s">
        <v>74</v>
      </c>
      <c r="BB592" t="s">
        <v>74</v>
      </c>
      <c r="BC592" t="s">
        <v>74</v>
      </c>
      <c r="BD592">
        <v>22658</v>
      </c>
      <c r="BE592" t="s">
        <v>11152</v>
      </c>
      <c r="BF592" t="str">
        <f>HYPERLINK("http://dx.doi.org/10.3402/polar.v35.22658","http://dx.doi.org/10.3402/polar.v35.22658")</f>
        <v>http://dx.doi.org/10.3402/polar.v35.22658</v>
      </c>
      <c r="BG592" t="s">
        <v>74</v>
      </c>
      <c r="BH592" t="s">
        <v>74</v>
      </c>
      <c r="BI592">
        <v>15</v>
      </c>
      <c r="BJ592" t="s">
        <v>2637</v>
      </c>
      <c r="BK592" t="s">
        <v>264</v>
      </c>
      <c r="BL592" t="s">
        <v>2638</v>
      </c>
      <c r="BM592" t="s">
        <v>11153</v>
      </c>
      <c r="BN592" t="s">
        <v>74</v>
      </c>
      <c r="BO592" t="s">
        <v>9178</v>
      </c>
      <c r="BP592" t="s">
        <v>74</v>
      </c>
      <c r="BQ592" t="s">
        <v>74</v>
      </c>
      <c r="BR592" t="s">
        <v>100</v>
      </c>
      <c r="BS592" t="s">
        <v>11154</v>
      </c>
      <c r="BT592" t="str">
        <f>HYPERLINK("https%3A%2F%2Fwww.webofscience.com%2Fwos%2Fwoscc%2Ffull-record%2FWOS:000369146900001","View Full Record in Web of Science")</f>
        <v>View Full Record in Web of Science</v>
      </c>
    </row>
    <row r="593" spans="1:72" x14ac:dyDescent="0.15">
      <c r="A593" t="s">
        <v>72</v>
      </c>
      <c r="B593" t="s">
        <v>11155</v>
      </c>
      <c r="C593" t="s">
        <v>74</v>
      </c>
      <c r="D593" t="s">
        <v>74</v>
      </c>
      <c r="E593" t="s">
        <v>74</v>
      </c>
      <c r="F593" t="s">
        <v>11156</v>
      </c>
      <c r="G593" t="s">
        <v>74</v>
      </c>
      <c r="H593" t="s">
        <v>74</v>
      </c>
      <c r="I593" t="s">
        <v>11157</v>
      </c>
      <c r="J593" t="s">
        <v>2619</v>
      </c>
      <c r="K593" t="s">
        <v>74</v>
      </c>
      <c r="L593" t="s">
        <v>74</v>
      </c>
      <c r="M593" t="s">
        <v>200</v>
      </c>
      <c r="N593" t="s">
        <v>79</v>
      </c>
      <c r="O593" t="s">
        <v>74</v>
      </c>
      <c r="P593" t="s">
        <v>74</v>
      </c>
      <c r="Q593" t="s">
        <v>74</v>
      </c>
      <c r="R593" t="s">
        <v>74</v>
      </c>
      <c r="S593" t="s">
        <v>74</v>
      </c>
      <c r="T593" t="s">
        <v>11158</v>
      </c>
      <c r="U593" t="s">
        <v>11159</v>
      </c>
      <c r="V593" t="s">
        <v>11160</v>
      </c>
      <c r="W593" t="s">
        <v>11161</v>
      </c>
      <c r="X593" t="s">
        <v>11162</v>
      </c>
      <c r="Y593" t="s">
        <v>11163</v>
      </c>
      <c r="Z593" t="s">
        <v>11164</v>
      </c>
      <c r="AA593" t="s">
        <v>11165</v>
      </c>
      <c r="AB593" t="s">
        <v>11166</v>
      </c>
      <c r="AC593" t="s">
        <v>11167</v>
      </c>
      <c r="AD593" t="s">
        <v>11167</v>
      </c>
      <c r="AE593" t="s">
        <v>11168</v>
      </c>
      <c r="AF593" t="s">
        <v>74</v>
      </c>
      <c r="AG593">
        <v>52</v>
      </c>
      <c r="AH593">
        <v>14</v>
      </c>
      <c r="AI593">
        <v>15</v>
      </c>
      <c r="AJ593">
        <v>2</v>
      </c>
      <c r="AK593">
        <v>20</v>
      </c>
      <c r="AL593" t="s">
        <v>1967</v>
      </c>
      <c r="AM593" t="s">
        <v>1968</v>
      </c>
      <c r="AN593" t="s">
        <v>1969</v>
      </c>
      <c r="AO593" t="s">
        <v>2632</v>
      </c>
      <c r="AP593" t="s">
        <v>2633</v>
      </c>
      <c r="AQ593" t="s">
        <v>74</v>
      </c>
      <c r="AR593" t="s">
        <v>2634</v>
      </c>
      <c r="AS593" t="s">
        <v>2635</v>
      </c>
      <c r="AT593" t="s">
        <v>74</v>
      </c>
      <c r="AU593">
        <v>2016</v>
      </c>
      <c r="AV593">
        <v>35</v>
      </c>
      <c r="AW593" t="s">
        <v>74</v>
      </c>
      <c r="AX593" t="s">
        <v>74</v>
      </c>
      <c r="AY593" t="s">
        <v>74</v>
      </c>
      <c r="AZ593" t="s">
        <v>74</v>
      </c>
      <c r="BA593" t="s">
        <v>74</v>
      </c>
      <c r="BB593" t="s">
        <v>74</v>
      </c>
      <c r="BC593" t="s">
        <v>74</v>
      </c>
      <c r="BD593">
        <v>26030</v>
      </c>
      <c r="BE593" t="s">
        <v>11169</v>
      </c>
      <c r="BF593" t="str">
        <f>HYPERLINK("http://dx.doi.org/10.3402/polar.v35.26030","http://dx.doi.org/10.3402/polar.v35.26030")</f>
        <v>http://dx.doi.org/10.3402/polar.v35.26030</v>
      </c>
      <c r="BG593" t="s">
        <v>74</v>
      </c>
      <c r="BH593" t="s">
        <v>74</v>
      </c>
      <c r="BI593">
        <v>11</v>
      </c>
      <c r="BJ593" t="s">
        <v>2637</v>
      </c>
      <c r="BK593" t="s">
        <v>264</v>
      </c>
      <c r="BL593" t="s">
        <v>2638</v>
      </c>
      <c r="BM593" t="s">
        <v>11170</v>
      </c>
      <c r="BN593" t="s">
        <v>74</v>
      </c>
      <c r="BO593" t="s">
        <v>99</v>
      </c>
      <c r="BP593" t="s">
        <v>74</v>
      </c>
      <c r="BQ593" t="s">
        <v>74</v>
      </c>
      <c r="BR593" t="s">
        <v>100</v>
      </c>
      <c r="BS593" t="s">
        <v>11171</v>
      </c>
      <c r="BT593" t="str">
        <f>HYPERLINK("https%3A%2F%2Fwww.webofscience.com%2Fwos%2Fwoscc%2Ffull-record%2FWOS:000383586700001","View Full Record in Web of Science")</f>
        <v>View Full Record in Web of Science</v>
      </c>
    </row>
    <row r="594" spans="1:72" x14ac:dyDescent="0.15">
      <c r="A594" t="s">
        <v>72</v>
      </c>
      <c r="B594" t="s">
        <v>11172</v>
      </c>
      <c r="C594" t="s">
        <v>74</v>
      </c>
      <c r="D594" t="s">
        <v>74</v>
      </c>
      <c r="E594" t="s">
        <v>74</v>
      </c>
      <c r="F594" t="s">
        <v>11173</v>
      </c>
      <c r="G594" t="s">
        <v>74</v>
      </c>
      <c r="H594" t="s">
        <v>74</v>
      </c>
      <c r="I594" t="s">
        <v>11174</v>
      </c>
      <c r="J594" t="s">
        <v>2619</v>
      </c>
      <c r="K594" t="s">
        <v>74</v>
      </c>
      <c r="L594" t="s">
        <v>74</v>
      </c>
      <c r="M594" t="s">
        <v>200</v>
      </c>
      <c r="N594" t="s">
        <v>79</v>
      </c>
      <c r="O594" t="s">
        <v>74</v>
      </c>
      <c r="P594" t="s">
        <v>74</v>
      </c>
      <c r="Q594" t="s">
        <v>74</v>
      </c>
      <c r="R594" t="s">
        <v>74</v>
      </c>
      <c r="S594" t="s">
        <v>74</v>
      </c>
      <c r="T594" t="s">
        <v>11175</v>
      </c>
      <c r="U594" t="s">
        <v>11176</v>
      </c>
      <c r="V594" t="s">
        <v>11177</v>
      </c>
      <c r="W594" t="s">
        <v>11178</v>
      </c>
      <c r="X594" t="s">
        <v>2648</v>
      </c>
      <c r="Y594" t="s">
        <v>11179</v>
      </c>
      <c r="Z594" t="s">
        <v>11180</v>
      </c>
      <c r="AA594" t="s">
        <v>11181</v>
      </c>
      <c r="AB594" t="s">
        <v>11182</v>
      </c>
      <c r="AC594" t="s">
        <v>11183</v>
      </c>
      <c r="AD594" t="s">
        <v>11183</v>
      </c>
      <c r="AE594" t="s">
        <v>11184</v>
      </c>
      <c r="AF594" t="s">
        <v>74</v>
      </c>
      <c r="AG594">
        <v>39</v>
      </c>
      <c r="AH594">
        <v>2</v>
      </c>
      <c r="AI594">
        <v>2</v>
      </c>
      <c r="AJ594">
        <v>0</v>
      </c>
      <c r="AK594">
        <v>5</v>
      </c>
      <c r="AL594" t="s">
        <v>1967</v>
      </c>
      <c r="AM594" t="s">
        <v>1968</v>
      </c>
      <c r="AN594" t="s">
        <v>1969</v>
      </c>
      <c r="AO594" t="s">
        <v>2632</v>
      </c>
      <c r="AP594" t="s">
        <v>2633</v>
      </c>
      <c r="AQ594" t="s">
        <v>74</v>
      </c>
      <c r="AR594" t="s">
        <v>2634</v>
      </c>
      <c r="AS594" t="s">
        <v>2635</v>
      </c>
      <c r="AT594" t="s">
        <v>74</v>
      </c>
      <c r="AU594">
        <v>2016</v>
      </c>
      <c r="AV594">
        <v>35</v>
      </c>
      <c r="AW594" t="s">
        <v>74</v>
      </c>
      <c r="AX594" t="s">
        <v>74</v>
      </c>
      <c r="AY594" t="s">
        <v>74</v>
      </c>
      <c r="AZ594" t="s">
        <v>74</v>
      </c>
      <c r="BA594" t="s">
        <v>74</v>
      </c>
      <c r="BB594" t="s">
        <v>74</v>
      </c>
      <c r="BC594" t="s">
        <v>74</v>
      </c>
      <c r="BD594">
        <v>28278</v>
      </c>
      <c r="BE594" t="s">
        <v>11185</v>
      </c>
      <c r="BF594" t="str">
        <f>HYPERLINK("http://dx.doi.org/10.3402/polar.v35.28278","http://dx.doi.org/10.3402/polar.v35.28278")</f>
        <v>http://dx.doi.org/10.3402/polar.v35.28278</v>
      </c>
      <c r="BG594" t="s">
        <v>74</v>
      </c>
      <c r="BH594" t="s">
        <v>74</v>
      </c>
      <c r="BI594">
        <v>7</v>
      </c>
      <c r="BJ594" t="s">
        <v>2637</v>
      </c>
      <c r="BK594" t="s">
        <v>264</v>
      </c>
      <c r="BL594" t="s">
        <v>2638</v>
      </c>
      <c r="BM594" t="s">
        <v>11186</v>
      </c>
      <c r="BN594" t="s">
        <v>74</v>
      </c>
      <c r="BO594" t="s">
        <v>99</v>
      </c>
      <c r="BP594" t="s">
        <v>74</v>
      </c>
      <c r="BQ594" t="s">
        <v>74</v>
      </c>
      <c r="BR594" t="s">
        <v>100</v>
      </c>
      <c r="BS594" t="s">
        <v>11187</v>
      </c>
      <c r="BT594" t="str">
        <f>HYPERLINK("https%3A%2F%2Fwww.webofscience.com%2Fwos%2Fwoscc%2Ffull-record%2FWOS:000387182500001","View Full Record in Web of Science")</f>
        <v>View Full Record in Web of Science</v>
      </c>
    </row>
    <row r="595" spans="1:72" x14ac:dyDescent="0.15">
      <c r="A595" t="s">
        <v>219</v>
      </c>
      <c r="B595" t="s">
        <v>11188</v>
      </c>
      <c r="C595" t="s">
        <v>74</v>
      </c>
      <c r="D595" t="s">
        <v>11189</v>
      </c>
      <c r="E595" t="s">
        <v>74</v>
      </c>
      <c r="F595" t="s">
        <v>11190</v>
      </c>
      <c r="G595" t="s">
        <v>74</v>
      </c>
      <c r="H595" t="s">
        <v>74</v>
      </c>
      <c r="I595" t="s">
        <v>11191</v>
      </c>
      <c r="J595" t="s">
        <v>11192</v>
      </c>
      <c r="K595" t="s">
        <v>74</v>
      </c>
      <c r="L595" t="s">
        <v>74</v>
      </c>
      <c r="M595" t="s">
        <v>200</v>
      </c>
      <c r="N595" t="s">
        <v>201</v>
      </c>
      <c r="O595" t="s">
        <v>74</v>
      </c>
      <c r="P595" t="s">
        <v>74</v>
      </c>
      <c r="Q595" t="s">
        <v>74</v>
      </c>
      <c r="R595" t="s">
        <v>74</v>
      </c>
      <c r="S595" t="s">
        <v>74</v>
      </c>
      <c r="T595" t="s">
        <v>74</v>
      </c>
      <c r="U595" t="s">
        <v>11193</v>
      </c>
      <c r="V595" t="s">
        <v>11194</v>
      </c>
      <c r="W595" t="s">
        <v>11195</v>
      </c>
      <c r="X595" t="s">
        <v>11196</v>
      </c>
      <c r="Y595" t="s">
        <v>11197</v>
      </c>
      <c r="Z595" t="s">
        <v>74</v>
      </c>
      <c r="AA595" t="s">
        <v>74</v>
      </c>
      <c r="AB595" t="s">
        <v>74</v>
      </c>
      <c r="AC595" t="s">
        <v>74</v>
      </c>
      <c r="AD595" t="s">
        <v>74</v>
      </c>
      <c r="AE595" t="s">
        <v>74</v>
      </c>
      <c r="AF595" t="s">
        <v>74</v>
      </c>
      <c r="AG595">
        <v>30</v>
      </c>
      <c r="AH595">
        <v>0</v>
      </c>
      <c r="AI595">
        <v>0</v>
      </c>
      <c r="AJ595">
        <v>0</v>
      </c>
      <c r="AK595">
        <v>0</v>
      </c>
      <c r="AL595" t="s">
        <v>380</v>
      </c>
      <c r="AM595" t="s">
        <v>381</v>
      </c>
      <c r="AN595" t="s">
        <v>382</v>
      </c>
      <c r="AO595" t="s">
        <v>74</v>
      </c>
      <c r="AP595" t="s">
        <v>74</v>
      </c>
      <c r="AQ595" t="s">
        <v>11198</v>
      </c>
      <c r="AR595" t="s">
        <v>74</v>
      </c>
      <c r="AS595" t="s">
        <v>74</v>
      </c>
      <c r="AT595" t="s">
        <v>74</v>
      </c>
      <c r="AU595">
        <v>2016</v>
      </c>
      <c r="AV595" t="s">
        <v>74</v>
      </c>
      <c r="AW595" t="s">
        <v>74</v>
      </c>
      <c r="AX595" t="s">
        <v>74</v>
      </c>
      <c r="AY595" t="s">
        <v>74</v>
      </c>
      <c r="AZ595" t="s">
        <v>74</v>
      </c>
      <c r="BA595" t="s">
        <v>74</v>
      </c>
      <c r="BB595">
        <v>393</v>
      </c>
      <c r="BC595">
        <v>405</v>
      </c>
      <c r="BD595" t="s">
        <v>74</v>
      </c>
      <c r="BE595" t="s">
        <v>74</v>
      </c>
      <c r="BF595" t="s">
        <v>74</v>
      </c>
      <c r="BG595" t="s">
        <v>74</v>
      </c>
      <c r="BH595" t="s">
        <v>74</v>
      </c>
      <c r="BI595">
        <v>13</v>
      </c>
      <c r="BJ595" t="s">
        <v>11199</v>
      </c>
      <c r="BK595" t="s">
        <v>216</v>
      </c>
      <c r="BL595" t="s">
        <v>11199</v>
      </c>
      <c r="BM595" t="s">
        <v>11200</v>
      </c>
      <c r="BN595" t="s">
        <v>74</v>
      </c>
      <c r="BO595" t="s">
        <v>74</v>
      </c>
      <c r="BP595" t="s">
        <v>74</v>
      </c>
      <c r="BQ595" t="s">
        <v>74</v>
      </c>
      <c r="BR595" t="s">
        <v>100</v>
      </c>
      <c r="BS595" t="s">
        <v>11201</v>
      </c>
      <c r="BT595" t="str">
        <f>HYPERLINK("https%3A%2F%2Fwww.webofscience.com%2Fwos%2Fwoscc%2Ffull-record%2FWOS:000428768200033","View Full Record in Web of Science")</f>
        <v>View Full Record in Web of Science</v>
      </c>
    </row>
    <row r="596" spans="1:72" x14ac:dyDescent="0.15">
      <c r="A596" t="s">
        <v>267</v>
      </c>
      <c r="B596" t="s">
        <v>11202</v>
      </c>
      <c r="C596" t="s">
        <v>74</v>
      </c>
      <c r="D596" t="s">
        <v>11203</v>
      </c>
      <c r="E596" t="s">
        <v>74</v>
      </c>
      <c r="F596" t="s">
        <v>11204</v>
      </c>
      <c r="G596" t="s">
        <v>74</v>
      </c>
      <c r="H596" t="s">
        <v>74</v>
      </c>
      <c r="I596" t="s">
        <v>11205</v>
      </c>
      <c r="J596" t="s">
        <v>11206</v>
      </c>
      <c r="K596" t="s">
        <v>74</v>
      </c>
      <c r="L596" t="s">
        <v>74</v>
      </c>
      <c r="M596" t="s">
        <v>200</v>
      </c>
      <c r="N596" t="s">
        <v>273</v>
      </c>
      <c r="O596" t="s">
        <v>11207</v>
      </c>
      <c r="P596" t="s">
        <v>11208</v>
      </c>
      <c r="Q596" t="s">
        <v>11209</v>
      </c>
      <c r="R596" t="s">
        <v>74</v>
      </c>
      <c r="S596" t="s">
        <v>74</v>
      </c>
      <c r="T596" t="s">
        <v>11210</v>
      </c>
      <c r="U596" t="s">
        <v>11211</v>
      </c>
      <c r="V596" t="s">
        <v>11212</v>
      </c>
      <c r="W596" t="s">
        <v>11213</v>
      </c>
      <c r="X596" t="s">
        <v>11214</v>
      </c>
      <c r="Y596" t="s">
        <v>11215</v>
      </c>
      <c r="Z596" t="s">
        <v>11216</v>
      </c>
      <c r="AA596" t="s">
        <v>11217</v>
      </c>
      <c r="AB596" t="s">
        <v>11218</v>
      </c>
      <c r="AC596" t="s">
        <v>11219</v>
      </c>
      <c r="AD596" t="s">
        <v>11220</v>
      </c>
      <c r="AE596" t="s">
        <v>11221</v>
      </c>
      <c r="AF596" t="s">
        <v>74</v>
      </c>
      <c r="AG596">
        <v>15</v>
      </c>
      <c r="AH596">
        <v>0</v>
      </c>
      <c r="AI596">
        <v>0</v>
      </c>
      <c r="AJ596">
        <v>0</v>
      </c>
      <c r="AK596">
        <v>0</v>
      </c>
      <c r="AL596" t="s">
        <v>11222</v>
      </c>
      <c r="AM596" t="s">
        <v>3175</v>
      </c>
      <c r="AN596" t="s">
        <v>11223</v>
      </c>
      <c r="AO596" t="s">
        <v>74</v>
      </c>
      <c r="AP596" t="s">
        <v>74</v>
      </c>
      <c r="AQ596" t="s">
        <v>11224</v>
      </c>
      <c r="AR596" t="s">
        <v>74</v>
      </c>
      <c r="AS596" t="s">
        <v>74</v>
      </c>
      <c r="AT596" t="s">
        <v>74</v>
      </c>
      <c r="AU596">
        <v>2016</v>
      </c>
      <c r="AV596" t="s">
        <v>74</v>
      </c>
      <c r="AW596" t="s">
        <v>74</v>
      </c>
      <c r="AX596" t="s">
        <v>74</v>
      </c>
      <c r="AY596" t="s">
        <v>74</v>
      </c>
      <c r="AZ596" t="s">
        <v>74</v>
      </c>
      <c r="BA596" t="s">
        <v>74</v>
      </c>
      <c r="BB596" t="s">
        <v>74</v>
      </c>
      <c r="BC596" t="s">
        <v>74</v>
      </c>
      <c r="BD596">
        <v>10304</v>
      </c>
      <c r="BE596" t="s">
        <v>11225</v>
      </c>
      <c r="BF596" t="str">
        <f>HYPERLINK("http://dx.doi.org/10.7566/JPSCP.14.010304","http://dx.doi.org/10.7566/JPSCP.14.010304")</f>
        <v>http://dx.doi.org/10.7566/JPSCP.14.010304</v>
      </c>
      <c r="BG596" t="s">
        <v>74</v>
      </c>
      <c r="BH596" t="s">
        <v>74</v>
      </c>
      <c r="BI596">
        <v>4</v>
      </c>
      <c r="BJ596" t="s">
        <v>1168</v>
      </c>
      <c r="BK596" t="s">
        <v>293</v>
      </c>
      <c r="BL596" t="s">
        <v>1168</v>
      </c>
      <c r="BM596" t="s">
        <v>11226</v>
      </c>
      <c r="BN596" t="s">
        <v>74</v>
      </c>
      <c r="BO596" t="s">
        <v>5821</v>
      </c>
      <c r="BP596" t="s">
        <v>74</v>
      </c>
      <c r="BQ596" t="s">
        <v>74</v>
      </c>
      <c r="BR596" t="s">
        <v>100</v>
      </c>
      <c r="BS596" t="s">
        <v>11227</v>
      </c>
      <c r="BT596" t="str">
        <f>HYPERLINK("https%3A%2F%2Fwww.webofscience.com%2Fwos%2Fwoscc%2Ffull-record%2FWOS:000566261100013","View Full Record in Web of Science")</f>
        <v>View Full Record in Web of Science</v>
      </c>
    </row>
    <row r="597" spans="1:72" x14ac:dyDescent="0.15">
      <c r="A597" t="s">
        <v>267</v>
      </c>
      <c r="B597" t="s">
        <v>11228</v>
      </c>
      <c r="C597" t="s">
        <v>74</v>
      </c>
      <c r="D597" t="s">
        <v>11229</v>
      </c>
      <c r="E597" t="s">
        <v>74</v>
      </c>
      <c r="F597" t="s">
        <v>11230</v>
      </c>
      <c r="G597" t="s">
        <v>74</v>
      </c>
      <c r="H597" t="s">
        <v>74</v>
      </c>
      <c r="I597" t="s">
        <v>11231</v>
      </c>
      <c r="J597" t="s">
        <v>11232</v>
      </c>
      <c r="K597" t="s">
        <v>74</v>
      </c>
      <c r="L597" t="s">
        <v>74</v>
      </c>
      <c r="M597" t="s">
        <v>609</v>
      </c>
      <c r="N597" t="s">
        <v>273</v>
      </c>
      <c r="O597" t="s">
        <v>11233</v>
      </c>
      <c r="P597" t="s">
        <v>11234</v>
      </c>
      <c r="Q597" t="s">
        <v>11235</v>
      </c>
      <c r="R597" t="s">
        <v>74</v>
      </c>
      <c r="S597" t="s">
        <v>11236</v>
      </c>
      <c r="T597" t="s">
        <v>11237</v>
      </c>
      <c r="U597" t="s">
        <v>74</v>
      </c>
      <c r="V597" t="s">
        <v>11238</v>
      </c>
      <c r="W597" t="s">
        <v>11239</v>
      </c>
      <c r="X597" t="s">
        <v>11240</v>
      </c>
      <c r="Y597" t="s">
        <v>11241</v>
      </c>
      <c r="Z597" t="s">
        <v>11242</v>
      </c>
      <c r="AA597" t="s">
        <v>11243</v>
      </c>
      <c r="AB597" t="s">
        <v>11244</v>
      </c>
      <c r="AC597" t="s">
        <v>74</v>
      </c>
      <c r="AD597" t="s">
        <v>74</v>
      </c>
      <c r="AE597" t="s">
        <v>74</v>
      </c>
      <c r="AF597" t="s">
        <v>74</v>
      </c>
      <c r="AG597">
        <v>14</v>
      </c>
      <c r="AH597">
        <v>0</v>
      </c>
      <c r="AI597">
        <v>0</v>
      </c>
      <c r="AJ597">
        <v>0</v>
      </c>
      <c r="AK597">
        <v>1</v>
      </c>
      <c r="AL597" t="s">
        <v>11245</v>
      </c>
      <c r="AM597" t="s">
        <v>5210</v>
      </c>
      <c r="AN597" t="s">
        <v>11246</v>
      </c>
      <c r="AO597" t="s">
        <v>74</v>
      </c>
      <c r="AP597" t="s">
        <v>74</v>
      </c>
      <c r="AQ597" t="s">
        <v>11247</v>
      </c>
      <c r="AR597" t="s">
        <v>74</v>
      </c>
      <c r="AS597" t="s">
        <v>74</v>
      </c>
      <c r="AT597" t="s">
        <v>74</v>
      </c>
      <c r="AU597">
        <v>2016</v>
      </c>
      <c r="AV597" t="s">
        <v>74</v>
      </c>
      <c r="AW597" t="s">
        <v>74</v>
      </c>
      <c r="AX597" t="s">
        <v>74</v>
      </c>
      <c r="AY597" t="s">
        <v>74</v>
      </c>
      <c r="AZ597" t="s">
        <v>74</v>
      </c>
      <c r="BA597" t="s">
        <v>74</v>
      </c>
      <c r="BB597">
        <v>412</v>
      </c>
      <c r="BC597">
        <v>415</v>
      </c>
      <c r="BD597" t="s">
        <v>74</v>
      </c>
      <c r="BE597" t="s">
        <v>74</v>
      </c>
      <c r="BF597" t="s">
        <v>74</v>
      </c>
      <c r="BG597" t="s">
        <v>74</v>
      </c>
      <c r="BH597" t="s">
        <v>74</v>
      </c>
      <c r="BI597">
        <v>4</v>
      </c>
      <c r="BJ597" t="s">
        <v>317</v>
      </c>
      <c r="BK597" t="s">
        <v>3593</v>
      </c>
      <c r="BL597" t="s">
        <v>317</v>
      </c>
      <c r="BM597" t="s">
        <v>11248</v>
      </c>
      <c r="BN597" t="s">
        <v>74</v>
      </c>
      <c r="BO597" t="s">
        <v>74</v>
      </c>
      <c r="BP597" t="s">
        <v>74</v>
      </c>
      <c r="BQ597" t="s">
        <v>74</v>
      </c>
      <c r="BR597" t="s">
        <v>100</v>
      </c>
      <c r="BS597" t="s">
        <v>11249</v>
      </c>
      <c r="BT597" t="str">
        <f>HYPERLINK("https%3A%2F%2Fwww.webofscience.com%2Fwos%2Fwoscc%2Ffull-record%2FWOS:000436783800078","View Full Record in Web of Science")</f>
        <v>View Full Record in Web of Science</v>
      </c>
    </row>
    <row r="598" spans="1:72" x14ac:dyDescent="0.15">
      <c r="A598" t="s">
        <v>72</v>
      </c>
      <c r="B598" t="s">
        <v>11250</v>
      </c>
      <c r="C598" t="s">
        <v>74</v>
      </c>
      <c r="D598" t="s">
        <v>74</v>
      </c>
      <c r="E598" t="s">
        <v>74</v>
      </c>
      <c r="F598" t="s">
        <v>11251</v>
      </c>
      <c r="G598" t="s">
        <v>74</v>
      </c>
      <c r="H598" t="s">
        <v>74</v>
      </c>
      <c r="I598" t="s">
        <v>11252</v>
      </c>
      <c r="J598" t="s">
        <v>5451</v>
      </c>
      <c r="K598" t="s">
        <v>74</v>
      </c>
      <c r="L598" t="s">
        <v>74</v>
      </c>
      <c r="M598" t="s">
        <v>200</v>
      </c>
      <c r="N598" t="s">
        <v>79</v>
      </c>
      <c r="O598" t="s">
        <v>74</v>
      </c>
      <c r="P598" t="s">
        <v>74</v>
      </c>
      <c r="Q598" t="s">
        <v>74</v>
      </c>
      <c r="R598" t="s">
        <v>74</v>
      </c>
      <c r="S598" t="s">
        <v>74</v>
      </c>
      <c r="T598" t="s">
        <v>11253</v>
      </c>
      <c r="U598" t="s">
        <v>11254</v>
      </c>
      <c r="V598" t="s">
        <v>11255</v>
      </c>
      <c r="W598" t="s">
        <v>11256</v>
      </c>
      <c r="X598" t="s">
        <v>11257</v>
      </c>
      <c r="Y598" t="s">
        <v>11258</v>
      </c>
      <c r="Z598" t="s">
        <v>11259</v>
      </c>
      <c r="AA598" t="s">
        <v>11260</v>
      </c>
      <c r="AB598" t="s">
        <v>11261</v>
      </c>
      <c r="AC598" t="s">
        <v>74</v>
      </c>
      <c r="AD598" t="s">
        <v>74</v>
      </c>
      <c r="AE598" t="s">
        <v>74</v>
      </c>
      <c r="AF598" t="s">
        <v>74</v>
      </c>
      <c r="AG598">
        <v>19</v>
      </c>
      <c r="AH598">
        <v>41</v>
      </c>
      <c r="AI598">
        <v>44</v>
      </c>
      <c r="AJ598">
        <v>1</v>
      </c>
      <c r="AK598">
        <v>8</v>
      </c>
      <c r="AL598" t="s">
        <v>6855</v>
      </c>
      <c r="AM598" t="s">
        <v>5465</v>
      </c>
      <c r="AN598" t="s">
        <v>5466</v>
      </c>
      <c r="AO598" t="s">
        <v>5467</v>
      </c>
      <c r="AP598" t="s">
        <v>5468</v>
      </c>
      <c r="AQ598" t="s">
        <v>74</v>
      </c>
      <c r="AR598" t="s">
        <v>5469</v>
      </c>
      <c r="AS598" t="s">
        <v>5470</v>
      </c>
      <c r="AT598" t="s">
        <v>315</v>
      </c>
      <c r="AU598">
        <v>2016</v>
      </c>
      <c r="AV598">
        <v>142</v>
      </c>
      <c r="AW598">
        <v>695</v>
      </c>
      <c r="AX598" t="s">
        <v>219</v>
      </c>
      <c r="AY598" t="s">
        <v>74</v>
      </c>
      <c r="AZ598" t="s">
        <v>74</v>
      </c>
      <c r="BA598" t="s">
        <v>74</v>
      </c>
      <c r="BB598">
        <v>574</v>
      </c>
      <c r="BC598">
        <v>582</v>
      </c>
      <c r="BD598" t="s">
        <v>74</v>
      </c>
      <c r="BE598" t="s">
        <v>11262</v>
      </c>
      <c r="BF598" t="str">
        <f>HYPERLINK("http://dx.doi.org/10.1002/qj.2437","http://dx.doi.org/10.1002/qj.2437")</f>
        <v>http://dx.doi.org/10.1002/qj.2437</v>
      </c>
      <c r="BG598" t="s">
        <v>74</v>
      </c>
      <c r="BH598" t="s">
        <v>74</v>
      </c>
      <c r="BI598">
        <v>9</v>
      </c>
      <c r="BJ598" t="s">
        <v>1721</v>
      </c>
      <c r="BK598" t="s">
        <v>264</v>
      </c>
      <c r="BL598" t="s">
        <v>1721</v>
      </c>
      <c r="BM598" t="s">
        <v>5472</v>
      </c>
      <c r="BN598" t="s">
        <v>74</v>
      </c>
      <c r="BO598" t="s">
        <v>11263</v>
      </c>
      <c r="BP598" t="s">
        <v>74</v>
      </c>
      <c r="BQ598" t="s">
        <v>74</v>
      </c>
      <c r="BR598" t="s">
        <v>100</v>
      </c>
      <c r="BS598" t="s">
        <v>11264</v>
      </c>
      <c r="BT598" t="str">
        <f>HYPERLINK("https%3A%2F%2Fwww.webofscience.com%2Fwos%2Fwoscc%2Ffull-record%2FWOS:000372951300005","View Full Record in Web of Science")</f>
        <v>View Full Record in Web of Science</v>
      </c>
    </row>
    <row r="599" spans="1:72" x14ac:dyDescent="0.15">
      <c r="A599" t="s">
        <v>72</v>
      </c>
      <c r="B599" t="s">
        <v>11265</v>
      </c>
      <c r="C599" t="s">
        <v>74</v>
      </c>
      <c r="D599" t="s">
        <v>74</v>
      </c>
      <c r="E599" t="s">
        <v>74</v>
      </c>
      <c r="F599" t="s">
        <v>11266</v>
      </c>
      <c r="G599" t="s">
        <v>74</v>
      </c>
      <c r="H599" t="s">
        <v>74</v>
      </c>
      <c r="I599" t="s">
        <v>11267</v>
      </c>
      <c r="J599" t="s">
        <v>5451</v>
      </c>
      <c r="K599" t="s">
        <v>74</v>
      </c>
      <c r="L599" t="s">
        <v>74</v>
      </c>
      <c r="M599" t="s">
        <v>200</v>
      </c>
      <c r="N599" t="s">
        <v>79</v>
      </c>
      <c r="O599" t="s">
        <v>74</v>
      </c>
      <c r="P599" t="s">
        <v>74</v>
      </c>
      <c r="Q599" t="s">
        <v>74</v>
      </c>
      <c r="R599" t="s">
        <v>74</v>
      </c>
      <c r="S599" t="s">
        <v>74</v>
      </c>
      <c r="T599" t="s">
        <v>11268</v>
      </c>
      <c r="U599" t="s">
        <v>11269</v>
      </c>
      <c r="V599" t="s">
        <v>11270</v>
      </c>
      <c r="W599" t="s">
        <v>11271</v>
      </c>
      <c r="X599" t="s">
        <v>11272</v>
      </c>
      <c r="Y599" t="s">
        <v>11273</v>
      </c>
      <c r="Z599" t="s">
        <v>11274</v>
      </c>
      <c r="AA599" t="s">
        <v>11275</v>
      </c>
      <c r="AB599" t="s">
        <v>11276</v>
      </c>
      <c r="AC599" t="s">
        <v>11277</v>
      </c>
      <c r="AD599" t="s">
        <v>11278</v>
      </c>
      <c r="AE599" t="s">
        <v>11279</v>
      </c>
      <c r="AF599" t="s">
        <v>74</v>
      </c>
      <c r="AG599">
        <v>48</v>
      </c>
      <c r="AH599">
        <v>64</v>
      </c>
      <c r="AI599">
        <v>70</v>
      </c>
      <c r="AJ599">
        <v>1</v>
      </c>
      <c r="AK599">
        <v>18</v>
      </c>
      <c r="AL599" t="s">
        <v>5464</v>
      </c>
      <c r="AM599" t="s">
        <v>5465</v>
      </c>
      <c r="AN599" t="s">
        <v>5466</v>
      </c>
      <c r="AO599" t="s">
        <v>5467</v>
      </c>
      <c r="AP599" t="s">
        <v>5468</v>
      </c>
      <c r="AQ599" t="s">
        <v>74</v>
      </c>
      <c r="AR599" t="s">
        <v>5469</v>
      </c>
      <c r="AS599" t="s">
        <v>5470</v>
      </c>
      <c r="AT599" t="s">
        <v>315</v>
      </c>
      <c r="AU599">
        <v>2016</v>
      </c>
      <c r="AV599">
        <v>142</v>
      </c>
      <c r="AW599">
        <v>695</v>
      </c>
      <c r="AX599" t="s">
        <v>219</v>
      </c>
      <c r="AY599" t="s">
        <v>74</v>
      </c>
      <c r="AZ599" t="s">
        <v>74</v>
      </c>
      <c r="BA599" t="s">
        <v>74</v>
      </c>
      <c r="BB599">
        <v>618</v>
      </c>
      <c r="BC599">
        <v>631</v>
      </c>
      <c r="BD599" t="s">
        <v>74</v>
      </c>
      <c r="BE599" t="s">
        <v>11280</v>
      </c>
      <c r="BF599" t="str">
        <f>HYPERLINK("http://dx.doi.org/10.1002/qj.2489","http://dx.doi.org/10.1002/qj.2489")</f>
        <v>http://dx.doi.org/10.1002/qj.2489</v>
      </c>
      <c r="BG599" t="s">
        <v>74</v>
      </c>
      <c r="BH599" t="s">
        <v>74</v>
      </c>
      <c r="BI599">
        <v>14</v>
      </c>
      <c r="BJ599" t="s">
        <v>1721</v>
      </c>
      <c r="BK599" t="s">
        <v>264</v>
      </c>
      <c r="BL599" t="s">
        <v>1721</v>
      </c>
      <c r="BM599" t="s">
        <v>5472</v>
      </c>
      <c r="BN599" t="s">
        <v>74</v>
      </c>
      <c r="BO599" t="s">
        <v>431</v>
      </c>
      <c r="BP599" t="s">
        <v>74</v>
      </c>
      <c r="BQ599" t="s">
        <v>74</v>
      </c>
      <c r="BR599" t="s">
        <v>100</v>
      </c>
      <c r="BS599" t="s">
        <v>11281</v>
      </c>
      <c r="BT599" t="str">
        <f>HYPERLINK("https%3A%2F%2Fwww.webofscience.com%2Fwos%2Fwoscc%2Ffull-record%2FWOS:000372951300009","View Full Record in Web of Science")</f>
        <v>View Full Record in Web of Science</v>
      </c>
    </row>
    <row r="600" spans="1:72" x14ac:dyDescent="0.15">
      <c r="A600" t="s">
        <v>72</v>
      </c>
      <c r="B600" t="s">
        <v>11282</v>
      </c>
      <c r="C600" t="s">
        <v>74</v>
      </c>
      <c r="D600" t="s">
        <v>74</v>
      </c>
      <c r="E600" t="s">
        <v>74</v>
      </c>
      <c r="F600" t="s">
        <v>11283</v>
      </c>
      <c r="G600" t="s">
        <v>74</v>
      </c>
      <c r="H600" t="s">
        <v>74</v>
      </c>
      <c r="I600" t="s">
        <v>11284</v>
      </c>
      <c r="J600" t="s">
        <v>5451</v>
      </c>
      <c r="K600" t="s">
        <v>74</v>
      </c>
      <c r="L600" t="s">
        <v>74</v>
      </c>
      <c r="M600" t="s">
        <v>200</v>
      </c>
      <c r="N600" t="s">
        <v>79</v>
      </c>
      <c r="O600" t="s">
        <v>74</v>
      </c>
      <c r="P600" t="s">
        <v>74</v>
      </c>
      <c r="Q600" t="s">
        <v>74</v>
      </c>
      <c r="R600" t="s">
        <v>74</v>
      </c>
      <c r="S600" t="s">
        <v>74</v>
      </c>
      <c r="T600" t="s">
        <v>11285</v>
      </c>
      <c r="U600" t="s">
        <v>11286</v>
      </c>
      <c r="V600" t="s">
        <v>11287</v>
      </c>
      <c r="W600" t="s">
        <v>11288</v>
      </c>
      <c r="X600" t="s">
        <v>11289</v>
      </c>
      <c r="Y600" t="s">
        <v>11290</v>
      </c>
      <c r="Z600" t="s">
        <v>11291</v>
      </c>
      <c r="AA600" t="s">
        <v>11292</v>
      </c>
      <c r="AB600" t="s">
        <v>11293</v>
      </c>
      <c r="AC600" t="s">
        <v>11294</v>
      </c>
      <c r="AD600" t="s">
        <v>11295</v>
      </c>
      <c r="AE600" t="s">
        <v>11296</v>
      </c>
      <c r="AF600" t="s">
        <v>74</v>
      </c>
      <c r="AG600">
        <v>43</v>
      </c>
      <c r="AH600">
        <v>23</v>
      </c>
      <c r="AI600">
        <v>23</v>
      </c>
      <c r="AJ600">
        <v>0</v>
      </c>
      <c r="AK600">
        <v>15</v>
      </c>
      <c r="AL600" t="s">
        <v>5464</v>
      </c>
      <c r="AM600" t="s">
        <v>5465</v>
      </c>
      <c r="AN600" t="s">
        <v>5466</v>
      </c>
      <c r="AO600" t="s">
        <v>5467</v>
      </c>
      <c r="AP600" t="s">
        <v>5468</v>
      </c>
      <c r="AQ600" t="s">
        <v>74</v>
      </c>
      <c r="AR600" t="s">
        <v>5469</v>
      </c>
      <c r="AS600" t="s">
        <v>5470</v>
      </c>
      <c r="AT600" t="s">
        <v>315</v>
      </c>
      <c r="AU600">
        <v>2016</v>
      </c>
      <c r="AV600">
        <v>142</v>
      </c>
      <c r="AW600">
        <v>695</v>
      </c>
      <c r="AX600" t="s">
        <v>219</v>
      </c>
      <c r="AY600" t="s">
        <v>74</v>
      </c>
      <c r="AZ600" t="s">
        <v>74</v>
      </c>
      <c r="BA600" t="s">
        <v>74</v>
      </c>
      <c r="BB600">
        <v>684</v>
      </c>
      <c r="BC600">
        <v>692</v>
      </c>
      <c r="BD600" t="s">
        <v>74</v>
      </c>
      <c r="BE600" t="s">
        <v>11297</v>
      </c>
      <c r="BF600" t="str">
        <f>HYPERLINK("http://dx.doi.org/10.1002/qj.2691","http://dx.doi.org/10.1002/qj.2691")</f>
        <v>http://dx.doi.org/10.1002/qj.2691</v>
      </c>
      <c r="BG600" t="s">
        <v>74</v>
      </c>
      <c r="BH600" t="s">
        <v>74</v>
      </c>
      <c r="BI600">
        <v>9</v>
      </c>
      <c r="BJ600" t="s">
        <v>1721</v>
      </c>
      <c r="BK600" t="s">
        <v>264</v>
      </c>
      <c r="BL600" t="s">
        <v>1721</v>
      </c>
      <c r="BM600" t="s">
        <v>5472</v>
      </c>
      <c r="BN600" t="s">
        <v>74</v>
      </c>
      <c r="BO600" t="s">
        <v>431</v>
      </c>
      <c r="BP600" t="s">
        <v>74</v>
      </c>
      <c r="BQ600" t="s">
        <v>74</v>
      </c>
      <c r="BR600" t="s">
        <v>100</v>
      </c>
      <c r="BS600" t="s">
        <v>11298</v>
      </c>
      <c r="BT600" t="str">
        <f>HYPERLINK("https%3A%2F%2Fwww.webofscience.com%2Fwos%2Fwoscc%2Ffull-record%2FWOS:000372951300014","View Full Record in Web of Science")</f>
        <v>View Full Record in Web of Science</v>
      </c>
    </row>
    <row r="601" spans="1:72" x14ac:dyDescent="0.15">
      <c r="A601" t="s">
        <v>72</v>
      </c>
      <c r="B601" t="s">
        <v>11299</v>
      </c>
      <c r="C601" t="s">
        <v>74</v>
      </c>
      <c r="D601" t="s">
        <v>74</v>
      </c>
      <c r="E601" t="s">
        <v>74</v>
      </c>
      <c r="F601" t="s">
        <v>11300</v>
      </c>
      <c r="G601" t="s">
        <v>74</v>
      </c>
      <c r="H601" t="s">
        <v>74</v>
      </c>
      <c r="I601" t="s">
        <v>11301</v>
      </c>
      <c r="J601" t="s">
        <v>7022</v>
      </c>
      <c r="K601" t="s">
        <v>74</v>
      </c>
      <c r="L601" t="s">
        <v>74</v>
      </c>
      <c r="M601" t="s">
        <v>200</v>
      </c>
      <c r="N601" t="s">
        <v>79</v>
      </c>
      <c r="O601" t="s">
        <v>74</v>
      </c>
      <c r="P601" t="s">
        <v>74</v>
      </c>
      <c r="Q601" t="s">
        <v>74</v>
      </c>
      <c r="R601" t="s">
        <v>74</v>
      </c>
      <c r="S601" t="s">
        <v>74</v>
      </c>
      <c r="T601" t="s">
        <v>11302</v>
      </c>
      <c r="U601" t="s">
        <v>11303</v>
      </c>
      <c r="V601" t="s">
        <v>11304</v>
      </c>
      <c r="W601" t="s">
        <v>11305</v>
      </c>
      <c r="X601" t="s">
        <v>11306</v>
      </c>
      <c r="Y601" t="s">
        <v>11307</v>
      </c>
      <c r="Z601" t="s">
        <v>11308</v>
      </c>
      <c r="AA601" t="s">
        <v>74</v>
      </c>
      <c r="AB601" t="s">
        <v>11309</v>
      </c>
      <c r="AC601" t="s">
        <v>11310</v>
      </c>
      <c r="AD601" t="s">
        <v>11311</v>
      </c>
      <c r="AE601" t="s">
        <v>11312</v>
      </c>
      <c r="AF601" t="s">
        <v>74</v>
      </c>
      <c r="AG601">
        <v>199</v>
      </c>
      <c r="AH601">
        <v>52</v>
      </c>
      <c r="AI601">
        <v>53</v>
      </c>
      <c r="AJ601">
        <v>1</v>
      </c>
      <c r="AK601">
        <v>17</v>
      </c>
      <c r="AL601" t="s">
        <v>5888</v>
      </c>
      <c r="AM601" t="s">
        <v>1386</v>
      </c>
      <c r="AN601" t="s">
        <v>5889</v>
      </c>
      <c r="AO601" t="s">
        <v>7035</v>
      </c>
      <c r="AP601" t="s">
        <v>74</v>
      </c>
      <c r="AQ601" t="s">
        <v>74</v>
      </c>
      <c r="AR601" t="s">
        <v>7036</v>
      </c>
      <c r="AS601" t="s">
        <v>7037</v>
      </c>
      <c r="AT601" t="s">
        <v>6992</v>
      </c>
      <c r="AU601">
        <v>2016</v>
      </c>
      <c r="AV601">
        <v>131</v>
      </c>
      <c r="AW601" t="s">
        <v>74</v>
      </c>
      <c r="AX601" t="s">
        <v>6314</v>
      </c>
      <c r="AY601" t="s">
        <v>74</v>
      </c>
      <c r="AZ601" t="s">
        <v>74</v>
      </c>
      <c r="BA601" t="s">
        <v>74</v>
      </c>
      <c r="BB601">
        <v>73</v>
      </c>
      <c r="BC601">
        <v>101</v>
      </c>
      <c r="BD601" t="s">
        <v>74</v>
      </c>
      <c r="BE601" t="s">
        <v>11313</v>
      </c>
      <c r="BF601" t="str">
        <f>HYPERLINK("http://dx.doi.org/10.1016/j.quascirev.2015.09.025","http://dx.doi.org/10.1016/j.quascirev.2015.09.025")</f>
        <v>http://dx.doi.org/10.1016/j.quascirev.2015.09.025</v>
      </c>
      <c r="BG601" t="s">
        <v>74</v>
      </c>
      <c r="BH601" t="s">
        <v>74</v>
      </c>
      <c r="BI601">
        <v>29</v>
      </c>
      <c r="BJ601" t="s">
        <v>2247</v>
      </c>
      <c r="BK601" t="s">
        <v>264</v>
      </c>
      <c r="BL601" t="s">
        <v>2248</v>
      </c>
      <c r="BM601" t="s">
        <v>7039</v>
      </c>
      <c r="BN601" t="s">
        <v>74</v>
      </c>
      <c r="BO601" t="s">
        <v>10698</v>
      </c>
      <c r="BP601" t="s">
        <v>74</v>
      </c>
      <c r="BQ601" t="s">
        <v>74</v>
      </c>
      <c r="BR601" t="s">
        <v>100</v>
      </c>
      <c r="BS601" t="s">
        <v>11314</v>
      </c>
      <c r="BT601" t="str">
        <f>HYPERLINK("https%3A%2F%2Fwww.webofscience.com%2Fwos%2Fwoscc%2Ffull-record%2FWOS:000367490200005","View Full Record in Web of Science")</f>
        <v>View Full Record in Web of Science</v>
      </c>
    </row>
    <row r="602" spans="1:72" x14ac:dyDescent="0.15">
      <c r="A602" t="s">
        <v>72</v>
      </c>
      <c r="B602" t="s">
        <v>11315</v>
      </c>
      <c r="C602" t="s">
        <v>74</v>
      </c>
      <c r="D602" t="s">
        <v>74</v>
      </c>
      <c r="E602" t="s">
        <v>74</v>
      </c>
      <c r="F602" t="s">
        <v>11316</v>
      </c>
      <c r="G602" t="s">
        <v>74</v>
      </c>
      <c r="H602" t="s">
        <v>74</v>
      </c>
      <c r="I602" t="s">
        <v>11317</v>
      </c>
      <c r="J602" t="s">
        <v>7022</v>
      </c>
      <c r="K602" t="s">
        <v>74</v>
      </c>
      <c r="L602" t="s">
        <v>74</v>
      </c>
      <c r="M602" t="s">
        <v>200</v>
      </c>
      <c r="N602" t="s">
        <v>79</v>
      </c>
      <c r="O602" t="s">
        <v>74</v>
      </c>
      <c r="P602" t="s">
        <v>74</v>
      </c>
      <c r="Q602" t="s">
        <v>74</v>
      </c>
      <c r="R602" t="s">
        <v>74</v>
      </c>
      <c r="S602" t="s">
        <v>74</v>
      </c>
      <c r="T602" t="s">
        <v>11318</v>
      </c>
      <c r="U602" t="s">
        <v>11319</v>
      </c>
      <c r="V602" t="s">
        <v>11320</v>
      </c>
      <c r="W602" t="s">
        <v>11321</v>
      </c>
      <c r="X602" t="s">
        <v>11322</v>
      </c>
      <c r="Y602" t="s">
        <v>11323</v>
      </c>
      <c r="Z602" t="s">
        <v>11324</v>
      </c>
      <c r="AA602" t="s">
        <v>11325</v>
      </c>
      <c r="AB602" t="s">
        <v>11326</v>
      </c>
      <c r="AC602" t="s">
        <v>11327</v>
      </c>
      <c r="AD602" t="s">
        <v>11328</v>
      </c>
      <c r="AE602" t="s">
        <v>11329</v>
      </c>
      <c r="AF602" t="s">
        <v>74</v>
      </c>
      <c r="AG602">
        <v>109</v>
      </c>
      <c r="AH602">
        <v>42</v>
      </c>
      <c r="AI602">
        <v>48</v>
      </c>
      <c r="AJ602">
        <v>1</v>
      </c>
      <c r="AK602">
        <v>69</v>
      </c>
      <c r="AL602" t="s">
        <v>5888</v>
      </c>
      <c r="AM602" t="s">
        <v>1386</v>
      </c>
      <c r="AN602" t="s">
        <v>5889</v>
      </c>
      <c r="AO602" t="s">
        <v>7035</v>
      </c>
      <c r="AP602" t="s">
        <v>11330</v>
      </c>
      <c r="AQ602" t="s">
        <v>74</v>
      </c>
      <c r="AR602" t="s">
        <v>7036</v>
      </c>
      <c r="AS602" t="s">
        <v>7037</v>
      </c>
      <c r="AT602" t="s">
        <v>6992</v>
      </c>
      <c r="AU602">
        <v>2016</v>
      </c>
      <c r="AV602">
        <v>131</v>
      </c>
      <c r="AW602" t="s">
        <v>74</v>
      </c>
      <c r="AX602" t="s">
        <v>219</v>
      </c>
      <c r="AY602" t="s">
        <v>74</v>
      </c>
      <c r="AZ602" t="s">
        <v>74</v>
      </c>
      <c r="BA602" t="s">
        <v>74</v>
      </c>
      <c r="BB602">
        <v>350</v>
      </c>
      <c r="BC602">
        <v>364</v>
      </c>
      <c r="BD602" t="s">
        <v>74</v>
      </c>
      <c r="BE602" t="s">
        <v>11331</v>
      </c>
      <c r="BF602" t="str">
        <f>HYPERLINK("http://dx.doi.org/10.1016/j.quascirev.2015.07.007","http://dx.doi.org/10.1016/j.quascirev.2015.07.007")</f>
        <v>http://dx.doi.org/10.1016/j.quascirev.2015.07.007</v>
      </c>
      <c r="BG602" t="s">
        <v>74</v>
      </c>
      <c r="BH602" t="s">
        <v>74</v>
      </c>
      <c r="BI602">
        <v>15</v>
      </c>
      <c r="BJ602" t="s">
        <v>2247</v>
      </c>
      <c r="BK602" t="s">
        <v>264</v>
      </c>
      <c r="BL602" t="s">
        <v>2248</v>
      </c>
      <c r="BM602" t="s">
        <v>11332</v>
      </c>
      <c r="BN602" t="s">
        <v>74</v>
      </c>
      <c r="BO602" t="s">
        <v>11333</v>
      </c>
      <c r="BP602" t="s">
        <v>74</v>
      </c>
      <c r="BQ602" t="s">
        <v>74</v>
      </c>
      <c r="BR602" t="s">
        <v>100</v>
      </c>
      <c r="BS602" t="s">
        <v>11334</v>
      </c>
      <c r="BT602" t="str">
        <f>HYPERLINK("https%3A%2F%2Fwww.webofscience.com%2Fwos%2Fwoscc%2Ffull-record%2FWOS:000367491400010","View Full Record in Web of Science")</f>
        <v>View Full Record in Web of Science</v>
      </c>
    </row>
    <row r="603" spans="1:72" x14ac:dyDescent="0.15">
      <c r="A603" t="s">
        <v>72</v>
      </c>
      <c r="B603" t="s">
        <v>11335</v>
      </c>
      <c r="C603" t="s">
        <v>74</v>
      </c>
      <c r="D603" t="s">
        <v>74</v>
      </c>
      <c r="E603" t="s">
        <v>74</v>
      </c>
      <c r="F603" t="s">
        <v>11336</v>
      </c>
      <c r="G603" t="s">
        <v>74</v>
      </c>
      <c r="H603" t="s">
        <v>74</v>
      </c>
      <c r="I603" t="s">
        <v>11337</v>
      </c>
      <c r="J603" t="s">
        <v>11338</v>
      </c>
      <c r="K603" t="s">
        <v>74</v>
      </c>
      <c r="L603" t="s">
        <v>74</v>
      </c>
      <c r="M603" t="s">
        <v>200</v>
      </c>
      <c r="N603" t="s">
        <v>79</v>
      </c>
      <c r="O603" t="s">
        <v>74</v>
      </c>
      <c r="P603" t="s">
        <v>74</v>
      </c>
      <c r="Q603" t="s">
        <v>74</v>
      </c>
      <c r="R603" t="s">
        <v>74</v>
      </c>
      <c r="S603" t="s">
        <v>74</v>
      </c>
      <c r="T603" t="s">
        <v>74</v>
      </c>
      <c r="U603" t="s">
        <v>11339</v>
      </c>
      <c r="V603" t="s">
        <v>11340</v>
      </c>
      <c r="W603" t="s">
        <v>11341</v>
      </c>
      <c r="X603" t="s">
        <v>11342</v>
      </c>
      <c r="Y603" t="s">
        <v>11343</v>
      </c>
      <c r="Z603" t="s">
        <v>11344</v>
      </c>
      <c r="AA603" t="s">
        <v>11345</v>
      </c>
      <c r="AB603" t="s">
        <v>11346</v>
      </c>
      <c r="AC603" t="s">
        <v>11347</v>
      </c>
      <c r="AD603" t="s">
        <v>11348</v>
      </c>
      <c r="AE603" t="s">
        <v>11349</v>
      </c>
      <c r="AF603" t="s">
        <v>74</v>
      </c>
      <c r="AG603">
        <v>27</v>
      </c>
      <c r="AH603">
        <v>18</v>
      </c>
      <c r="AI603">
        <v>19</v>
      </c>
      <c r="AJ603">
        <v>0</v>
      </c>
      <c r="AK603">
        <v>4</v>
      </c>
      <c r="AL603" t="s">
        <v>3560</v>
      </c>
      <c r="AM603" t="s">
        <v>289</v>
      </c>
      <c r="AN603" t="s">
        <v>5440</v>
      </c>
      <c r="AO603" t="s">
        <v>11350</v>
      </c>
      <c r="AP603" t="s">
        <v>11351</v>
      </c>
      <c r="AQ603" t="s">
        <v>74</v>
      </c>
      <c r="AR603" t="s">
        <v>11352</v>
      </c>
      <c r="AS603" t="s">
        <v>11353</v>
      </c>
      <c r="AT603" t="s">
        <v>315</v>
      </c>
      <c r="AU603">
        <v>2016</v>
      </c>
      <c r="AV603">
        <v>58</v>
      </c>
      <c r="AW603">
        <v>8</v>
      </c>
      <c r="AX603" t="s">
        <v>74</v>
      </c>
      <c r="AY603" t="s">
        <v>74</v>
      </c>
      <c r="AZ603" t="s">
        <v>74</v>
      </c>
      <c r="BA603" t="s">
        <v>74</v>
      </c>
      <c r="BB603">
        <v>561</v>
      </c>
      <c r="BC603">
        <v>585</v>
      </c>
      <c r="BD603" t="s">
        <v>74</v>
      </c>
      <c r="BE603" t="s">
        <v>11354</v>
      </c>
      <c r="BF603" t="str">
        <f>HYPERLINK("http://dx.doi.org/10.1007/s11141-016-9629-2","http://dx.doi.org/10.1007/s11141-016-9629-2")</f>
        <v>http://dx.doi.org/10.1007/s11141-016-9629-2</v>
      </c>
      <c r="BG603" t="s">
        <v>74</v>
      </c>
      <c r="BH603" t="s">
        <v>74</v>
      </c>
      <c r="BI603">
        <v>25</v>
      </c>
      <c r="BJ603" t="s">
        <v>11355</v>
      </c>
      <c r="BK603" t="s">
        <v>264</v>
      </c>
      <c r="BL603" t="s">
        <v>1346</v>
      </c>
      <c r="BM603" t="s">
        <v>11356</v>
      </c>
      <c r="BN603" t="s">
        <v>74</v>
      </c>
      <c r="BO603" t="s">
        <v>403</v>
      </c>
      <c r="BP603" t="s">
        <v>74</v>
      </c>
      <c r="BQ603" t="s">
        <v>74</v>
      </c>
      <c r="BR603" t="s">
        <v>100</v>
      </c>
      <c r="BS603" t="s">
        <v>11357</v>
      </c>
      <c r="BT603" t="str">
        <f>HYPERLINK("https%3A%2F%2Fwww.webofscience.com%2Fwos%2Fwoscc%2Ffull-record%2FWOS:000373610800002","View Full Record in Web of Science")</f>
        <v>View Full Record in Web of Science</v>
      </c>
    </row>
    <row r="604" spans="1:72" x14ac:dyDescent="0.15">
      <c r="A604" t="s">
        <v>72</v>
      </c>
      <c r="B604" t="s">
        <v>11358</v>
      </c>
      <c r="C604" t="s">
        <v>74</v>
      </c>
      <c r="D604" t="s">
        <v>74</v>
      </c>
      <c r="E604" t="s">
        <v>74</v>
      </c>
      <c r="F604" t="s">
        <v>11359</v>
      </c>
      <c r="G604" t="s">
        <v>74</v>
      </c>
      <c r="H604" t="s">
        <v>74</v>
      </c>
      <c r="I604" t="s">
        <v>11360</v>
      </c>
      <c r="J604" t="s">
        <v>11361</v>
      </c>
      <c r="K604" t="s">
        <v>74</v>
      </c>
      <c r="L604" t="s">
        <v>74</v>
      </c>
      <c r="M604" t="s">
        <v>200</v>
      </c>
      <c r="N604" t="s">
        <v>79</v>
      </c>
      <c r="O604" t="s">
        <v>74</v>
      </c>
      <c r="P604" t="s">
        <v>74</v>
      </c>
      <c r="Q604" t="s">
        <v>74</v>
      </c>
      <c r="R604" t="s">
        <v>74</v>
      </c>
      <c r="S604" t="s">
        <v>74</v>
      </c>
      <c r="T604" t="s">
        <v>11362</v>
      </c>
      <c r="U604" t="s">
        <v>11363</v>
      </c>
      <c r="V604" t="s">
        <v>11364</v>
      </c>
      <c r="W604" t="s">
        <v>11365</v>
      </c>
      <c r="X604" t="s">
        <v>11366</v>
      </c>
      <c r="Y604" t="s">
        <v>11367</v>
      </c>
      <c r="Z604" t="s">
        <v>11368</v>
      </c>
      <c r="AA604" t="s">
        <v>11369</v>
      </c>
      <c r="AB604" t="s">
        <v>74</v>
      </c>
      <c r="AC604" t="s">
        <v>11370</v>
      </c>
      <c r="AD604" t="s">
        <v>11371</v>
      </c>
      <c r="AE604" t="s">
        <v>11372</v>
      </c>
      <c r="AF604" t="s">
        <v>74</v>
      </c>
      <c r="AG604">
        <v>33</v>
      </c>
      <c r="AH604">
        <v>5</v>
      </c>
      <c r="AI604">
        <v>6</v>
      </c>
      <c r="AJ604">
        <v>0</v>
      </c>
      <c r="AK604">
        <v>13</v>
      </c>
      <c r="AL604" t="s">
        <v>10649</v>
      </c>
      <c r="AM604" t="s">
        <v>10650</v>
      </c>
      <c r="AN604" t="s">
        <v>10651</v>
      </c>
      <c r="AO604" t="s">
        <v>74</v>
      </c>
      <c r="AP604" t="s">
        <v>11373</v>
      </c>
      <c r="AQ604" t="s">
        <v>74</v>
      </c>
      <c r="AR604" t="s">
        <v>11374</v>
      </c>
      <c r="AS604" t="s">
        <v>11375</v>
      </c>
      <c r="AT604" t="s">
        <v>315</v>
      </c>
      <c r="AU604">
        <v>2016</v>
      </c>
      <c r="AV604">
        <v>8</v>
      </c>
      <c r="AW604">
        <v>1</v>
      </c>
      <c r="AX604" t="s">
        <v>74</v>
      </c>
      <c r="AY604" t="s">
        <v>74</v>
      </c>
      <c r="AZ604" t="s">
        <v>74</v>
      </c>
      <c r="BA604" t="s">
        <v>74</v>
      </c>
      <c r="BB604" t="s">
        <v>74</v>
      </c>
      <c r="BC604" t="s">
        <v>74</v>
      </c>
      <c r="BD604">
        <v>13</v>
      </c>
      <c r="BE604" t="s">
        <v>11376</v>
      </c>
      <c r="BF604" t="str">
        <f>HYPERLINK("http://dx.doi.org/10.3390/rs8010013","http://dx.doi.org/10.3390/rs8010013")</f>
        <v>http://dx.doi.org/10.3390/rs8010013</v>
      </c>
      <c r="BG604" t="s">
        <v>74</v>
      </c>
      <c r="BH604" t="s">
        <v>74</v>
      </c>
      <c r="BI604">
        <v>16</v>
      </c>
      <c r="BJ604" t="s">
        <v>11377</v>
      </c>
      <c r="BK604" t="s">
        <v>264</v>
      </c>
      <c r="BL604" t="s">
        <v>11378</v>
      </c>
      <c r="BM604" t="s">
        <v>11379</v>
      </c>
      <c r="BN604" t="s">
        <v>74</v>
      </c>
      <c r="BO604" t="s">
        <v>2134</v>
      </c>
      <c r="BP604" t="s">
        <v>74</v>
      </c>
      <c r="BQ604" t="s">
        <v>74</v>
      </c>
      <c r="BR604" t="s">
        <v>100</v>
      </c>
      <c r="BS604" t="s">
        <v>11380</v>
      </c>
      <c r="BT604" t="str">
        <f>HYPERLINK("https%3A%2F%2Fwww.webofscience.com%2Fwos%2Fwoscc%2Ffull-record%2FWOS:000369495800010","View Full Record in Web of Science")</f>
        <v>View Full Record in Web of Science</v>
      </c>
    </row>
    <row r="605" spans="1:72" x14ac:dyDescent="0.15">
      <c r="A605" t="s">
        <v>72</v>
      </c>
      <c r="B605" t="s">
        <v>11381</v>
      </c>
      <c r="C605" t="s">
        <v>74</v>
      </c>
      <c r="D605" t="s">
        <v>74</v>
      </c>
      <c r="E605" t="s">
        <v>74</v>
      </c>
      <c r="F605" t="s">
        <v>11382</v>
      </c>
      <c r="G605" t="s">
        <v>74</v>
      </c>
      <c r="H605" t="s">
        <v>74</v>
      </c>
      <c r="I605" t="s">
        <v>11383</v>
      </c>
      <c r="J605" t="s">
        <v>11384</v>
      </c>
      <c r="K605" t="s">
        <v>74</v>
      </c>
      <c r="L605" t="s">
        <v>74</v>
      </c>
      <c r="M605" t="s">
        <v>200</v>
      </c>
      <c r="N605" t="s">
        <v>79</v>
      </c>
      <c r="O605" t="s">
        <v>74</v>
      </c>
      <c r="P605" t="s">
        <v>74</v>
      </c>
      <c r="Q605" t="s">
        <v>74</v>
      </c>
      <c r="R605" t="s">
        <v>74</v>
      </c>
      <c r="S605" t="s">
        <v>74</v>
      </c>
      <c r="T605" t="s">
        <v>74</v>
      </c>
      <c r="U605" t="s">
        <v>11385</v>
      </c>
      <c r="V605" t="s">
        <v>11386</v>
      </c>
      <c r="W605" t="s">
        <v>11387</v>
      </c>
      <c r="X605" t="s">
        <v>11388</v>
      </c>
      <c r="Y605" t="s">
        <v>11389</v>
      </c>
      <c r="Z605" t="s">
        <v>11390</v>
      </c>
      <c r="AA605" t="s">
        <v>11391</v>
      </c>
      <c r="AB605" t="s">
        <v>11392</v>
      </c>
      <c r="AC605" t="s">
        <v>11393</v>
      </c>
      <c r="AD605" t="s">
        <v>11394</v>
      </c>
      <c r="AE605" t="s">
        <v>11395</v>
      </c>
      <c r="AF605" t="s">
        <v>74</v>
      </c>
      <c r="AG605">
        <v>24</v>
      </c>
      <c r="AH605">
        <v>15</v>
      </c>
      <c r="AI605">
        <v>22</v>
      </c>
      <c r="AJ605">
        <v>0</v>
      </c>
      <c r="AK605">
        <v>8</v>
      </c>
      <c r="AL605" t="s">
        <v>11396</v>
      </c>
      <c r="AM605" t="s">
        <v>11397</v>
      </c>
      <c r="AN605" t="s">
        <v>11398</v>
      </c>
      <c r="AO605" t="s">
        <v>11399</v>
      </c>
      <c r="AP605" t="s">
        <v>11400</v>
      </c>
      <c r="AQ605" t="s">
        <v>74</v>
      </c>
      <c r="AR605" t="s">
        <v>11401</v>
      </c>
      <c r="AS605" t="s">
        <v>11402</v>
      </c>
      <c r="AT605" t="s">
        <v>315</v>
      </c>
      <c r="AU605">
        <v>2016</v>
      </c>
      <c r="AV605">
        <v>87</v>
      </c>
      <c r="AW605">
        <v>1</v>
      </c>
      <c r="AX605" t="s">
        <v>74</v>
      </c>
      <c r="AY605" t="s">
        <v>74</v>
      </c>
      <c r="AZ605" t="s">
        <v>74</v>
      </c>
      <c r="BA605" t="s">
        <v>74</v>
      </c>
      <c r="BB605" t="s">
        <v>74</v>
      </c>
      <c r="BC605" t="s">
        <v>74</v>
      </c>
      <c r="BD605">
        <v>14501</v>
      </c>
      <c r="BE605" t="s">
        <v>11403</v>
      </c>
      <c r="BF605" t="str">
        <f>HYPERLINK("http://dx.doi.org/10.1063/1.4939435","http://dx.doi.org/10.1063/1.4939435")</f>
        <v>http://dx.doi.org/10.1063/1.4939435</v>
      </c>
      <c r="BG605" t="s">
        <v>74</v>
      </c>
      <c r="BH605" t="s">
        <v>74</v>
      </c>
      <c r="BI605">
        <v>9</v>
      </c>
      <c r="BJ605" t="s">
        <v>11404</v>
      </c>
      <c r="BK605" t="s">
        <v>264</v>
      </c>
      <c r="BL605" t="s">
        <v>11405</v>
      </c>
      <c r="BM605" t="s">
        <v>11406</v>
      </c>
      <c r="BN605">
        <v>26827333</v>
      </c>
      <c r="BO605" t="s">
        <v>11407</v>
      </c>
      <c r="BP605" t="s">
        <v>74</v>
      </c>
      <c r="BQ605" t="s">
        <v>74</v>
      </c>
      <c r="BR605" t="s">
        <v>100</v>
      </c>
      <c r="BS605" t="s">
        <v>11408</v>
      </c>
      <c r="BT605" t="str">
        <f>HYPERLINK("https%3A%2F%2Fwww.webofscience.com%2Fwos%2Fwoscc%2Ffull-record%2FWOS:000369430900033","View Full Record in Web of Science")</f>
        <v>View Full Record in Web of Science</v>
      </c>
    </row>
    <row r="606" spans="1:72" x14ac:dyDescent="0.15">
      <c r="A606" t="s">
        <v>72</v>
      </c>
      <c r="B606" t="s">
        <v>11409</v>
      </c>
      <c r="C606" t="s">
        <v>74</v>
      </c>
      <c r="D606" t="s">
        <v>74</v>
      </c>
      <c r="E606" t="s">
        <v>74</v>
      </c>
      <c r="F606" t="s">
        <v>11410</v>
      </c>
      <c r="G606" t="s">
        <v>74</v>
      </c>
      <c r="H606" t="s">
        <v>74</v>
      </c>
      <c r="I606" t="s">
        <v>11411</v>
      </c>
      <c r="J606" t="s">
        <v>11412</v>
      </c>
      <c r="K606" t="s">
        <v>74</v>
      </c>
      <c r="L606" t="s">
        <v>74</v>
      </c>
      <c r="M606" t="s">
        <v>200</v>
      </c>
      <c r="N606" t="s">
        <v>717</v>
      </c>
      <c r="O606" t="s">
        <v>74</v>
      </c>
      <c r="P606" t="s">
        <v>74</v>
      </c>
      <c r="Q606" t="s">
        <v>74</v>
      </c>
      <c r="R606" t="s">
        <v>74</v>
      </c>
      <c r="S606" t="s">
        <v>74</v>
      </c>
      <c r="T606" t="s">
        <v>11413</v>
      </c>
      <c r="U606" t="s">
        <v>11414</v>
      </c>
      <c r="V606" t="s">
        <v>11415</v>
      </c>
      <c r="W606" t="s">
        <v>11416</v>
      </c>
      <c r="X606" t="s">
        <v>11417</v>
      </c>
      <c r="Y606" t="s">
        <v>11418</v>
      </c>
      <c r="Z606" t="s">
        <v>11419</v>
      </c>
      <c r="AA606" t="s">
        <v>11420</v>
      </c>
      <c r="AB606" t="s">
        <v>11421</v>
      </c>
      <c r="AC606" t="s">
        <v>74</v>
      </c>
      <c r="AD606" t="s">
        <v>74</v>
      </c>
      <c r="AE606" t="s">
        <v>74</v>
      </c>
      <c r="AF606" t="s">
        <v>74</v>
      </c>
      <c r="AG606">
        <v>65</v>
      </c>
      <c r="AH606">
        <v>12</v>
      </c>
      <c r="AI606">
        <v>14</v>
      </c>
      <c r="AJ606">
        <v>2</v>
      </c>
      <c r="AK606">
        <v>33</v>
      </c>
      <c r="AL606" t="s">
        <v>11422</v>
      </c>
      <c r="AM606" t="s">
        <v>11423</v>
      </c>
      <c r="AN606" t="s">
        <v>11424</v>
      </c>
      <c r="AO606" t="s">
        <v>11425</v>
      </c>
      <c r="AP606" t="s">
        <v>11426</v>
      </c>
      <c r="AQ606" t="s">
        <v>74</v>
      </c>
      <c r="AR606" t="s">
        <v>11427</v>
      </c>
      <c r="AS606" t="s">
        <v>11428</v>
      </c>
      <c r="AT606" t="s">
        <v>74</v>
      </c>
      <c r="AU606">
        <v>2016</v>
      </c>
      <c r="AV606">
        <v>167</v>
      </c>
      <c r="AW606" t="s">
        <v>10611</v>
      </c>
      <c r="AX606" t="s">
        <v>74</v>
      </c>
      <c r="AY606" t="s">
        <v>74</v>
      </c>
      <c r="AZ606" t="s">
        <v>74</v>
      </c>
      <c r="BA606" t="s">
        <v>74</v>
      </c>
      <c r="BB606">
        <v>93</v>
      </c>
      <c r="BC606">
        <v>98</v>
      </c>
      <c r="BD606" t="s">
        <v>74</v>
      </c>
      <c r="BE606" t="s">
        <v>74</v>
      </c>
      <c r="BF606" t="s">
        <v>74</v>
      </c>
      <c r="BG606" t="s">
        <v>74</v>
      </c>
      <c r="BH606" t="s">
        <v>74</v>
      </c>
      <c r="BI606">
        <v>6</v>
      </c>
      <c r="BJ606" t="s">
        <v>11429</v>
      </c>
      <c r="BK606" t="s">
        <v>264</v>
      </c>
      <c r="BL606" t="s">
        <v>11429</v>
      </c>
      <c r="BM606" t="s">
        <v>11430</v>
      </c>
      <c r="BN606" t="s">
        <v>74</v>
      </c>
      <c r="BO606" t="s">
        <v>74</v>
      </c>
      <c r="BP606" t="s">
        <v>74</v>
      </c>
      <c r="BQ606" t="s">
        <v>74</v>
      </c>
      <c r="BR606" t="s">
        <v>100</v>
      </c>
      <c r="BS606" t="s">
        <v>11431</v>
      </c>
      <c r="BT606" t="str">
        <f>HYPERLINK("https%3A%2F%2Fwww.webofscience.com%2Fwos%2Fwoscc%2Ffull-record%2FWOS:000377772600006","View Full Record in Web of Science")</f>
        <v>View Full Record in Web of Science</v>
      </c>
    </row>
    <row r="607" spans="1:72" x14ac:dyDescent="0.15">
      <c r="A607" t="s">
        <v>219</v>
      </c>
      <c r="B607" t="s">
        <v>4876</v>
      </c>
      <c r="C607" t="s">
        <v>74</v>
      </c>
      <c r="D607" t="s">
        <v>4876</v>
      </c>
      <c r="E607" t="s">
        <v>74</v>
      </c>
      <c r="F607" t="s">
        <v>11432</v>
      </c>
      <c r="G607" t="s">
        <v>74</v>
      </c>
      <c r="H607" t="s">
        <v>74</v>
      </c>
      <c r="I607" t="s">
        <v>11433</v>
      </c>
      <c r="J607" t="s">
        <v>4879</v>
      </c>
      <c r="K607" t="s">
        <v>74</v>
      </c>
      <c r="L607" t="s">
        <v>74</v>
      </c>
      <c r="M607" t="s">
        <v>200</v>
      </c>
      <c r="N607" t="s">
        <v>7694</v>
      </c>
      <c r="O607" t="s">
        <v>74</v>
      </c>
      <c r="P607" t="s">
        <v>74</v>
      </c>
      <c r="Q607" t="s">
        <v>74</v>
      </c>
      <c r="R607" t="s">
        <v>74</v>
      </c>
      <c r="S607" t="s">
        <v>74</v>
      </c>
      <c r="T607" t="s">
        <v>74</v>
      </c>
      <c r="U607" t="s">
        <v>74</v>
      </c>
      <c r="V607" t="s">
        <v>74</v>
      </c>
      <c r="W607" t="s">
        <v>11434</v>
      </c>
      <c r="X607" t="s">
        <v>11435</v>
      </c>
      <c r="Y607" t="s">
        <v>11436</v>
      </c>
      <c r="Z607" t="s">
        <v>74</v>
      </c>
      <c r="AA607" t="s">
        <v>11437</v>
      </c>
      <c r="AB607" t="s">
        <v>11438</v>
      </c>
      <c r="AC607" t="s">
        <v>74</v>
      </c>
      <c r="AD607" t="s">
        <v>74</v>
      </c>
      <c r="AE607" t="s">
        <v>74</v>
      </c>
      <c r="AF607" t="s">
        <v>74</v>
      </c>
      <c r="AG607">
        <v>0</v>
      </c>
      <c r="AH607">
        <v>0</v>
      </c>
      <c r="AI607">
        <v>0</v>
      </c>
      <c r="AJ607">
        <v>0</v>
      </c>
      <c r="AK607">
        <v>0</v>
      </c>
      <c r="AL607" t="s">
        <v>4884</v>
      </c>
      <c r="AM607" t="s">
        <v>503</v>
      </c>
      <c r="AN607" t="s">
        <v>4885</v>
      </c>
      <c r="AO607" t="s">
        <v>74</v>
      </c>
      <c r="AP607" t="s">
        <v>74</v>
      </c>
      <c r="AQ607" t="s">
        <v>4886</v>
      </c>
      <c r="AR607" t="s">
        <v>74</v>
      </c>
      <c r="AS607" t="s">
        <v>74</v>
      </c>
      <c r="AT607" t="s">
        <v>74</v>
      </c>
      <c r="AU607">
        <v>2016</v>
      </c>
      <c r="AV607" t="s">
        <v>74</v>
      </c>
      <c r="AW607" t="s">
        <v>74</v>
      </c>
      <c r="AX607" t="s">
        <v>74</v>
      </c>
      <c r="AY607" t="s">
        <v>74</v>
      </c>
      <c r="AZ607" t="s">
        <v>74</v>
      </c>
      <c r="BA607" t="s">
        <v>74</v>
      </c>
      <c r="BB607" t="s">
        <v>11439</v>
      </c>
      <c r="BC607" t="s">
        <v>11440</v>
      </c>
      <c r="BD607" t="s">
        <v>74</v>
      </c>
      <c r="BE607" t="s">
        <v>74</v>
      </c>
      <c r="BF607" t="s">
        <v>74</v>
      </c>
      <c r="BG607" t="s">
        <v>74</v>
      </c>
      <c r="BH607" t="s">
        <v>74</v>
      </c>
      <c r="BI607">
        <v>9</v>
      </c>
      <c r="BJ607" t="s">
        <v>334</v>
      </c>
      <c r="BK607" t="s">
        <v>238</v>
      </c>
      <c r="BL607" t="s">
        <v>335</v>
      </c>
      <c r="BM607" t="s">
        <v>4887</v>
      </c>
      <c r="BN607" t="s">
        <v>74</v>
      </c>
      <c r="BO607" t="s">
        <v>74</v>
      </c>
      <c r="BP607" t="s">
        <v>74</v>
      </c>
      <c r="BQ607" t="s">
        <v>74</v>
      </c>
      <c r="BR607" t="s">
        <v>100</v>
      </c>
      <c r="BS607" t="s">
        <v>11441</v>
      </c>
      <c r="BT607" t="str">
        <f>HYPERLINK("https%3A%2F%2Fwww.webofscience.com%2Fwos%2Fwoscc%2Ffull-record%2FWOS:000375578600002","View Full Record in Web of Science")</f>
        <v>View Full Record in Web of Science</v>
      </c>
    </row>
    <row r="608" spans="1:72" x14ac:dyDescent="0.15">
      <c r="A608" t="s">
        <v>72</v>
      </c>
      <c r="B608" t="s">
        <v>11442</v>
      </c>
      <c r="C608" t="s">
        <v>74</v>
      </c>
      <c r="D608" t="s">
        <v>74</v>
      </c>
      <c r="E608" t="s">
        <v>74</v>
      </c>
      <c r="F608" t="s">
        <v>11443</v>
      </c>
      <c r="G608" t="s">
        <v>74</v>
      </c>
      <c r="H608" t="s">
        <v>74</v>
      </c>
      <c r="I608" t="s">
        <v>11444</v>
      </c>
      <c r="J608" t="s">
        <v>11445</v>
      </c>
      <c r="K608" t="s">
        <v>74</v>
      </c>
      <c r="L608" t="s">
        <v>74</v>
      </c>
      <c r="M608" t="s">
        <v>200</v>
      </c>
      <c r="N608" t="s">
        <v>79</v>
      </c>
      <c r="O608" t="s">
        <v>74</v>
      </c>
      <c r="P608" t="s">
        <v>74</v>
      </c>
      <c r="Q608" t="s">
        <v>74</v>
      </c>
      <c r="R608" t="s">
        <v>74</v>
      </c>
      <c r="S608" t="s">
        <v>74</v>
      </c>
      <c r="T608" t="s">
        <v>11446</v>
      </c>
      <c r="U608" t="s">
        <v>11447</v>
      </c>
      <c r="V608" t="s">
        <v>11448</v>
      </c>
      <c r="W608" t="s">
        <v>11449</v>
      </c>
      <c r="X608" t="s">
        <v>8769</v>
      </c>
      <c r="Y608" t="s">
        <v>11450</v>
      </c>
      <c r="Z608" t="s">
        <v>11451</v>
      </c>
      <c r="AA608" t="s">
        <v>11452</v>
      </c>
      <c r="AB608" t="s">
        <v>11453</v>
      </c>
      <c r="AC608" t="s">
        <v>11454</v>
      </c>
      <c r="AD608" t="s">
        <v>11196</v>
      </c>
      <c r="AE608" t="s">
        <v>11455</v>
      </c>
      <c r="AF608" t="s">
        <v>74</v>
      </c>
      <c r="AG608">
        <v>43</v>
      </c>
      <c r="AH608">
        <v>32</v>
      </c>
      <c r="AI608">
        <v>33</v>
      </c>
      <c r="AJ608">
        <v>2</v>
      </c>
      <c r="AK608">
        <v>23</v>
      </c>
      <c r="AL608" t="s">
        <v>11456</v>
      </c>
      <c r="AM608" t="s">
        <v>2100</v>
      </c>
      <c r="AN608" t="s">
        <v>11457</v>
      </c>
      <c r="AO608" t="s">
        <v>11458</v>
      </c>
      <c r="AP608" t="s">
        <v>74</v>
      </c>
      <c r="AQ608" t="s">
        <v>74</v>
      </c>
      <c r="AR608" t="s">
        <v>11459</v>
      </c>
      <c r="AS608" t="s">
        <v>11460</v>
      </c>
      <c r="AT608" t="s">
        <v>315</v>
      </c>
      <c r="AU608">
        <v>2016</v>
      </c>
      <c r="AV608">
        <v>3</v>
      </c>
      <c r="AW608">
        <v>1</v>
      </c>
      <c r="AX608" t="s">
        <v>74</v>
      </c>
      <c r="AY608" t="s">
        <v>74</v>
      </c>
      <c r="AZ608" t="s">
        <v>74</v>
      </c>
      <c r="BA608" t="s">
        <v>74</v>
      </c>
      <c r="BB608" t="s">
        <v>74</v>
      </c>
      <c r="BC608" t="s">
        <v>74</v>
      </c>
      <c r="BD608">
        <v>150443</v>
      </c>
      <c r="BE608" t="s">
        <v>11461</v>
      </c>
      <c r="BF608" t="str">
        <f>HYPERLINK("http://dx.doi.org/10.1098/rsos.150443","http://dx.doi.org/10.1098/rsos.150443")</f>
        <v>http://dx.doi.org/10.1098/rsos.150443</v>
      </c>
      <c r="BG608" t="s">
        <v>74</v>
      </c>
      <c r="BH608" t="s">
        <v>74</v>
      </c>
      <c r="BI608">
        <v>9</v>
      </c>
      <c r="BJ608" t="s">
        <v>3540</v>
      </c>
      <c r="BK608" t="s">
        <v>264</v>
      </c>
      <c r="BL608" t="s">
        <v>3541</v>
      </c>
      <c r="BM608" t="s">
        <v>11462</v>
      </c>
      <c r="BN608">
        <v>26909171</v>
      </c>
      <c r="BO608" t="s">
        <v>511</v>
      </c>
      <c r="BP608" t="s">
        <v>74</v>
      </c>
      <c r="BQ608" t="s">
        <v>74</v>
      </c>
      <c r="BR608" t="s">
        <v>100</v>
      </c>
      <c r="BS608" t="s">
        <v>11463</v>
      </c>
      <c r="BT608" t="str">
        <f>HYPERLINK("https%3A%2F%2Fwww.webofscience.com%2Fwos%2Fwoscc%2Ffull-record%2FWOS:000377968600012","View Full Record in Web of Science")</f>
        <v>View Full Record in Web of Science</v>
      </c>
    </row>
    <row r="609" spans="1:72" x14ac:dyDescent="0.15">
      <c r="A609" t="s">
        <v>267</v>
      </c>
      <c r="B609" t="s">
        <v>11464</v>
      </c>
      <c r="C609" t="s">
        <v>74</v>
      </c>
      <c r="D609" t="s">
        <v>11465</v>
      </c>
      <c r="E609" t="s">
        <v>74</v>
      </c>
      <c r="F609" t="s">
        <v>11466</v>
      </c>
      <c r="G609" t="s">
        <v>74</v>
      </c>
      <c r="H609" t="s">
        <v>74</v>
      </c>
      <c r="I609" t="s">
        <v>11467</v>
      </c>
      <c r="J609" t="s">
        <v>11468</v>
      </c>
      <c r="K609" t="s">
        <v>1053</v>
      </c>
      <c r="L609" t="s">
        <v>74</v>
      </c>
      <c r="M609" t="s">
        <v>200</v>
      </c>
      <c r="N609" t="s">
        <v>273</v>
      </c>
      <c r="O609" t="s">
        <v>11469</v>
      </c>
      <c r="P609" t="s">
        <v>1430</v>
      </c>
      <c r="Q609" t="s">
        <v>1129</v>
      </c>
      <c r="R609" t="s">
        <v>74</v>
      </c>
      <c r="S609" t="s">
        <v>74</v>
      </c>
      <c r="T609" t="s">
        <v>11470</v>
      </c>
      <c r="U609" t="s">
        <v>74</v>
      </c>
      <c r="V609" t="s">
        <v>11471</v>
      </c>
      <c r="W609" t="s">
        <v>11472</v>
      </c>
      <c r="X609" t="s">
        <v>11473</v>
      </c>
      <c r="Y609" t="s">
        <v>1922</v>
      </c>
      <c r="Z609" t="s">
        <v>1923</v>
      </c>
      <c r="AA609" t="s">
        <v>74</v>
      </c>
      <c r="AB609" t="s">
        <v>1924</v>
      </c>
      <c r="AC609" t="s">
        <v>74</v>
      </c>
      <c r="AD609" t="s">
        <v>74</v>
      </c>
      <c r="AE609" t="s">
        <v>74</v>
      </c>
      <c r="AF609" t="s">
        <v>74</v>
      </c>
      <c r="AG609">
        <v>5</v>
      </c>
      <c r="AH609">
        <v>7</v>
      </c>
      <c r="AI609">
        <v>9</v>
      </c>
      <c r="AJ609">
        <v>0</v>
      </c>
      <c r="AK609">
        <v>0</v>
      </c>
      <c r="AL609" t="s">
        <v>1067</v>
      </c>
      <c r="AM609" t="s">
        <v>1068</v>
      </c>
      <c r="AN609" t="s">
        <v>1069</v>
      </c>
      <c r="AO609" t="s">
        <v>1070</v>
      </c>
      <c r="AP609" t="s">
        <v>1107</v>
      </c>
      <c r="AQ609" t="s">
        <v>11474</v>
      </c>
      <c r="AR609" t="s">
        <v>1072</v>
      </c>
      <c r="AS609" t="s">
        <v>74</v>
      </c>
      <c r="AT609" t="s">
        <v>74</v>
      </c>
      <c r="AU609">
        <v>2016</v>
      </c>
      <c r="AV609">
        <v>9913</v>
      </c>
      <c r="AW609" t="s">
        <v>74</v>
      </c>
      <c r="AX609" t="s">
        <v>74</v>
      </c>
      <c r="AY609" t="s">
        <v>74</v>
      </c>
      <c r="AZ609" t="s">
        <v>74</v>
      </c>
      <c r="BA609" t="s">
        <v>74</v>
      </c>
      <c r="BB609" t="s">
        <v>74</v>
      </c>
      <c r="BC609" t="s">
        <v>74</v>
      </c>
      <c r="BD609" t="s">
        <v>11475</v>
      </c>
      <c r="BE609" t="s">
        <v>11476</v>
      </c>
      <c r="BF609" t="str">
        <f>HYPERLINK("http://dx.doi.org/10.1117/12.2231851","http://dx.doi.org/10.1117/12.2231851")</f>
        <v>http://dx.doi.org/10.1117/12.2231851</v>
      </c>
      <c r="BG609" t="s">
        <v>74</v>
      </c>
      <c r="BH609" t="s">
        <v>74</v>
      </c>
      <c r="BI609">
        <v>7</v>
      </c>
      <c r="BJ609" t="s">
        <v>11477</v>
      </c>
      <c r="BK609" t="s">
        <v>293</v>
      </c>
      <c r="BL609" t="s">
        <v>11478</v>
      </c>
      <c r="BM609" t="s">
        <v>11479</v>
      </c>
      <c r="BN609" t="s">
        <v>74</v>
      </c>
      <c r="BO609" t="s">
        <v>74</v>
      </c>
      <c r="BP609" t="s">
        <v>74</v>
      </c>
      <c r="BQ609" t="s">
        <v>74</v>
      </c>
      <c r="BR609" t="s">
        <v>100</v>
      </c>
      <c r="BS609" t="s">
        <v>11480</v>
      </c>
      <c r="BT609" t="str">
        <f>HYPERLINK("https%3A%2F%2Fwww.webofscience.com%2Fwos%2Fwoscc%2Ffull-record%2FWOS:000388804600020","View Full Record in Web of Science")</f>
        <v>View Full Record in Web of Science</v>
      </c>
    </row>
    <row r="610" spans="1:72" x14ac:dyDescent="0.15">
      <c r="A610" t="s">
        <v>72</v>
      </c>
      <c r="B610" t="s">
        <v>11481</v>
      </c>
      <c r="C610" t="s">
        <v>74</v>
      </c>
      <c r="D610" t="s">
        <v>74</v>
      </c>
      <c r="E610" t="s">
        <v>74</v>
      </c>
      <c r="F610" t="s">
        <v>11482</v>
      </c>
      <c r="G610" t="s">
        <v>74</v>
      </c>
      <c r="H610" t="s">
        <v>74</v>
      </c>
      <c r="I610" t="s">
        <v>11483</v>
      </c>
      <c r="J610" t="s">
        <v>4949</v>
      </c>
      <c r="K610" t="s">
        <v>74</v>
      </c>
      <c r="L610" t="s">
        <v>74</v>
      </c>
      <c r="M610" t="s">
        <v>200</v>
      </c>
      <c r="N610" t="s">
        <v>79</v>
      </c>
      <c r="O610" t="s">
        <v>74</v>
      </c>
      <c r="P610" t="s">
        <v>74</v>
      </c>
      <c r="Q610" t="s">
        <v>74</v>
      </c>
      <c r="R610" t="s">
        <v>74</v>
      </c>
      <c r="S610" t="s">
        <v>74</v>
      </c>
      <c r="T610" t="s">
        <v>74</v>
      </c>
      <c r="U610" t="s">
        <v>11484</v>
      </c>
      <c r="V610" t="s">
        <v>11485</v>
      </c>
      <c r="W610" t="s">
        <v>11486</v>
      </c>
      <c r="X610" t="s">
        <v>11487</v>
      </c>
      <c r="Y610" t="s">
        <v>11488</v>
      </c>
      <c r="Z610" t="s">
        <v>11489</v>
      </c>
      <c r="AA610" t="s">
        <v>11490</v>
      </c>
      <c r="AB610" t="s">
        <v>11491</v>
      </c>
      <c r="AC610" t="s">
        <v>11492</v>
      </c>
      <c r="AD610" t="s">
        <v>11493</v>
      </c>
      <c r="AE610" t="s">
        <v>11494</v>
      </c>
      <c r="AF610" t="s">
        <v>74</v>
      </c>
      <c r="AG610">
        <v>51</v>
      </c>
      <c r="AH610">
        <v>6</v>
      </c>
      <c r="AI610">
        <v>6</v>
      </c>
      <c r="AJ610">
        <v>0</v>
      </c>
      <c r="AK610">
        <v>4</v>
      </c>
      <c r="AL610" t="s">
        <v>4961</v>
      </c>
      <c r="AM610" t="s">
        <v>3175</v>
      </c>
      <c r="AN610" t="s">
        <v>4962</v>
      </c>
      <c r="AO610" t="s">
        <v>4963</v>
      </c>
      <c r="AP610" t="s">
        <v>74</v>
      </c>
      <c r="AQ610" t="s">
        <v>74</v>
      </c>
      <c r="AR610" t="s">
        <v>4949</v>
      </c>
      <c r="AS610" t="s">
        <v>4949</v>
      </c>
      <c r="AT610" t="s">
        <v>74</v>
      </c>
      <c r="AU610">
        <v>2016</v>
      </c>
      <c r="AV610">
        <v>12</v>
      </c>
      <c r="AW610" t="s">
        <v>74</v>
      </c>
      <c r="AX610" t="s">
        <v>74</v>
      </c>
      <c r="AY610" t="s">
        <v>74</v>
      </c>
      <c r="AZ610" t="s">
        <v>74</v>
      </c>
      <c r="BA610" t="s">
        <v>74</v>
      </c>
      <c r="BB610">
        <v>307</v>
      </c>
      <c r="BC610">
        <v>313</v>
      </c>
      <c r="BD610" t="s">
        <v>74</v>
      </c>
      <c r="BE610" t="s">
        <v>11495</v>
      </c>
      <c r="BF610" t="str">
        <f>HYPERLINK("http://dx.doi.org/10.2151/sola.2016-060","http://dx.doi.org/10.2151/sola.2016-060")</f>
        <v>http://dx.doi.org/10.2151/sola.2016-060</v>
      </c>
      <c r="BG610" t="s">
        <v>74</v>
      </c>
      <c r="BH610" t="s">
        <v>74</v>
      </c>
      <c r="BI610">
        <v>7</v>
      </c>
      <c r="BJ610" t="s">
        <v>1721</v>
      </c>
      <c r="BK610" t="s">
        <v>264</v>
      </c>
      <c r="BL610" t="s">
        <v>1721</v>
      </c>
      <c r="BM610" t="s">
        <v>11496</v>
      </c>
      <c r="BN610" t="s">
        <v>74</v>
      </c>
      <c r="BO610" t="s">
        <v>523</v>
      </c>
      <c r="BP610" t="s">
        <v>74</v>
      </c>
      <c r="BQ610" t="s">
        <v>74</v>
      </c>
      <c r="BR610" t="s">
        <v>100</v>
      </c>
      <c r="BS610" t="s">
        <v>11497</v>
      </c>
      <c r="BT610" t="str">
        <f>HYPERLINK("https%3A%2F%2Fwww.webofscience.com%2Fwos%2Fwoscc%2Ffull-record%2FWOS:000389446400002","View Full Record in Web of Science")</f>
        <v>View Full Record in Web of Science</v>
      </c>
    </row>
    <row r="611" spans="1:72" x14ac:dyDescent="0.15">
      <c r="A611" t="s">
        <v>72</v>
      </c>
      <c r="B611" t="s">
        <v>11498</v>
      </c>
      <c r="C611" t="s">
        <v>74</v>
      </c>
      <c r="D611" t="s">
        <v>74</v>
      </c>
      <c r="E611" t="s">
        <v>74</v>
      </c>
      <c r="F611" t="s">
        <v>11499</v>
      </c>
      <c r="G611" t="s">
        <v>74</v>
      </c>
      <c r="H611" t="s">
        <v>74</v>
      </c>
      <c r="I611" t="s">
        <v>11500</v>
      </c>
      <c r="J611" t="s">
        <v>11501</v>
      </c>
      <c r="K611" t="s">
        <v>74</v>
      </c>
      <c r="L611" t="s">
        <v>74</v>
      </c>
      <c r="M611" t="s">
        <v>200</v>
      </c>
      <c r="N611" t="s">
        <v>79</v>
      </c>
      <c r="O611" t="s">
        <v>74</v>
      </c>
      <c r="P611" t="s">
        <v>74</v>
      </c>
      <c r="Q611" t="s">
        <v>74</v>
      </c>
      <c r="R611" t="s">
        <v>74</v>
      </c>
      <c r="S611" t="s">
        <v>74</v>
      </c>
      <c r="T611" t="s">
        <v>11502</v>
      </c>
      <c r="U611" t="s">
        <v>74</v>
      </c>
      <c r="V611" t="s">
        <v>11503</v>
      </c>
      <c r="W611" t="s">
        <v>11504</v>
      </c>
      <c r="X611" t="s">
        <v>11505</v>
      </c>
      <c r="Y611" t="s">
        <v>11506</v>
      </c>
      <c r="Z611" t="s">
        <v>11507</v>
      </c>
      <c r="AA611" t="s">
        <v>11508</v>
      </c>
      <c r="AB611" t="s">
        <v>11509</v>
      </c>
      <c r="AC611" t="s">
        <v>11510</v>
      </c>
      <c r="AD611" t="s">
        <v>11511</v>
      </c>
      <c r="AE611" t="s">
        <v>11512</v>
      </c>
      <c r="AF611" t="s">
        <v>74</v>
      </c>
      <c r="AG611">
        <v>42</v>
      </c>
      <c r="AH611">
        <v>9</v>
      </c>
      <c r="AI611">
        <v>9</v>
      </c>
      <c r="AJ611">
        <v>0</v>
      </c>
      <c r="AK611">
        <v>1</v>
      </c>
      <c r="AL611" t="s">
        <v>11513</v>
      </c>
      <c r="AM611" t="s">
        <v>11514</v>
      </c>
      <c r="AN611" t="s">
        <v>11515</v>
      </c>
      <c r="AO611" t="s">
        <v>11516</v>
      </c>
      <c r="AP611" t="s">
        <v>74</v>
      </c>
      <c r="AQ611" t="s">
        <v>74</v>
      </c>
      <c r="AR611" t="s">
        <v>11517</v>
      </c>
      <c r="AS611" t="s">
        <v>11518</v>
      </c>
      <c r="AT611" t="s">
        <v>74</v>
      </c>
      <c r="AU611">
        <v>2016</v>
      </c>
      <c r="AV611">
        <v>2</v>
      </c>
      <c r="AW611">
        <v>2</v>
      </c>
      <c r="AX611" t="s">
        <v>74</v>
      </c>
      <c r="AY611" t="s">
        <v>74</v>
      </c>
      <c r="AZ611" t="s">
        <v>74</v>
      </c>
      <c r="BA611" t="s">
        <v>74</v>
      </c>
      <c r="BB611">
        <v>46</v>
      </c>
      <c r="BC611">
        <v>65</v>
      </c>
      <c r="BD611" t="s">
        <v>74</v>
      </c>
      <c r="BE611" t="s">
        <v>11519</v>
      </c>
      <c r="BF611" t="str">
        <f>HYPERLINK("http://dx.doi.org/10.12737/20999","http://dx.doi.org/10.12737/20999")</f>
        <v>http://dx.doi.org/10.12737/20999</v>
      </c>
      <c r="BG611" t="s">
        <v>74</v>
      </c>
      <c r="BH611" t="s">
        <v>74</v>
      </c>
      <c r="BI611">
        <v>20</v>
      </c>
      <c r="BJ611" t="s">
        <v>4474</v>
      </c>
      <c r="BK611" t="s">
        <v>96</v>
      </c>
      <c r="BL611" t="s">
        <v>4474</v>
      </c>
      <c r="BM611" t="s">
        <v>11520</v>
      </c>
      <c r="BN611" t="s">
        <v>74</v>
      </c>
      <c r="BO611" t="s">
        <v>486</v>
      </c>
      <c r="BP611" t="s">
        <v>74</v>
      </c>
      <c r="BQ611" t="s">
        <v>74</v>
      </c>
      <c r="BR611" t="s">
        <v>100</v>
      </c>
      <c r="BS611" t="s">
        <v>11521</v>
      </c>
      <c r="BT611" t="str">
        <f>HYPERLINK("https%3A%2F%2Fwww.webofscience.com%2Fwos%2Fwoscc%2Ffull-record%2FWOS:000439269300005","View Full Record in Web of Science")</f>
        <v>View Full Record in Web of Science</v>
      </c>
    </row>
    <row r="612" spans="1:72" x14ac:dyDescent="0.15">
      <c r="A612" t="s">
        <v>72</v>
      </c>
      <c r="B612" t="s">
        <v>11522</v>
      </c>
      <c r="C612" t="s">
        <v>74</v>
      </c>
      <c r="D612" t="s">
        <v>74</v>
      </c>
      <c r="E612" t="s">
        <v>74</v>
      </c>
      <c r="F612" t="s">
        <v>11523</v>
      </c>
      <c r="G612" t="s">
        <v>74</v>
      </c>
      <c r="H612" t="s">
        <v>74</v>
      </c>
      <c r="I612" t="s">
        <v>11524</v>
      </c>
      <c r="J612" t="s">
        <v>11501</v>
      </c>
      <c r="K612" t="s">
        <v>74</v>
      </c>
      <c r="L612" t="s">
        <v>74</v>
      </c>
      <c r="M612" t="s">
        <v>200</v>
      </c>
      <c r="N612" t="s">
        <v>79</v>
      </c>
      <c r="O612" t="s">
        <v>74</v>
      </c>
      <c r="P612" t="s">
        <v>74</v>
      </c>
      <c r="Q612" t="s">
        <v>74</v>
      </c>
      <c r="R612" t="s">
        <v>74</v>
      </c>
      <c r="S612" t="s">
        <v>74</v>
      </c>
      <c r="T612" t="s">
        <v>11525</v>
      </c>
      <c r="U612" t="s">
        <v>74</v>
      </c>
      <c r="V612" t="s">
        <v>11526</v>
      </c>
      <c r="W612" t="s">
        <v>11527</v>
      </c>
      <c r="X612" t="s">
        <v>11528</v>
      </c>
      <c r="Y612" t="s">
        <v>11529</v>
      </c>
      <c r="Z612" t="s">
        <v>11530</v>
      </c>
      <c r="AA612" t="s">
        <v>11531</v>
      </c>
      <c r="AB612" t="s">
        <v>11532</v>
      </c>
      <c r="AC612" t="s">
        <v>74</v>
      </c>
      <c r="AD612" t="s">
        <v>74</v>
      </c>
      <c r="AE612" t="s">
        <v>74</v>
      </c>
      <c r="AF612" t="s">
        <v>74</v>
      </c>
      <c r="AG612">
        <v>12</v>
      </c>
      <c r="AH612">
        <v>1</v>
      </c>
      <c r="AI612">
        <v>1</v>
      </c>
      <c r="AJ612">
        <v>0</v>
      </c>
      <c r="AK612">
        <v>0</v>
      </c>
      <c r="AL612" t="s">
        <v>11513</v>
      </c>
      <c r="AM612" t="s">
        <v>11514</v>
      </c>
      <c r="AN612" t="s">
        <v>11515</v>
      </c>
      <c r="AO612" t="s">
        <v>11516</v>
      </c>
      <c r="AP612" t="s">
        <v>74</v>
      </c>
      <c r="AQ612" t="s">
        <v>74</v>
      </c>
      <c r="AR612" t="s">
        <v>11517</v>
      </c>
      <c r="AS612" t="s">
        <v>11518</v>
      </c>
      <c r="AT612" t="s">
        <v>74</v>
      </c>
      <c r="AU612">
        <v>2016</v>
      </c>
      <c r="AV612">
        <v>2</v>
      </c>
      <c r="AW612">
        <v>1</v>
      </c>
      <c r="AX612" t="s">
        <v>74</v>
      </c>
      <c r="AY612" t="s">
        <v>74</v>
      </c>
      <c r="AZ612" t="s">
        <v>74</v>
      </c>
      <c r="BA612" t="s">
        <v>74</v>
      </c>
      <c r="BB612">
        <v>97</v>
      </c>
      <c r="BC612">
        <v>102</v>
      </c>
      <c r="BD612" t="s">
        <v>74</v>
      </c>
      <c r="BE612" t="s">
        <v>11533</v>
      </c>
      <c r="BF612" t="str">
        <f>HYPERLINK("http://dx.doi.org/10.12737/19882","http://dx.doi.org/10.12737/19882")</f>
        <v>http://dx.doi.org/10.12737/19882</v>
      </c>
      <c r="BG612" t="s">
        <v>74</v>
      </c>
      <c r="BH612" t="s">
        <v>74</v>
      </c>
      <c r="BI612">
        <v>6</v>
      </c>
      <c r="BJ612" t="s">
        <v>4474</v>
      </c>
      <c r="BK612" t="s">
        <v>96</v>
      </c>
      <c r="BL612" t="s">
        <v>4474</v>
      </c>
      <c r="BM612" t="s">
        <v>11534</v>
      </c>
      <c r="BN612" t="s">
        <v>74</v>
      </c>
      <c r="BO612" t="s">
        <v>486</v>
      </c>
      <c r="BP612" t="s">
        <v>74</v>
      </c>
      <c r="BQ612" t="s">
        <v>74</v>
      </c>
      <c r="BR612" t="s">
        <v>100</v>
      </c>
      <c r="BS612" t="s">
        <v>11535</v>
      </c>
      <c r="BT612" t="str">
        <f>HYPERLINK("https%3A%2F%2Fwww.webofscience.com%2Fwos%2Fwoscc%2Ffull-record%2FWOS:000439269100009","View Full Record in Web of Science")</f>
        <v>View Full Record in Web of Science</v>
      </c>
    </row>
    <row r="613" spans="1:72" x14ac:dyDescent="0.15">
      <c r="A613" t="s">
        <v>219</v>
      </c>
      <c r="B613" t="s">
        <v>2419</v>
      </c>
      <c r="C613" t="s">
        <v>74</v>
      </c>
      <c r="D613" t="s">
        <v>2419</v>
      </c>
      <c r="E613" t="s">
        <v>74</v>
      </c>
      <c r="F613" t="s">
        <v>11536</v>
      </c>
      <c r="G613" t="s">
        <v>74</v>
      </c>
      <c r="H613" t="s">
        <v>74</v>
      </c>
      <c r="I613" t="s">
        <v>11537</v>
      </c>
      <c r="J613" t="s">
        <v>2422</v>
      </c>
      <c r="K613" t="s">
        <v>74</v>
      </c>
      <c r="L613" t="s">
        <v>74</v>
      </c>
      <c r="M613" t="s">
        <v>200</v>
      </c>
      <c r="N613" t="s">
        <v>7694</v>
      </c>
      <c r="O613" t="s">
        <v>74</v>
      </c>
      <c r="P613" t="s">
        <v>74</v>
      </c>
      <c r="Q613" t="s">
        <v>74</v>
      </c>
      <c r="R613" t="s">
        <v>74</v>
      </c>
      <c r="S613" t="s">
        <v>74</v>
      </c>
      <c r="T613" t="s">
        <v>74</v>
      </c>
      <c r="U613" t="s">
        <v>74</v>
      </c>
      <c r="V613" t="s">
        <v>74</v>
      </c>
      <c r="W613" t="s">
        <v>11538</v>
      </c>
      <c r="X613" t="s">
        <v>11539</v>
      </c>
      <c r="Y613" t="s">
        <v>11540</v>
      </c>
      <c r="Z613" t="s">
        <v>74</v>
      </c>
      <c r="AA613" t="s">
        <v>11541</v>
      </c>
      <c r="AB613" t="s">
        <v>11542</v>
      </c>
      <c r="AC613" t="s">
        <v>74</v>
      </c>
      <c r="AD613" t="s">
        <v>74</v>
      </c>
      <c r="AE613" t="s">
        <v>74</v>
      </c>
      <c r="AF613" t="s">
        <v>74</v>
      </c>
      <c r="AG613">
        <v>0</v>
      </c>
      <c r="AH613">
        <v>2</v>
      </c>
      <c r="AI613">
        <v>2</v>
      </c>
      <c r="AJ613">
        <v>0</v>
      </c>
      <c r="AK613">
        <v>2</v>
      </c>
      <c r="AL613" t="s">
        <v>2239</v>
      </c>
      <c r="AM613" t="s">
        <v>2240</v>
      </c>
      <c r="AN613" t="s">
        <v>2429</v>
      </c>
      <c r="AO613" t="s">
        <v>74</v>
      </c>
      <c r="AP613" t="s">
        <v>74</v>
      </c>
      <c r="AQ613" t="s">
        <v>2430</v>
      </c>
      <c r="AR613" t="s">
        <v>74</v>
      </c>
      <c r="AS613" t="s">
        <v>74</v>
      </c>
      <c r="AT613" t="s">
        <v>74</v>
      </c>
      <c r="AU613">
        <v>2016</v>
      </c>
      <c r="AV613" t="s">
        <v>74</v>
      </c>
      <c r="AW613" t="s">
        <v>74</v>
      </c>
      <c r="AX613" t="s">
        <v>74</v>
      </c>
      <c r="AY613" t="s">
        <v>74</v>
      </c>
      <c r="AZ613" t="s">
        <v>74</v>
      </c>
      <c r="BA613" t="s">
        <v>74</v>
      </c>
      <c r="BB613">
        <v>398</v>
      </c>
      <c r="BC613">
        <v>399</v>
      </c>
      <c r="BD613" t="s">
        <v>74</v>
      </c>
      <c r="BE613" t="s">
        <v>74</v>
      </c>
      <c r="BF613" t="s">
        <v>74</v>
      </c>
      <c r="BG613" t="s">
        <v>2431</v>
      </c>
      <c r="BH613" t="s">
        <v>74</v>
      </c>
      <c r="BI613">
        <v>2</v>
      </c>
      <c r="BJ613" t="s">
        <v>2432</v>
      </c>
      <c r="BK613" t="s">
        <v>216</v>
      </c>
      <c r="BL613" t="s">
        <v>2433</v>
      </c>
      <c r="BM613" t="s">
        <v>2434</v>
      </c>
      <c r="BN613" t="s">
        <v>74</v>
      </c>
      <c r="BO613" t="s">
        <v>74</v>
      </c>
      <c r="BP613" t="s">
        <v>74</v>
      </c>
      <c r="BQ613" t="s">
        <v>74</v>
      </c>
      <c r="BR613" t="s">
        <v>100</v>
      </c>
      <c r="BS613" t="s">
        <v>11543</v>
      </c>
      <c r="BT613" t="str">
        <f>HYPERLINK("https%3A%2F%2Fwww.webofscience.com%2Fwos%2Fwoscc%2Ffull-record%2FWOS:000387347000029","View Full Record in Web of Science")</f>
        <v>View Full Record in Web of Science</v>
      </c>
    </row>
    <row r="614" spans="1:72" x14ac:dyDescent="0.15">
      <c r="A614" t="s">
        <v>72</v>
      </c>
      <c r="B614" t="s">
        <v>11544</v>
      </c>
      <c r="C614" t="s">
        <v>74</v>
      </c>
      <c r="D614" t="s">
        <v>74</v>
      </c>
      <c r="E614" t="s">
        <v>74</v>
      </c>
      <c r="F614" t="s">
        <v>11545</v>
      </c>
      <c r="G614" t="s">
        <v>74</v>
      </c>
      <c r="H614" t="s">
        <v>74</v>
      </c>
      <c r="I614" t="s">
        <v>11546</v>
      </c>
      <c r="J614" t="s">
        <v>11547</v>
      </c>
      <c r="K614" t="s">
        <v>74</v>
      </c>
      <c r="L614" t="s">
        <v>74</v>
      </c>
      <c r="M614" t="s">
        <v>200</v>
      </c>
      <c r="N614" t="s">
        <v>717</v>
      </c>
      <c r="O614" t="s">
        <v>74</v>
      </c>
      <c r="P614" t="s">
        <v>74</v>
      </c>
      <c r="Q614" t="s">
        <v>74</v>
      </c>
      <c r="R614" t="s">
        <v>74</v>
      </c>
      <c r="S614" t="s">
        <v>74</v>
      </c>
      <c r="T614" t="s">
        <v>74</v>
      </c>
      <c r="U614" t="s">
        <v>11548</v>
      </c>
      <c r="V614" t="s">
        <v>11549</v>
      </c>
      <c r="W614" t="s">
        <v>11550</v>
      </c>
      <c r="X614" t="s">
        <v>468</v>
      </c>
      <c r="Y614" t="s">
        <v>11551</v>
      </c>
      <c r="Z614" t="s">
        <v>11552</v>
      </c>
      <c r="AA614" t="s">
        <v>74</v>
      </c>
      <c r="AB614" t="s">
        <v>74</v>
      </c>
      <c r="AC614" t="s">
        <v>11553</v>
      </c>
      <c r="AD614" t="s">
        <v>7578</v>
      </c>
      <c r="AE614" t="s">
        <v>74</v>
      </c>
      <c r="AF614" t="s">
        <v>74</v>
      </c>
      <c r="AG614">
        <v>61</v>
      </c>
      <c r="AH614">
        <v>78</v>
      </c>
      <c r="AI614">
        <v>83</v>
      </c>
      <c r="AJ614">
        <v>0</v>
      </c>
      <c r="AK614">
        <v>55</v>
      </c>
      <c r="AL614" t="s">
        <v>6812</v>
      </c>
      <c r="AM614" t="s">
        <v>2100</v>
      </c>
      <c r="AN614" t="s">
        <v>6813</v>
      </c>
      <c r="AO614" t="s">
        <v>11554</v>
      </c>
      <c r="AP614" t="s">
        <v>11555</v>
      </c>
      <c r="AQ614" t="s">
        <v>74</v>
      </c>
      <c r="AR614" t="s">
        <v>11556</v>
      </c>
      <c r="AS614" t="s">
        <v>11557</v>
      </c>
      <c r="AT614" t="s">
        <v>315</v>
      </c>
      <c r="AU614">
        <v>2016</v>
      </c>
      <c r="AV614">
        <v>31</v>
      </c>
      <c r="AW614">
        <v>1</v>
      </c>
      <c r="AX614" t="s">
        <v>74</v>
      </c>
      <c r="AY614" t="s">
        <v>74</v>
      </c>
      <c r="AZ614" t="s">
        <v>74</v>
      </c>
      <c r="BA614" t="s">
        <v>74</v>
      </c>
      <c r="BB614">
        <v>13</v>
      </c>
      <c r="BC614">
        <v>26</v>
      </c>
      <c r="BD614" t="s">
        <v>74</v>
      </c>
      <c r="BE614" t="s">
        <v>11558</v>
      </c>
      <c r="BF614" t="str">
        <f>HYPERLINK("http://dx.doi.org/10.1016/j.tree.2015.09.014","http://dx.doi.org/10.1016/j.tree.2015.09.014")</f>
        <v>http://dx.doi.org/10.1016/j.tree.2015.09.014</v>
      </c>
      <c r="BG614" t="s">
        <v>74</v>
      </c>
      <c r="BH614" t="s">
        <v>74</v>
      </c>
      <c r="BI614">
        <v>14</v>
      </c>
      <c r="BJ614" t="s">
        <v>3036</v>
      </c>
      <c r="BK614" t="s">
        <v>264</v>
      </c>
      <c r="BL614" t="s">
        <v>3037</v>
      </c>
      <c r="BM614" t="s">
        <v>11559</v>
      </c>
      <c r="BN614">
        <v>26552514</v>
      </c>
      <c r="BO614" t="s">
        <v>431</v>
      </c>
      <c r="BP614" t="s">
        <v>74</v>
      </c>
      <c r="BQ614" t="s">
        <v>74</v>
      </c>
      <c r="BR614" t="s">
        <v>100</v>
      </c>
      <c r="BS614" t="s">
        <v>11560</v>
      </c>
      <c r="BT614" t="str">
        <f>HYPERLINK("https%3A%2F%2Fwww.webofscience.com%2Fwos%2Fwoscc%2Ffull-record%2FWOS:000368206200006","View Full Record in Web of Science")</f>
        <v>View Full Record in Web of Science</v>
      </c>
    </row>
    <row r="615" spans="1:72" x14ac:dyDescent="0.15">
      <c r="A615" t="s">
        <v>72</v>
      </c>
      <c r="B615" t="s">
        <v>11561</v>
      </c>
      <c r="C615" t="s">
        <v>74</v>
      </c>
      <c r="D615" t="s">
        <v>74</v>
      </c>
      <c r="E615" t="s">
        <v>74</v>
      </c>
      <c r="F615" t="s">
        <v>11562</v>
      </c>
      <c r="G615" t="s">
        <v>74</v>
      </c>
      <c r="H615" t="s">
        <v>74</v>
      </c>
      <c r="I615" t="s">
        <v>11563</v>
      </c>
      <c r="J615" t="s">
        <v>11547</v>
      </c>
      <c r="K615" t="s">
        <v>74</v>
      </c>
      <c r="L615" t="s">
        <v>74</v>
      </c>
      <c r="M615" t="s">
        <v>200</v>
      </c>
      <c r="N615" t="s">
        <v>717</v>
      </c>
      <c r="O615" t="s">
        <v>74</v>
      </c>
      <c r="P615" t="s">
        <v>74</v>
      </c>
      <c r="Q615" t="s">
        <v>74</v>
      </c>
      <c r="R615" t="s">
        <v>74</v>
      </c>
      <c r="S615" t="s">
        <v>74</v>
      </c>
      <c r="T615" t="s">
        <v>74</v>
      </c>
      <c r="U615" t="s">
        <v>11564</v>
      </c>
      <c r="V615" t="s">
        <v>11565</v>
      </c>
      <c r="W615" t="s">
        <v>11566</v>
      </c>
      <c r="X615" t="s">
        <v>11567</v>
      </c>
      <c r="Y615" t="s">
        <v>11568</v>
      </c>
      <c r="Z615" t="s">
        <v>11569</v>
      </c>
      <c r="AA615" t="s">
        <v>11570</v>
      </c>
      <c r="AB615" t="s">
        <v>11571</v>
      </c>
      <c r="AC615" t="s">
        <v>11572</v>
      </c>
      <c r="AD615" t="s">
        <v>11573</v>
      </c>
      <c r="AE615" t="s">
        <v>11574</v>
      </c>
      <c r="AF615" t="s">
        <v>74</v>
      </c>
      <c r="AG615">
        <v>74</v>
      </c>
      <c r="AH615">
        <v>41</v>
      </c>
      <c r="AI615">
        <v>43</v>
      </c>
      <c r="AJ615">
        <v>2</v>
      </c>
      <c r="AK615">
        <v>103</v>
      </c>
      <c r="AL615" t="s">
        <v>6812</v>
      </c>
      <c r="AM615" t="s">
        <v>2100</v>
      </c>
      <c r="AN615" t="s">
        <v>6813</v>
      </c>
      <c r="AO615" t="s">
        <v>11554</v>
      </c>
      <c r="AP615" t="s">
        <v>11555</v>
      </c>
      <c r="AQ615" t="s">
        <v>74</v>
      </c>
      <c r="AR615" t="s">
        <v>11556</v>
      </c>
      <c r="AS615" t="s">
        <v>11557</v>
      </c>
      <c r="AT615" t="s">
        <v>315</v>
      </c>
      <c r="AU615">
        <v>2016</v>
      </c>
      <c r="AV615">
        <v>31</v>
      </c>
      <c r="AW615">
        <v>1</v>
      </c>
      <c r="AX615" t="s">
        <v>74</v>
      </c>
      <c r="AY615" t="s">
        <v>74</v>
      </c>
      <c r="AZ615" t="s">
        <v>74</v>
      </c>
      <c r="BA615" t="s">
        <v>74</v>
      </c>
      <c r="BB615">
        <v>44</v>
      </c>
      <c r="BC615">
        <v>53</v>
      </c>
      <c r="BD615" t="s">
        <v>74</v>
      </c>
      <c r="BE615" t="s">
        <v>11575</v>
      </c>
      <c r="BF615" t="str">
        <f>HYPERLINK("http://dx.doi.org/10.1016/j.tree.2015.11.007","http://dx.doi.org/10.1016/j.tree.2015.11.007")</f>
        <v>http://dx.doi.org/10.1016/j.tree.2015.11.007</v>
      </c>
      <c r="BG615" t="s">
        <v>74</v>
      </c>
      <c r="BH615" t="s">
        <v>74</v>
      </c>
      <c r="BI615">
        <v>10</v>
      </c>
      <c r="BJ615" t="s">
        <v>3036</v>
      </c>
      <c r="BK615" t="s">
        <v>264</v>
      </c>
      <c r="BL615" t="s">
        <v>3037</v>
      </c>
      <c r="BM615" t="s">
        <v>11559</v>
      </c>
      <c r="BN615">
        <v>26688445</v>
      </c>
      <c r="BO615" t="s">
        <v>8699</v>
      </c>
      <c r="BP615" t="s">
        <v>74</v>
      </c>
      <c r="BQ615" t="s">
        <v>74</v>
      </c>
      <c r="BR615" t="s">
        <v>100</v>
      </c>
      <c r="BS615" t="s">
        <v>11576</v>
      </c>
      <c r="BT615" t="str">
        <f>HYPERLINK("https%3A%2F%2Fwww.webofscience.com%2Fwos%2Fwoscc%2Ffull-record%2FWOS:000368206200009","View Full Record in Web of Science")</f>
        <v>View Full Record in Web of Science</v>
      </c>
    </row>
    <row r="616" spans="1:72" x14ac:dyDescent="0.15">
      <c r="A616" t="s">
        <v>219</v>
      </c>
      <c r="B616" t="s">
        <v>11577</v>
      </c>
      <c r="C616" t="s">
        <v>74</v>
      </c>
      <c r="D616" t="s">
        <v>11578</v>
      </c>
      <c r="E616" t="s">
        <v>74</v>
      </c>
      <c r="F616" t="s">
        <v>11579</v>
      </c>
      <c r="G616" t="s">
        <v>74</v>
      </c>
      <c r="H616" t="s">
        <v>74</v>
      </c>
      <c r="I616" t="s">
        <v>11580</v>
      </c>
      <c r="J616" t="s">
        <v>11581</v>
      </c>
      <c r="K616" t="s">
        <v>74</v>
      </c>
      <c r="L616" t="s">
        <v>74</v>
      </c>
      <c r="M616" t="s">
        <v>200</v>
      </c>
      <c r="N616" t="s">
        <v>201</v>
      </c>
      <c r="O616" t="s">
        <v>74</v>
      </c>
      <c r="P616" t="s">
        <v>74</v>
      </c>
      <c r="Q616" t="s">
        <v>74</v>
      </c>
      <c r="R616" t="s">
        <v>74</v>
      </c>
      <c r="S616" t="s">
        <v>74</v>
      </c>
      <c r="T616" t="s">
        <v>74</v>
      </c>
      <c r="U616" t="s">
        <v>11582</v>
      </c>
      <c r="V616" t="s">
        <v>11583</v>
      </c>
      <c r="W616" t="s">
        <v>11584</v>
      </c>
      <c r="X616" t="s">
        <v>468</v>
      </c>
      <c r="Y616" t="s">
        <v>11585</v>
      </c>
      <c r="Z616" t="s">
        <v>11586</v>
      </c>
      <c r="AA616" t="s">
        <v>11587</v>
      </c>
      <c r="AB616" t="s">
        <v>11588</v>
      </c>
      <c r="AC616" t="s">
        <v>74</v>
      </c>
      <c r="AD616" t="s">
        <v>74</v>
      </c>
      <c r="AE616" t="s">
        <v>74</v>
      </c>
      <c r="AF616" t="s">
        <v>74</v>
      </c>
      <c r="AG616">
        <v>108</v>
      </c>
      <c r="AH616">
        <v>5</v>
      </c>
      <c r="AI616">
        <v>5</v>
      </c>
      <c r="AJ616">
        <v>0</v>
      </c>
      <c r="AK616">
        <v>0</v>
      </c>
      <c r="AL616" t="s">
        <v>1385</v>
      </c>
      <c r="AM616" t="s">
        <v>289</v>
      </c>
      <c r="AN616" t="s">
        <v>3484</v>
      </c>
      <c r="AO616" t="s">
        <v>74</v>
      </c>
      <c r="AP616" t="s">
        <v>74</v>
      </c>
      <c r="AQ616" t="s">
        <v>11589</v>
      </c>
      <c r="AR616" t="s">
        <v>74</v>
      </c>
      <c r="AS616" t="s">
        <v>74</v>
      </c>
      <c r="AT616" t="s">
        <v>74</v>
      </c>
      <c r="AU616">
        <v>2016</v>
      </c>
      <c r="AV616" t="s">
        <v>74</v>
      </c>
      <c r="AW616" t="s">
        <v>74</v>
      </c>
      <c r="AX616" t="s">
        <v>74</v>
      </c>
      <c r="AY616" t="s">
        <v>74</v>
      </c>
      <c r="AZ616" t="s">
        <v>74</v>
      </c>
      <c r="BA616" t="s">
        <v>74</v>
      </c>
      <c r="BB616">
        <v>217</v>
      </c>
      <c r="BC616">
        <v>243</v>
      </c>
      <c r="BD616" t="s">
        <v>74</v>
      </c>
      <c r="BE616" t="s">
        <v>74</v>
      </c>
      <c r="BF616" t="s">
        <v>74</v>
      </c>
      <c r="BG616" t="s">
        <v>11590</v>
      </c>
      <c r="BH616" t="s">
        <v>74</v>
      </c>
      <c r="BI616">
        <v>27</v>
      </c>
      <c r="BJ616" t="s">
        <v>11591</v>
      </c>
      <c r="BK616" t="s">
        <v>216</v>
      </c>
      <c r="BL616" t="s">
        <v>11591</v>
      </c>
      <c r="BM616" t="s">
        <v>11592</v>
      </c>
      <c r="BN616" t="s">
        <v>74</v>
      </c>
      <c r="BO616" t="s">
        <v>74</v>
      </c>
      <c r="BP616" t="s">
        <v>74</v>
      </c>
      <c r="BQ616" t="s">
        <v>74</v>
      </c>
      <c r="BR616" t="s">
        <v>100</v>
      </c>
      <c r="BS616" t="s">
        <v>11593</v>
      </c>
      <c r="BT616" t="str">
        <f>HYPERLINK("https%3A%2F%2Fwww.webofscience.com%2Fwos%2Fwoscc%2Ffull-record%2FWOS:000428855400011","View Full Record in Web of Science")</f>
        <v>View Full Record in Web of Science</v>
      </c>
    </row>
    <row r="617" spans="1:72" x14ac:dyDescent="0.15">
      <c r="A617" t="s">
        <v>219</v>
      </c>
      <c r="B617" t="s">
        <v>11594</v>
      </c>
      <c r="C617" t="s">
        <v>74</v>
      </c>
      <c r="D617" t="s">
        <v>11578</v>
      </c>
      <c r="E617" t="s">
        <v>74</v>
      </c>
      <c r="F617" t="s">
        <v>11595</v>
      </c>
      <c r="G617" t="s">
        <v>74</v>
      </c>
      <c r="H617" t="s">
        <v>74</v>
      </c>
      <c r="I617" t="s">
        <v>11596</v>
      </c>
      <c r="J617" t="s">
        <v>11581</v>
      </c>
      <c r="K617" t="s">
        <v>74</v>
      </c>
      <c r="L617" t="s">
        <v>74</v>
      </c>
      <c r="M617" t="s">
        <v>200</v>
      </c>
      <c r="N617" t="s">
        <v>201</v>
      </c>
      <c r="O617" t="s">
        <v>74</v>
      </c>
      <c r="P617" t="s">
        <v>74</v>
      </c>
      <c r="Q617" t="s">
        <v>74</v>
      </c>
      <c r="R617" t="s">
        <v>74</v>
      </c>
      <c r="S617" t="s">
        <v>74</v>
      </c>
      <c r="T617" t="s">
        <v>74</v>
      </c>
      <c r="U617" t="s">
        <v>11597</v>
      </c>
      <c r="V617" t="s">
        <v>11598</v>
      </c>
      <c r="W617" t="s">
        <v>11599</v>
      </c>
      <c r="X617" t="s">
        <v>11600</v>
      </c>
      <c r="Y617" t="s">
        <v>11601</v>
      </c>
      <c r="Z617" t="s">
        <v>11602</v>
      </c>
      <c r="AA617" t="s">
        <v>11603</v>
      </c>
      <c r="AB617" t="s">
        <v>11604</v>
      </c>
      <c r="AC617" t="s">
        <v>74</v>
      </c>
      <c r="AD617" t="s">
        <v>74</v>
      </c>
      <c r="AE617" t="s">
        <v>74</v>
      </c>
      <c r="AF617" t="s">
        <v>74</v>
      </c>
      <c r="AG617">
        <v>62</v>
      </c>
      <c r="AH617">
        <v>6</v>
      </c>
      <c r="AI617">
        <v>6</v>
      </c>
      <c r="AJ617">
        <v>0</v>
      </c>
      <c r="AK617">
        <v>0</v>
      </c>
      <c r="AL617" t="s">
        <v>1385</v>
      </c>
      <c r="AM617" t="s">
        <v>289</v>
      </c>
      <c r="AN617" t="s">
        <v>3484</v>
      </c>
      <c r="AO617" t="s">
        <v>74</v>
      </c>
      <c r="AP617" t="s">
        <v>74</v>
      </c>
      <c r="AQ617" t="s">
        <v>11589</v>
      </c>
      <c r="AR617" t="s">
        <v>74</v>
      </c>
      <c r="AS617" t="s">
        <v>74</v>
      </c>
      <c r="AT617" t="s">
        <v>74</v>
      </c>
      <c r="AU617">
        <v>2016</v>
      </c>
      <c r="AV617" t="s">
        <v>74</v>
      </c>
      <c r="AW617" t="s">
        <v>74</v>
      </c>
      <c r="AX617" t="s">
        <v>74</v>
      </c>
      <c r="AY617" t="s">
        <v>74</v>
      </c>
      <c r="AZ617" t="s">
        <v>74</v>
      </c>
      <c r="BA617" t="s">
        <v>74</v>
      </c>
      <c r="BB617">
        <v>354</v>
      </c>
      <c r="BC617">
        <v>376</v>
      </c>
      <c r="BD617" t="s">
        <v>74</v>
      </c>
      <c r="BE617" t="s">
        <v>74</v>
      </c>
      <c r="BF617" t="s">
        <v>74</v>
      </c>
      <c r="BG617" t="s">
        <v>11590</v>
      </c>
      <c r="BH617" t="s">
        <v>74</v>
      </c>
      <c r="BI617">
        <v>23</v>
      </c>
      <c r="BJ617" t="s">
        <v>11591</v>
      </c>
      <c r="BK617" t="s">
        <v>216</v>
      </c>
      <c r="BL617" t="s">
        <v>11591</v>
      </c>
      <c r="BM617" t="s">
        <v>11592</v>
      </c>
      <c r="BN617" t="s">
        <v>74</v>
      </c>
      <c r="BO617" t="s">
        <v>74</v>
      </c>
      <c r="BP617" t="s">
        <v>74</v>
      </c>
      <c r="BQ617" t="s">
        <v>74</v>
      </c>
      <c r="BR617" t="s">
        <v>100</v>
      </c>
      <c r="BS617" t="s">
        <v>11605</v>
      </c>
      <c r="BT617" t="str">
        <f>HYPERLINK("https%3A%2F%2Fwww.webofscience.com%2Fwos%2Fwoscc%2Ffull-record%2FWOS:000428855400016","View Full Record in Web of Science")</f>
        <v>View Full Record in Web of Science</v>
      </c>
    </row>
    <row r="618" spans="1:72" x14ac:dyDescent="0.15">
      <c r="A618" t="s">
        <v>72</v>
      </c>
      <c r="B618" t="s">
        <v>11606</v>
      </c>
      <c r="C618" t="s">
        <v>74</v>
      </c>
      <c r="D618" t="s">
        <v>74</v>
      </c>
      <c r="E618" t="s">
        <v>74</v>
      </c>
      <c r="F618" t="s">
        <v>11607</v>
      </c>
      <c r="G618" t="s">
        <v>74</v>
      </c>
      <c r="H618" t="s">
        <v>74</v>
      </c>
      <c r="I618" t="s">
        <v>11608</v>
      </c>
      <c r="J618" t="s">
        <v>11609</v>
      </c>
      <c r="K618" t="s">
        <v>74</v>
      </c>
      <c r="L618" t="s">
        <v>74</v>
      </c>
      <c r="M618" t="s">
        <v>200</v>
      </c>
      <c r="N618" t="s">
        <v>79</v>
      </c>
      <c r="O618" t="s">
        <v>74</v>
      </c>
      <c r="P618" t="s">
        <v>74</v>
      </c>
      <c r="Q618" t="s">
        <v>74</v>
      </c>
      <c r="R618" t="s">
        <v>74</v>
      </c>
      <c r="S618" t="s">
        <v>74</v>
      </c>
      <c r="T618" t="s">
        <v>11610</v>
      </c>
      <c r="U618" t="s">
        <v>11611</v>
      </c>
      <c r="V618" t="s">
        <v>11612</v>
      </c>
      <c r="W618" t="s">
        <v>11613</v>
      </c>
      <c r="X618" t="s">
        <v>11614</v>
      </c>
      <c r="Y618" t="s">
        <v>11615</v>
      </c>
      <c r="Z618" t="s">
        <v>11616</v>
      </c>
      <c r="AA618" t="s">
        <v>74</v>
      </c>
      <c r="AB618" t="s">
        <v>11617</v>
      </c>
      <c r="AC618" t="s">
        <v>11618</v>
      </c>
      <c r="AD618" t="s">
        <v>11619</v>
      </c>
      <c r="AE618" t="s">
        <v>11620</v>
      </c>
      <c r="AF618" t="s">
        <v>74</v>
      </c>
      <c r="AG618">
        <v>24</v>
      </c>
      <c r="AH618">
        <v>8</v>
      </c>
      <c r="AI618">
        <v>8</v>
      </c>
      <c r="AJ618">
        <v>0</v>
      </c>
      <c r="AK618">
        <v>10</v>
      </c>
      <c r="AL618" t="s">
        <v>11621</v>
      </c>
      <c r="AM618" t="s">
        <v>786</v>
      </c>
      <c r="AN618" t="s">
        <v>11622</v>
      </c>
      <c r="AO618" t="s">
        <v>11623</v>
      </c>
      <c r="AP618" t="s">
        <v>11624</v>
      </c>
      <c r="AQ618" t="s">
        <v>74</v>
      </c>
      <c r="AR618" t="s">
        <v>11609</v>
      </c>
      <c r="AS618" t="s">
        <v>11625</v>
      </c>
      <c r="AT618" t="s">
        <v>74</v>
      </c>
      <c r="AU618">
        <v>2016</v>
      </c>
      <c r="AV618" t="s">
        <v>74</v>
      </c>
      <c r="AW618">
        <v>604</v>
      </c>
      <c r="AX618" t="s">
        <v>74</v>
      </c>
      <c r="AY618" t="s">
        <v>74</v>
      </c>
      <c r="AZ618" t="s">
        <v>74</v>
      </c>
      <c r="BA618" t="s">
        <v>74</v>
      </c>
      <c r="BB618">
        <v>13</v>
      </c>
      <c r="BC618">
        <v>30</v>
      </c>
      <c r="BD618" t="s">
        <v>74</v>
      </c>
      <c r="BE618" t="s">
        <v>11626</v>
      </c>
      <c r="BF618" t="str">
        <f>HYPERLINK("http://dx.doi.org/10.3897/zookeys.604.8976","http://dx.doi.org/10.3897/zookeys.604.8976")</f>
        <v>http://dx.doi.org/10.3897/zookeys.604.8976</v>
      </c>
      <c r="BG618" t="s">
        <v>74</v>
      </c>
      <c r="BH618" t="s">
        <v>74</v>
      </c>
      <c r="BI618">
        <v>18</v>
      </c>
      <c r="BJ618" t="s">
        <v>672</v>
      </c>
      <c r="BK618" t="s">
        <v>264</v>
      </c>
      <c r="BL618" t="s">
        <v>672</v>
      </c>
      <c r="BM618" t="s">
        <v>11627</v>
      </c>
      <c r="BN618">
        <v>27551204</v>
      </c>
      <c r="BO618" t="s">
        <v>4294</v>
      </c>
      <c r="BP618" t="s">
        <v>74</v>
      </c>
      <c r="BQ618" t="s">
        <v>74</v>
      </c>
      <c r="BR618" t="s">
        <v>100</v>
      </c>
      <c r="BS618" t="s">
        <v>11628</v>
      </c>
      <c r="BT618" t="str">
        <f>HYPERLINK("https%3A%2F%2Fwww.webofscience.com%2Fwos%2Fwoscc%2Ffull-record%2FWOS:000379555100002","View Full Record in Web of Science")</f>
        <v>View Full Record in Web of Science</v>
      </c>
    </row>
    <row r="619" spans="1:72" x14ac:dyDescent="0.15">
      <c r="A619" t="s">
        <v>72</v>
      </c>
      <c r="B619" t="s">
        <v>11629</v>
      </c>
      <c r="C619" t="s">
        <v>74</v>
      </c>
      <c r="D619" t="s">
        <v>74</v>
      </c>
      <c r="E619" t="s">
        <v>74</v>
      </c>
      <c r="F619" t="s">
        <v>11630</v>
      </c>
      <c r="G619" t="s">
        <v>74</v>
      </c>
      <c r="H619" t="s">
        <v>74</v>
      </c>
      <c r="I619" t="s">
        <v>11631</v>
      </c>
      <c r="J619" t="s">
        <v>11609</v>
      </c>
      <c r="K619" t="s">
        <v>74</v>
      </c>
      <c r="L619" t="s">
        <v>74</v>
      </c>
      <c r="M619" t="s">
        <v>200</v>
      </c>
      <c r="N619" t="s">
        <v>79</v>
      </c>
      <c r="O619" t="s">
        <v>74</v>
      </c>
      <c r="P619" t="s">
        <v>74</v>
      </c>
      <c r="Q619" t="s">
        <v>74</v>
      </c>
      <c r="R619" t="s">
        <v>74</v>
      </c>
      <c r="S619" t="s">
        <v>74</v>
      </c>
      <c r="T619" t="s">
        <v>11632</v>
      </c>
      <c r="U619" t="s">
        <v>11633</v>
      </c>
      <c r="V619" t="s">
        <v>11634</v>
      </c>
      <c r="W619" t="s">
        <v>11635</v>
      </c>
      <c r="X619" t="s">
        <v>11636</v>
      </c>
      <c r="Y619" t="s">
        <v>11637</v>
      </c>
      <c r="Z619" t="s">
        <v>11638</v>
      </c>
      <c r="AA619" t="s">
        <v>74</v>
      </c>
      <c r="AB619" t="s">
        <v>74</v>
      </c>
      <c r="AC619" t="s">
        <v>11639</v>
      </c>
      <c r="AD619" t="s">
        <v>11640</v>
      </c>
      <c r="AE619" t="s">
        <v>11641</v>
      </c>
      <c r="AF619" t="s">
        <v>74</v>
      </c>
      <c r="AG619">
        <v>33</v>
      </c>
      <c r="AH619">
        <v>11</v>
      </c>
      <c r="AI619">
        <v>12</v>
      </c>
      <c r="AJ619">
        <v>1</v>
      </c>
      <c r="AK619">
        <v>11</v>
      </c>
      <c r="AL619" t="s">
        <v>11621</v>
      </c>
      <c r="AM619" t="s">
        <v>786</v>
      </c>
      <c r="AN619" t="s">
        <v>11622</v>
      </c>
      <c r="AO619" t="s">
        <v>11623</v>
      </c>
      <c r="AP619" t="s">
        <v>11624</v>
      </c>
      <c r="AQ619" t="s">
        <v>74</v>
      </c>
      <c r="AR619" t="s">
        <v>11609</v>
      </c>
      <c r="AS619" t="s">
        <v>11625</v>
      </c>
      <c r="AT619" t="s">
        <v>74</v>
      </c>
      <c r="AU619">
        <v>2016</v>
      </c>
      <c r="AV619" t="s">
        <v>74</v>
      </c>
      <c r="AW619">
        <v>635</v>
      </c>
      <c r="AX619" t="s">
        <v>74</v>
      </c>
      <c r="AY619" t="s">
        <v>74</v>
      </c>
      <c r="AZ619" t="s">
        <v>74</v>
      </c>
      <c r="BA619" t="s">
        <v>74</v>
      </c>
      <c r="BB619">
        <v>109</v>
      </c>
      <c r="BC619">
        <v>122</v>
      </c>
      <c r="BD619" t="s">
        <v>74</v>
      </c>
      <c r="BE619" t="s">
        <v>11642</v>
      </c>
      <c r="BF619" t="str">
        <f>HYPERLINK("http://dx.doi.org/10.3897/zookeys.635.10535","http://dx.doi.org/10.3897/zookeys.635.10535")</f>
        <v>http://dx.doi.org/10.3897/zookeys.635.10535</v>
      </c>
      <c r="BG619" t="s">
        <v>74</v>
      </c>
      <c r="BH619" t="s">
        <v>74</v>
      </c>
      <c r="BI619">
        <v>14</v>
      </c>
      <c r="BJ619" t="s">
        <v>672</v>
      </c>
      <c r="BK619" t="s">
        <v>264</v>
      </c>
      <c r="BL619" t="s">
        <v>672</v>
      </c>
      <c r="BM619" t="s">
        <v>11643</v>
      </c>
      <c r="BN619">
        <v>27917060</v>
      </c>
      <c r="BO619" t="s">
        <v>7447</v>
      </c>
      <c r="BP619" t="s">
        <v>74</v>
      </c>
      <c r="BQ619" t="s">
        <v>74</v>
      </c>
      <c r="BR619" t="s">
        <v>100</v>
      </c>
      <c r="BS619" t="s">
        <v>11644</v>
      </c>
      <c r="BT619" t="str">
        <f>HYPERLINK("https%3A%2F%2Fwww.webofscience.com%2Fwos%2Fwoscc%2Ffull-record%2FWOS:000388508900006","View Full Record in Web of Science")</f>
        <v>View Full Record in Web of Science</v>
      </c>
    </row>
    <row r="620" spans="1:72" x14ac:dyDescent="0.15">
      <c r="A620" t="s">
        <v>72</v>
      </c>
      <c r="B620" t="s">
        <v>11645</v>
      </c>
      <c r="C620" t="s">
        <v>74</v>
      </c>
      <c r="D620" t="s">
        <v>74</v>
      </c>
      <c r="E620" t="s">
        <v>74</v>
      </c>
      <c r="F620" t="s">
        <v>11646</v>
      </c>
      <c r="G620" t="s">
        <v>74</v>
      </c>
      <c r="H620" t="s">
        <v>74</v>
      </c>
      <c r="I620" t="s">
        <v>11647</v>
      </c>
      <c r="J620" t="s">
        <v>11648</v>
      </c>
      <c r="K620" t="s">
        <v>74</v>
      </c>
      <c r="L620" t="s">
        <v>74</v>
      </c>
      <c r="M620" t="s">
        <v>200</v>
      </c>
      <c r="N620" t="s">
        <v>79</v>
      </c>
      <c r="O620" t="s">
        <v>74</v>
      </c>
      <c r="P620" t="s">
        <v>74</v>
      </c>
      <c r="Q620" t="s">
        <v>74</v>
      </c>
      <c r="R620" t="s">
        <v>74</v>
      </c>
      <c r="S620" t="s">
        <v>74</v>
      </c>
      <c r="T620" t="s">
        <v>11649</v>
      </c>
      <c r="U620" t="s">
        <v>11650</v>
      </c>
      <c r="V620" t="s">
        <v>11651</v>
      </c>
      <c r="W620" t="s">
        <v>11652</v>
      </c>
      <c r="X620" t="s">
        <v>11653</v>
      </c>
      <c r="Y620" t="s">
        <v>11654</v>
      </c>
      <c r="Z620" t="s">
        <v>11655</v>
      </c>
      <c r="AA620" t="s">
        <v>11656</v>
      </c>
      <c r="AB620" t="s">
        <v>11657</v>
      </c>
      <c r="AC620" t="s">
        <v>11658</v>
      </c>
      <c r="AD620" t="s">
        <v>11659</v>
      </c>
      <c r="AE620" t="s">
        <v>11660</v>
      </c>
      <c r="AF620" t="s">
        <v>74</v>
      </c>
      <c r="AG620">
        <v>38</v>
      </c>
      <c r="AH620">
        <v>8</v>
      </c>
      <c r="AI620">
        <v>9</v>
      </c>
      <c r="AJ620">
        <v>4</v>
      </c>
      <c r="AK620">
        <v>65</v>
      </c>
      <c r="AL620" t="s">
        <v>6056</v>
      </c>
      <c r="AM620" t="s">
        <v>6057</v>
      </c>
      <c r="AN620" t="s">
        <v>6058</v>
      </c>
      <c r="AO620" t="s">
        <v>11661</v>
      </c>
      <c r="AP620" t="s">
        <v>11662</v>
      </c>
      <c r="AQ620" t="s">
        <v>74</v>
      </c>
      <c r="AR620" t="s">
        <v>11663</v>
      </c>
      <c r="AS620" t="s">
        <v>11664</v>
      </c>
      <c r="AT620" t="s">
        <v>315</v>
      </c>
      <c r="AU620">
        <v>2016</v>
      </c>
      <c r="AV620">
        <v>33</v>
      </c>
      <c r="AW620">
        <v>1</v>
      </c>
      <c r="AX620" t="s">
        <v>74</v>
      </c>
      <c r="AY620" t="s">
        <v>74</v>
      </c>
      <c r="AZ620" t="s">
        <v>74</v>
      </c>
      <c r="BA620" t="s">
        <v>74</v>
      </c>
      <c r="BB620">
        <v>47</v>
      </c>
      <c r="BC620">
        <v>57</v>
      </c>
      <c r="BD620" t="s">
        <v>74</v>
      </c>
      <c r="BE620" t="s">
        <v>11665</v>
      </c>
      <c r="BF620" t="str">
        <f>HYPERLINK("http://dx.doi.org/10.1007/s00376-015-5094-7","http://dx.doi.org/10.1007/s00376-015-5094-7")</f>
        <v>http://dx.doi.org/10.1007/s00376-015-5094-7</v>
      </c>
      <c r="BG620" t="s">
        <v>74</v>
      </c>
      <c r="BH620" t="s">
        <v>74</v>
      </c>
      <c r="BI620">
        <v>11</v>
      </c>
      <c r="BJ620" t="s">
        <v>1721</v>
      </c>
      <c r="BK620" t="s">
        <v>264</v>
      </c>
      <c r="BL620" t="s">
        <v>1721</v>
      </c>
      <c r="BM620" t="s">
        <v>11666</v>
      </c>
      <c r="BN620" t="s">
        <v>74</v>
      </c>
      <c r="BO620" t="s">
        <v>74</v>
      </c>
      <c r="BP620" t="s">
        <v>74</v>
      </c>
      <c r="BQ620" t="s">
        <v>74</v>
      </c>
      <c r="BR620" t="s">
        <v>100</v>
      </c>
      <c r="BS620" t="s">
        <v>11667</v>
      </c>
      <c r="BT620" t="str">
        <f>HYPERLINK("https%3A%2F%2Fwww.webofscience.com%2Fwos%2Fwoscc%2Ffull-record%2FWOS:000365703700005","View Full Record in Web of Science")</f>
        <v>View Full Record in Web of Science</v>
      </c>
    </row>
    <row r="621" spans="1:72" x14ac:dyDescent="0.15">
      <c r="A621" t="s">
        <v>72</v>
      </c>
      <c r="B621" t="s">
        <v>11668</v>
      </c>
      <c r="C621" t="s">
        <v>74</v>
      </c>
      <c r="D621" t="s">
        <v>74</v>
      </c>
      <c r="E621" t="s">
        <v>74</v>
      </c>
      <c r="F621" t="s">
        <v>11669</v>
      </c>
      <c r="G621" t="s">
        <v>74</v>
      </c>
      <c r="H621" t="s">
        <v>74</v>
      </c>
      <c r="I621" t="s">
        <v>11670</v>
      </c>
      <c r="J621" t="s">
        <v>9609</v>
      </c>
      <c r="K621" t="s">
        <v>74</v>
      </c>
      <c r="L621" t="s">
        <v>74</v>
      </c>
      <c r="M621" t="s">
        <v>200</v>
      </c>
      <c r="N621" t="s">
        <v>79</v>
      </c>
      <c r="O621" t="s">
        <v>74</v>
      </c>
      <c r="P621" t="s">
        <v>74</v>
      </c>
      <c r="Q621" t="s">
        <v>74</v>
      </c>
      <c r="R621" t="s">
        <v>74</v>
      </c>
      <c r="S621" t="s">
        <v>74</v>
      </c>
      <c r="T621" t="s">
        <v>11671</v>
      </c>
      <c r="U621" t="s">
        <v>11672</v>
      </c>
      <c r="V621" t="s">
        <v>11673</v>
      </c>
      <c r="W621" t="s">
        <v>11674</v>
      </c>
      <c r="X621" t="s">
        <v>11675</v>
      </c>
      <c r="Y621" t="s">
        <v>11676</v>
      </c>
      <c r="Z621" t="s">
        <v>11677</v>
      </c>
      <c r="AA621" t="s">
        <v>11678</v>
      </c>
      <c r="AB621" t="s">
        <v>11679</v>
      </c>
      <c r="AC621" t="s">
        <v>11680</v>
      </c>
      <c r="AD621" t="s">
        <v>11680</v>
      </c>
      <c r="AE621" t="s">
        <v>11681</v>
      </c>
      <c r="AF621" t="s">
        <v>74</v>
      </c>
      <c r="AG621">
        <v>72</v>
      </c>
      <c r="AH621">
        <v>8</v>
      </c>
      <c r="AI621">
        <v>8</v>
      </c>
      <c r="AJ621">
        <v>0</v>
      </c>
      <c r="AK621">
        <v>20</v>
      </c>
      <c r="AL621" t="s">
        <v>3560</v>
      </c>
      <c r="AM621" t="s">
        <v>4093</v>
      </c>
      <c r="AN621" t="s">
        <v>6706</v>
      </c>
      <c r="AO621" t="s">
        <v>9625</v>
      </c>
      <c r="AP621" t="s">
        <v>9626</v>
      </c>
      <c r="AQ621" t="s">
        <v>74</v>
      </c>
      <c r="AR621" t="s">
        <v>9609</v>
      </c>
      <c r="AS621" t="s">
        <v>9627</v>
      </c>
      <c r="AT621" t="s">
        <v>315</v>
      </c>
      <c r="AU621">
        <v>2016</v>
      </c>
      <c r="AV621">
        <v>763</v>
      </c>
      <c r="AW621">
        <v>1</v>
      </c>
      <c r="AX621" t="s">
        <v>74</v>
      </c>
      <c r="AY621" t="s">
        <v>74</v>
      </c>
      <c r="AZ621" t="s">
        <v>74</v>
      </c>
      <c r="BA621" t="s">
        <v>74</v>
      </c>
      <c r="BB621">
        <v>81</v>
      </c>
      <c r="BC621">
        <v>96</v>
      </c>
      <c r="BD621" t="s">
        <v>74</v>
      </c>
      <c r="BE621" t="s">
        <v>11682</v>
      </c>
      <c r="BF621" t="str">
        <f>HYPERLINK("http://dx.doi.org/10.1007/s10750-015-2364-4","http://dx.doi.org/10.1007/s10750-015-2364-4")</f>
        <v>http://dx.doi.org/10.1007/s10750-015-2364-4</v>
      </c>
      <c r="BG621" t="s">
        <v>74</v>
      </c>
      <c r="BH621" t="s">
        <v>74</v>
      </c>
      <c r="BI621">
        <v>16</v>
      </c>
      <c r="BJ621" t="s">
        <v>1479</v>
      </c>
      <c r="BK621" t="s">
        <v>264</v>
      </c>
      <c r="BL621" t="s">
        <v>1479</v>
      </c>
      <c r="BM621" t="s">
        <v>11683</v>
      </c>
      <c r="BN621" t="s">
        <v>74</v>
      </c>
      <c r="BO621" t="s">
        <v>74</v>
      </c>
      <c r="BP621" t="s">
        <v>74</v>
      </c>
      <c r="BQ621" t="s">
        <v>74</v>
      </c>
      <c r="BR621" t="s">
        <v>100</v>
      </c>
      <c r="BS621" t="s">
        <v>11684</v>
      </c>
      <c r="BT621" t="str">
        <f>HYPERLINK("https%3A%2F%2Fwww.webofscience.com%2Fwos%2Fwoscc%2Ffull-record%2FWOS:000365726600007","View Full Record in Web of Science")</f>
        <v>View Full Record in Web of Science</v>
      </c>
    </row>
    <row r="622" spans="1:72" x14ac:dyDescent="0.15">
      <c r="A622" t="s">
        <v>72</v>
      </c>
      <c r="B622" t="s">
        <v>11685</v>
      </c>
      <c r="C622" t="s">
        <v>74</v>
      </c>
      <c r="D622" t="s">
        <v>74</v>
      </c>
      <c r="E622" t="s">
        <v>74</v>
      </c>
      <c r="F622" t="s">
        <v>11686</v>
      </c>
      <c r="G622" t="s">
        <v>74</v>
      </c>
      <c r="H622" t="s">
        <v>74</v>
      </c>
      <c r="I622" t="s">
        <v>11687</v>
      </c>
      <c r="J622" t="s">
        <v>11688</v>
      </c>
      <c r="K622" t="s">
        <v>74</v>
      </c>
      <c r="L622" t="s">
        <v>74</v>
      </c>
      <c r="M622" t="s">
        <v>200</v>
      </c>
      <c r="N622" t="s">
        <v>79</v>
      </c>
      <c r="O622" t="s">
        <v>74</v>
      </c>
      <c r="P622" t="s">
        <v>74</v>
      </c>
      <c r="Q622" t="s">
        <v>74</v>
      </c>
      <c r="R622" t="s">
        <v>74</v>
      </c>
      <c r="S622" t="s">
        <v>74</v>
      </c>
      <c r="T622" t="s">
        <v>11689</v>
      </c>
      <c r="U622" t="s">
        <v>11690</v>
      </c>
      <c r="V622" t="s">
        <v>11691</v>
      </c>
      <c r="W622" t="s">
        <v>11692</v>
      </c>
      <c r="X622" t="s">
        <v>3480</v>
      </c>
      <c r="Y622" t="s">
        <v>11693</v>
      </c>
      <c r="Z622" t="s">
        <v>11694</v>
      </c>
      <c r="AA622" t="s">
        <v>11695</v>
      </c>
      <c r="AB622" t="s">
        <v>11696</v>
      </c>
      <c r="AC622" t="s">
        <v>11697</v>
      </c>
      <c r="AD622" t="s">
        <v>11698</v>
      </c>
      <c r="AE622" t="s">
        <v>11699</v>
      </c>
      <c r="AF622" t="s">
        <v>74</v>
      </c>
      <c r="AG622">
        <v>29</v>
      </c>
      <c r="AH622">
        <v>3</v>
      </c>
      <c r="AI622">
        <v>3</v>
      </c>
      <c r="AJ622">
        <v>0</v>
      </c>
      <c r="AK622">
        <v>30</v>
      </c>
      <c r="AL622" t="s">
        <v>7137</v>
      </c>
      <c r="AM622" t="s">
        <v>209</v>
      </c>
      <c r="AN622" t="s">
        <v>7138</v>
      </c>
      <c r="AO622" t="s">
        <v>11700</v>
      </c>
      <c r="AP622" t="s">
        <v>11701</v>
      </c>
      <c r="AQ622" t="s">
        <v>74</v>
      </c>
      <c r="AR622" t="s">
        <v>11688</v>
      </c>
      <c r="AS622" t="s">
        <v>11702</v>
      </c>
      <c r="AT622" t="s">
        <v>6992</v>
      </c>
      <c r="AU622">
        <v>2016</v>
      </c>
      <c r="AV622">
        <v>450</v>
      </c>
      <c r="AW622" t="s">
        <v>74</v>
      </c>
      <c r="AX622" t="s">
        <v>74</v>
      </c>
      <c r="AY622" t="s">
        <v>74</v>
      </c>
      <c r="AZ622" t="s">
        <v>74</v>
      </c>
      <c r="BA622" t="s">
        <v>74</v>
      </c>
      <c r="BB622">
        <v>363</v>
      </c>
      <c r="BC622">
        <v>368</v>
      </c>
      <c r="BD622" t="s">
        <v>74</v>
      </c>
      <c r="BE622" t="s">
        <v>11703</v>
      </c>
      <c r="BF622" t="str">
        <f>HYPERLINK("http://dx.doi.org/10.1016/j.aquaculture.2015.08.020","http://dx.doi.org/10.1016/j.aquaculture.2015.08.020")</f>
        <v>http://dx.doi.org/10.1016/j.aquaculture.2015.08.020</v>
      </c>
      <c r="BG622" t="s">
        <v>74</v>
      </c>
      <c r="BH622" t="s">
        <v>74</v>
      </c>
      <c r="BI622">
        <v>6</v>
      </c>
      <c r="BJ622" t="s">
        <v>215</v>
      </c>
      <c r="BK622" t="s">
        <v>264</v>
      </c>
      <c r="BL622" t="s">
        <v>215</v>
      </c>
      <c r="BM622" t="s">
        <v>11704</v>
      </c>
      <c r="BN622" t="s">
        <v>74</v>
      </c>
      <c r="BO622" t="s">
        <v>74</v>
      </c>
      <c r="BP622" t="s">
        <v>74</v>
      </c>
      <c r="BQ622" t="s">
        <v>74</v>
      </c>
      <c r="BR622" t="s">
        <v>100</v>
      </c>
      <c r="BS622" t="s">
        <v>11705</v>
      </c>
      <c r="BT622" t="str">
        <f>HYPERLINK("https%3A%2F%2Fwww.webofscience.com%2Fwos%2Fwoscc%2Ffull-record%2FWOS:000364854000050","View Full Record in Web of Science")</f>
        <v>View Full Record in Web of Science</v>
      </c>
    </row>
    <row r="623" spans="1:72" x14ac:dyDescent="0.15">
      <c r="A623" t="s">
        <v>72</v>
      </c>
      <c r="B623" t="s">
        <v>11706</v>
      </c>
      <c r="C623" t="s">
        <v>74</v>
      </c>
      <c r="D623" t="s">
        <v>74</v>
      </c>
      <c r="E623" t="s">
        <v>74</v>
      </c>
      <c r="F623" t="s">
        <v>11707</v>
      </c>
      <c r="G623" t="s">
        <v>74</v>
      </c>
      <c r="H623" t="s">
        <v>74</v>
      </c>
      <c r="I623" t="s">
        <v>11708</v>
      </c>
      <c r="J623" t="s">
        <v>11709</v>
      </c>
      <c r="K623" t="s">
        <v>74</v>
      </c>
      <c r="L623" t="s">
        <v>74</v>
      </c>
      <c r="M623" t="s">
        <v>200</v>
      </c>
      <c r="N623" t="s">
        <v>79</v>
      </c>
      <c r="O623" t="s">
        <v>74</v>
      </c>
      <c r="P623" t="s">
        <v>74</v>
      </c>
      <c r="Q623" t="s">
        <v>74</v>
      </c>
      <c r="R623" t="s">
        <v>74</v>
      </c>
      <c r="S623" t="s">
        <v>74</v>
      </c>
      <c r="T623" t="s">
        <v>11710</v>
      </c>
      <c r="U623" t="s">
        <v>11711</v>
      </c>
      <c r="V623" t="s">
        <v>11712</v>
      </c>
      <c r="W623" t="s">
        <v>11713</v>
      </c>
      <c r="X623" t="s">
        <v>11714</v>
      </c>
      <c r="Y623" t="s">
        <v>11715</v>
      </c>
      <c r="Z623" t="s">
        <v>11716</v>
      </c>
      <c r="AA623" t="s">
        <v>74</v>
      </c>
      <c r="AB623" t="s">
        <v>74</v>
      </c>
      <c r="AC623" t="s">
        <v>74</v>
      </c>
      <c r="AD623" t="s">
        <v>74</v>
      </c>
      <c r="AE623" t="s">
        <v>74</v>
      </c>
      <c r="AF623" t="s">
        <v>74</v>
      </c>
      <c r="AG623">
        <v>92</v>
      </c>
      <c r="AH623">
        <v>30</v>
      </c>
      <c r="AI623">
        <v>32</v>
      </c>
      <c r="AJ623">
        <v>0</v>
      </c>
      <c r="AK623">
        <v>26</v>
      </c>
      <c r="AL623" t="s">
        <v>11717</v>
      </c>
      <c r="AM623" t="s">
        <v>2100</v>
      </c>
      <c r="AN623" t="s">
        <v>11718</v>
      </c>
      <c r="AO623" t="s">
        <v>11719</v>
      </c>
      <c r="AP623" t="s">
        <v>11720</v>
      </c>
      <c r="AQ623" t="s">
        <v>74</v>
      </c>
      <c r="AR623" t="s">
        <v>11721</v>
      </c>
      <c r="AS623" t="s">
        <v>11722</v>
      </c>
      <c r="AT623" t="s">
        <v>315</v>
      </c>
      <c r="AU623">
        <v>2016</v>
      </c>
      <c r="AV623">
        <v>57</v>
      </c>
      <c r="AW623" t="s">
        <v>74</v>
      </c>
      <c r="AX623" t="s">
        <v>74</v>
      </c>
      <c r="AY623" t="s">
        <v>74</v>
      </c>
      <c r="AZ623" t="s">
        <v>74</v>
      </c>
      <c r="BA623" t="s">
        <v>74</v>
      </c>
      <c r="BB623">
        <v>311</v>
      </c>
      <c r="BC623">
        <v>324</v>
      </c>
      <c r="BD623" t="s">
        <v>74</v>
      </c>
      <c r="BE623" t="s">
        <v>11723</v>
      </c>
      <c r="BF623" t="str">
        <f>HYPERLINK("http://dx.doi.org/10.1016/j.cretres.2015.09.009","http://dx.doi.org/10.1016/j.cretres.2015.09.009")</f>
        <v>http://dx.doi.org/10.1016/j.cretres.2015.09.009</v>
      </c>
      <c r="BG623" t="s">
        <v>74</v>
      </c>
      <c r="BH623" t="s">
        <v>74</v>
      </c>
      <c r="BI623">
        <v>14</v>
      </c>
      <c r="BJ623" t="s">
        <v>4698</v>
      </c>
      <c r="BK623" t="s">
        <v>264</v>
      </c>
      <c r="BL623" t="s">
        <v>4698</v>
      </c>
      <c r="BM623" t="s">
        <v>11724</v>
      </c>
      <c r="BN623" t="s">
        <v>74</v>
      </c>
      <c r="BO623" t="s">
        <v>74</v>
      </c>
      <c r="BP623" t="s">
        <v>74</v>
      </c>
      <c r="BQ623" t="s">
        <v>74</v>
      </c>
      <c r="BR623" t="s">
        <v>100</v>
      </c>
      <c r="BS623" t="s">
        <v>11725</v>
      </c>
      <c r="BT623" t="str">
        <f>HYPERLINK("https%3A%2F%2Fwww.webofscience.com%2Fwos%2Fwoscc%2Ffull-record%2FWOS:000365055700026","View Full Record in Web of Science")</f>
        <v>View Full Record in Web of Science</v>
      </c>
    </row>
    <row r="624" spans="1:72" x14ac:dyDescent="0.15">
      <c r="A624" t="s">
        <v>72</v>
      </c>
      <c r="B624" t="s">
        <v>11726</v>
      </c>
      <c r="C624" t="s">
        <v>74</v>
      </c>
      <c r="D624" t="s">
        <v>74</v>
      </c>
      <c r="E624" t="s">
        <v>74</v>
      </c>
      <c r="F624" t="s">
        <v>11727</v>
      </c>
      <c r="G624" t="s">
        <v>74</v>
      </c>
      <c r="H624" t="s">
        <v>74</v>
      </c>
      <c r="I624" t="s">
        <v>11728</v>
      </c>
      <c r="J624" t="s">
        <v>11729</v>
      </c>
      <c r="K624" t="s">
        <v>74</v>
      </c>
      <c r="L624" t="s">
        <v>74</v>
      </c>
      <c r="M624" t="s">
        <v>200</v>
      </c>
      <c r="N624" t="s">
        <v>79</v>
      </c>
      <c r="O624" t="s">
        <v>74</v>
      </c>
      <c r="P624" t="s">
        <v>74</v>
      </c>
      <c r="Q624" t="s">
        <v>74</v>
      </c>
      <c r="R624" t="s">
        <v>74</v>
      </c>
      <c r="S624" t="s">
        <v>74</v>
      </c>
      <c r="T624" t="s">
        <v>74</v>
      </c>
      <c r="U624" t="s">
        <v>11730</v>
      </c>
      <c r="V624" t="s">
        <v>11731</v>
      </c>
      <c r="W624" t="s">
        <v>11732</v>
      </c>
      <c r="X624" t="s">
        <v>11733</v>
      </c>
      <c r="Y624" t="s">
        <v>11734</v>
      </c>
      <c r="Z624" t="s">
        <v>11735</v>
      </c>
      <c r="AA624" t="s">
        <v>11736</v>
      </c>
      <c r="AB624" t="s">
        <v>11737</v>
      </c>
      <c r="AC624" t="s">
        <v>11738</v>
      </c>
      <c r="AD624" t="s">
        <v>11739</v>
      </c>
      <c r="AE624" t="s">
        <v>11740</v>
      </c>
      <c r="AF624" t="s">
        <v>74</v>
      </c>
      <c r="AG624">
        <v>38</v>
      </c>
      <c r="AH624">
        <v>17</v>
      </c>
      <c r="AI624">
        <v>17</v>
      </c>
      <c r="AJ624">
        <v>1</v>
      </c>
      <c r="AK624">
        <v>54</v>
      </c>
      <c r="AL624" t="s">
        <v>6855</v>
      </c>
      <c r="AM624" t="s">
        <v>5465</v>
      </c>
      <c r="AN624" t="s">
        <v>5466</v>
      </c>
      <c r="AO624" t="s">
        <v>11741</v>
      </c>
      <c r="AP624" t="s">
        <v>11742</v>
      </c>
      <c r="AQ624" t="s">
        <v>74</v>
      </c>
      <c r="AR624" t="s">
        <v>11743</v>
      </c>
      <c r="AS624" t="s">
        <v>11744</v>
      </c>
      <c r="AT624" t="s">
        <v>11745</v>
      </c>
      <c r="AU624">
        <v>2015</v>
      </c>
      <c r="AV624">
        <v>29</v>
      </c>
      <c r="AW624">
        <v>24</v>
      </c>
      <c r="AX624" t="s">
        <v>74</v>
      </c>
      <c r="AY624" t="s">
        <v>74</v>
      </c>
      <c r="AZ624" t="s">
        <v>74</v>
      </c>
      <c r="BA624" t="s">
        <v>74</v>
      </c>
      <c r="BB624">
        <v>2328</v>
      </c>
      <c r="BC624">
        <v>2336</v>
      </c>
      <c r="BD624" t="s">
        <v>74</v>
      </c>
      <c r="BE624" t="s">
        <v>11746</v>
      </c>
      <c r="BF624" t="str">
        <f>HYPERLINK("http://dx.doi.org/10.1002/rcm.7401","http://dx.doi.org/10.1002/rcm.7401")</f>
        <v>http://dx.doi.org/10.1002/rcm.7401</v>
      </c>
      <c r="BG624" t="s">
        <v>74</v>
      </c>
      <c r="BH624" t="s">
        <v>74</v>
      </c>
      <c r="BI624">
        <v>9</v>
      </c>
      <c r="BJ624" t="s">
        <v>11747</v>
      </c>
      <c r="BK624" t="s">
        <v>264</v>
      </c>
      <c r="BL624" t="s">
        <v>11748</v>
      </c>
      <c r="BM624" t="s">
        <v>11749</v>
      </c>
      <c r="BN624">
        <v>26563703</v>
      </c>
      <c r="BO624" t="s">
        <v>9931</v>
      </c>
      <c r="BP624" t="s">
        <v>74</v>
      </c>
      <c r="BQ624" t="s">
        <v>74</v>
      </c>
      <c r="BR624" t="s">
        <v>100</v>
      </c>
      <c r="BS624" t="s">
        <v>11750</v>
      </c>
      <c r="BT624" t="str">
        <f>HYPERLINK("https%3A%2F%2Fwww.webofscience.com%2Fwos%2Fwoscc%2Ffull-record%2FWOS:000364876400002","View Full Record in Web of Science")</f>
        <v>View Full Record in Web of Science</v>
      </c>
    </row>
    <row r="625" spans="1:72" x14ac:dyDescent="0.15">
      <c r="A625" t="s">
        <v>72</v>
      </c>
      <c r="B625" t="s">
        <v>11751</v>
      </c>
      <c r="C625" t="s">
        <v>74</v>
      </c>
      <c r="D625" t="s">
        <v>74</v>
      </c>
      <c r="E625" t="s">
        <v>74</v>
      </c>
      <c r="F625" t="s">
        <v>11752</v>
      </c>
      <c r="G625" t="s">
        <v>74</v>
      </c>
      <c r="H625" t="s">
        <v>74</v>
      </c>
      <c r="I625" t="s">
        <v>11753</v>
      </c>
      <c r="J625" t="s">
        <v>11754</v>
      </c>
      <c r="K625" t="s">
        <v>74</v>
      </c>
      <c r="L625" t="s">
        <v>74</v>
      </c>
      <c r="M625" t="s">
        <v>200</v>
      </c>
      <c r="N625" t="s">
        <v>79</v>
      </c>
      <c r="O625" t="s">
        <v>74</v>
      </c>
      <c r="P625" t="s">
        <v>74</v>
      </c>
      <c r="Q625" t="s">
        <v>74</v>
      </c>
      <c r="R625" t="s">
        <v>74</v>
      </c>
      <c r="S625" t="s">
        <v>74</v>
      </c>
      <c r="T625" t="s">
        <v>11755</v>
      </c>
      <c r="U625" t="s">
        <v>11756</v>
      </c>
      <c r="V625" t="s">
        <v>11757</v>
      </c>
      <c r="W625" t="s">
        <v>11758</v>
      </c>
      <c r="X625" t="s">
        <v>11759</v>
      </c>
      <c r="Y625" t="s">
        <v>11760</v>
      </c>
      <c r="Z625" t="s">
        <v>11761</v>
      </c>
      <c r="AA625" t="s">
        <v>11762</v>
      </c>
      <c r="AB625" t="s">
        <v>11763</v>
      </c>
      <c r="AC625" t="s">
        <v>11764</v>
      </c>
      <c r="AD625" t="s">
        <v>11765</v>
      </c>
      <c r="AE625" t="s">
        <v>11766</v>
      </c>
      <c r="AF625" t="s">
        <v>74</v>
      </c>
      <c r="AG625">
        <v>15</v>
      </c>
      <c r="AH625">
        <v>29</v>
      </c>
      <c r="AI625">
        <v>31</v>
      </c>
      <c r="AJ625">
        <v>1</v>
      </c>
      <c r="AK625">
        <v>15</v>
      </c>
      <c r="AL625" t="s">
        <v>2410</v>
      </c>
      <c r="AM625" t="s">
        <v>1559</v>
      </c>
      <c r="AN625" t="s">
        <v>2411</v>
      </c>
      <c r="AO625" t="s">
        <v>11767</v>
      </c>
      <c r="AP625" t="s">
        <v>11768</v>
      </c>
      <c r="AQ625" t="s">
        <v>74</v>
      </c>
      <c r="AR625" t="s">
        <v>11769</v>
      </c>
      <c r="AS625" t="s">
        <v>11770</v>
      </c>
      <c r="AT625" t="s">
        <v>11771</v>
      </c>
      <c r="AU625">
        <v>2015</v>
      </c>
      <c r="AV625">
        <v>42</v>
      </c>
      <c r="AW625">
        <v>24</v>
      </c>
      <c r="AX625" t="s">
        <v>74</v>
      </c>
      <c r="AY625" t="s">
        <v>74</v>
      </c>
      <c r="AZ625" t="s">
        <v>74</v>
      </c>
      <c r="BA625" t="s">
        <v>74</v>
      </c>
      <c r="BB625">
        <v>10689</v>
      </c>
      <c r="BC625">
        <v>10695</v>
      </c>
      <c r="BD625" t="s">
        <v>74</v>
      </c>
      <c r="BE625" t="s">
        <v>11772</v>
      </c>
      <c r="BF625" t="str">
        <f>HYPERLINK("http://dx.doi.org/10.1002/2015GL066929","http://dx.doi.org/10.1002/2015GL066929")</f>
        <v>http://dx.doi.org/10.1002/2015GL066929</v>
      </c>
      <c r="BG625" t="s">
        <v>74</v>
      </c>
      <c r="BH625" t="s">
        <v>74</v>
      </c>
      <c r="BI625">
        <v>7</v>
      </c>
      <c r="BJ625" t="s">
        <v>95</v>
      </c>
      <c r="BK625" t="s">
        <v>264</v>
      </c>
      <c r="BL625" t="s">
        <v>97</v>
      </c>
      <c r="BM625" t="s">
        <v>11773</v>
      </c>
      <c r="BN625" t="s">
        <v>74</v>
      </c>
      <c r="BO625" t="s">
        <v>3183</v>
      </c>
      <c r="BP625" t="s">
        <v>74</v>
      </c>
      <c r="BQ625" t="s">
        <v>74</v>
      </c>
      <c r="BR625" t="s">
        <v>100</v>
      </c>
      <c r="BS625" t="s">
        <v>11774</v>
      </c>
      <c r="BT625" t="str">
        <f>HYPERLINK("https%3A%2F%2Fwww.webofscience.com%2Fwos%2Fwoscc%2Ffull-record%2FWOS:000368939700048","View Full Record in Web of Science")</f>
        <v>View Full Record in Web of Science</v>
      </c>
    </row>
    <row r="626" spans="1:72" x14ac:dyDescent="0.15">
      <c r="A626" t="s">
        <v>72</v>
      </c>
      <c r="B626" t="s">
        <v>11775</v>
      </c>
      <c r="C626" t="s">
        <v>74</v>
      </c>
      <c r="D626" t="s">
        <v>74</v>
      </c>
      <c r="E626" t="s">
        <v>74</v>
      </c>
      <c r="F626" t="s">
        <v>11776</v>
      </c>
      <c r="G626" t="s">
        <v>74</v>
      </c>
      <c r="H626" t="s">
        <v>74</v>
      </c>
      <c r="I626" t="s">
        <v>11777</v>
      </c>
      <c r="J626" t="s">
        <v>11754</v>
      </c>
      <c r="K626" t="s">
        <v>74</v>
      </c>
      <c r="L626" t="s">
        <v>74</v>
      </c>
      <c r="M626" t="s">
        <v>200</v>
      </c>
      <c r="N626" t="s">
        <v>79</v>
      </c>
      <c r="O626" t="s">
        <v>74</v>
      </c>
      <c r="P626" t="s">
        <v>74</v>
      </c>
      <c r="Q626" t="s">
        <v>74</v>
      </c>
      <c r="R626" t="s">
        <v>74</v>
      </c>
      <c r="S626" t="s">
        <v>74</v>
      </c>
      <c r="T626" t="s">
        <v>11778</v>
      </c>
      <c r="U626" t="s">
        <v>11779</v>
      </c>
      <c r="V626" t="s">
        <v>11780</v>
      </c>
      <c r="W626" t="s">
        <v>11781</v>
      </c>
      <c r="X626" t="s">
        <v>9123</v>
      </c>
      <c r="Y626" t="s">
        <v>11782</v>
      </c>
      <c r="Z626" t="s">
        <v>11783</v>
      </c>
      <c r="AA626" t="s">
        <v>11784</v>
      </c>
      <c r="AB626" t="s">
        <v>11785</v>
      </c>
      <c r="AC626" t="s">
        <v>11786</v>
      </c>
      <c r="AD626" t="s">
        <v>11787</v>
      </c>
      <c r="AE626" t="s">
        <v>11788</v>
      </c>
      <c r="AF626" t="s">
        <v>74</v>
      </c>
      <c r="AG626">
        <v>51</v>
      </c>
      <c r="AH626">
        <v>31</v>
      </c>
      <c r="AI626">
        <v>36</v>
      </c>
      <c r="AJ626">
        <v>1</v>
      </c>
      <c r="AK626">
        <v>53</v>
      </c>
      <c r="AL626" t="s">
        <v>2410</v>
      </c>
      <c r="AM626" t="s">
        <v>1559</v>
      </c>
      <c r="AN626" t="s">
        <v>2411</v>
      </c>
      <c r="AO626" t="s">
        <v>11767</v>
      </c>
      <c r="AP626" t="s">
        <v>11768</v>
      </c>
      <c r="AQ626" t="s">
        <v>74</v>
      </c>
      <c r="AR626" t="s">
        <v>11769</v>
      </c>
      <c r="AS626" t="s">
        <v>11770</v>
      </c>
      <c r="AT626" t="s">
        <v>11771</v>
      </c>
      <c r="AU626">
        <v>2015</v>
      </c>
      <c r="AV626">
        <v>42</v>
      </c>
      <c r="AW626">
        <v>24</v>
      </c>
      <c r="AX626" t="s">
        <v>74</v>
      </c>
      <c r="AY626" t="s">
        <v>74</v>
      </c>
      <c r="AZ626" t="s">
        <v>74</v>
      </c>
      <c r="BA626" t="s">
        <v>74</v>
      </c>
      <c r="BB626">
        <v>10721</v>
      </c>
      <c r="BC626">
        <v>10729</v>
      </c>
      <c r="BD626" t="s">
        <v>74</v>
      </c>
      <c r="BE626" t="s">
        <v>11789</v>
      </c>
      <c r="BF626" t="str">
        <f>HYPERLINK("http://dx.doi.org/10.1002/2015GL066515","http://dx.doi.org/10.1002/2015GL066515")</f>
        <v>http://dx.doi.org/10.1002/2015GL066515</v>
      </c>
      <c r="BG626" t="s">
        <v>74</v>
      </c>
      <c r="BH626" t="s">
        <v>74</v>
      </c>
      <c r="BI626">
        <v>9</v>
      </c>
      <c r="BJ626" t="s">
        <v>95</v>
      </c>
      <c r="BK626" t="s">
        <v>264</v>
      </c>
      <c r="BL626" t="s">
        <v>97</v>
      </c>
      <c r="BM626" t="s">
        <v>11773</v>
      </c>
      <c r="BN626" t="s">
        <v>74</v>
      </c>
      <c r="BO626" t="s">
        <v>5473</v>
      </c>
      <c r="BP626" t="s">
        <v>74</v>
      </c>
      <c r="BQ626" t="s">
        <v>74</v>
      </c>
      <c r="BR626" t="s">
        <v>100</v>
      </c>
      <c r="BS626" t="s">
        <v>11790</v>
      </c>
      <c r="BT626" t="str">
        <f>HYPERLINK("https%3A%2F%2Fwww.webofscience.com%2Fwos%2Fwoscc%2Ffull-record%2FWOS:000368939700034","View Full Record in Web of Science")</f>
        <v>View Full Record in Web of Science</v>
      </c>
    </row>
    <row r="627" spans="1:72" x14ac:dyDescent="0.15">
      <c r="A627" t="s">
        <v>72</v>
      </c>
      <c r="B627" t="s">
        <v>11791</v>
      </c>
      <c r="C627" t="s">
        <v>74</v>
      </c>
      <c r="D627" t="s">
        <v>74</v>
      </c>
      <c r="E627" t="s">
        <v>74</v>
      </c>
      <c r="F627" t="s">
        <v>11792</v>
      </c>
      <c r="G627" t="s">
        <v>74</v>
      </c>
      <c r="H627" t="s">
        <v>74</v>
      </c>
      <c r="I627" t="s">
        <v>11793</v>
      </c>
      <c r="J627" t="s">
        <v>11754</v>
      </c>
      <c r="K627" t="s">
        <v>74</v>
      </c>
      <c r="L627" t="s">
        <v>74</v>
      </c>
      <c r="M627" t="s">
        <v>200</v>
      </c>
      <c r="N627" t="s">
        <v>79</v>
      </c>
      <c r="O627" t="s">
        <v>74</v>
      </c>
      <c r="P627" t="s">
        <v>74</v>
      </c>
      <c r="Q627" t="s">
        <v>74</v>
      </c>
      <c r="R627" t="s">
        <v>74</v>
      </c>
      <c r="S627" t="s">
        <v>74</v>
      </c>
      <c r="T627" t="s">
        <v>11794</v>
      </c>
      <c r="U627" t="s">
        <v>11795</v>
      </c>
      <c r="V627" t="s">
        <v>11796</v>
      </c>
      <c r="W627" t="s">
        <v>11797</v>
      </c>
      <c r="X627" t="s">
        <v>11798</v>
      </c>
      <c r="Y627" t="s">
        <v>11799</v>
      </c>
      <c r="Z627" t="s">
        <v>11800</v>
      </c>
      <c r="AA627" t="s">
        <v>11801</v>
      </c>
      <c r="AB627" t="s">
        <v>11802</v>
      </c>
      <c r="AC627" t="s">
        <v>11803</v>
      </c>
      <c r="AD627" t="s">
        <v>9245</v>
      </c>
      <c r="AE627" t="s">
        <v>11804</v>
      </c>
      <c r="AF627" t="s">
        <v>74</v>
      </c>
      <c r="AG627">
        <v>27</v>
      </c>
      <c r="AH627">
        <v>40</v>
      </c>
      <c r="AI627">
        <v>46</v>
      </c>
      <c r="AJ627">
        <v>0</v>
      </c>
      <c r="AK627">
        <v>29</v>
      </c>
      <c r="AL627" t="s">
        <v>2410</v>
      </c>
      <c r="AM627" t="s">
        <v>1559</v>
      </c>
      <c r="AN627" t="s">
        <v>2411</v>
      </c>
      <c r="AO627" t="s">
        <v>11767</v>
      </c>
      <c r="AP627" t="s">
        <v>11768</v>
      </c>
      <c r="AQ627" t="s">
        <v>74</v>
      </c>
      <c r="AR627" t="s">
        <v>11769</v>
      </c>
      <c r="AS627" t="s">
        <v>11770</v>
      </c>
      <c r="AT627" t="s">
        <v>11771</v>
      </c>
      <c r="AU627">
        <v>2015</v>
      </c>
      <c r="AV627">
        <v>42</v>
      </c>
      <c r="AW627">
        <v>24</v>
      </c>
      <c r="AX627" t="s">
        <v>74</v>
      </c>
      <c r="AY627" t="s">
        <v>74</v>
      </c>
      <c r="AZ627" t="s">
        <v>74</v>
      </c>
      <c r="BA627" t="s">
        <v>74</v>
      </c>
      <c r="BB627">
        <v>10832</v>
      </c>
      <c r="BC627">
        <v>10839</v>
      </c>
      <c r="BD627" t="s">
        <v>74</v>
      </c>
      <c r="BE627" t="s">
        <v>11805</v>
      </c>
      <c r="BF627" t="str">
        <f>HYPERLINK("http://dx.doi.org/10.1002/2015GL067055","http://dx.doi.org/10.1002/2015GL067055")</f>
        <v>http://dx.doi.org/10.1002/2015GL067055</v>
      </c>
      <c r="BG627" t="s">
        <v>74</v>
      </c>
      <c r="BH627" t="s">
        <v>74</v>
      </c>
      <c r="BI627">
        <v>8</v>
      </c>
      <c r="BJ627" t="s">
        <v>95</v>
      </c>
      <c r="BK627" t="s">
        <v>264</v>
      </c>
      <c r="BL627" t="s">
        <v>97</v>
      </c>
      <c r="BM627" t="s">
        <v>11773</v>
      </c>
      <c r="BN627" t="s">
        <v>74</v>
      </c>
      <c r="BO627" t="s">
        <v>11806</v>
      </c>
      <c r="BP627" t="s">
        <v>74</v>
      </c>
      <c r="BQ627" t="s">
        <v>74</v>
      </c>
      <c r="BR627" t="s">
        <v>100</v>
      </c>
      <c r="BS627" t="s">
        <v>11807</v>
      </c>
      <c r="BT627" t="str">
        <f>HYPERLINK("https%3A%2F%2Fwww.webofscience.com%2Fwos%2Fwoscc%2Ffull-record%2FWOS:000368939700024","View Full Record in Web of Science")</f>
        <v>View Full Record in Web of Science</v>
      </c>
    </row>
    <row r="628" spans="1:72" x14ac:dyDescent="0.15">
      <c r="A628" t="s">
        <v>72</v>
      </c>
      <c r="B628" t="s">
        <v>11808</v>
      </c>
      <c r="C628" t="s">
        <v>74</v>
      </c>
      <c r="D628" t="s">
        <v>74</v>
      </c>
      <c r="E628" t="s">
        <v>74</v>
      </c>
      <c r="F628" t="s">
        <v>11809</v>
      </c>
      <c r="G628" t="s">
        <v>74</v>
      </c>
      <c r="H628" t="s">
        <v>74</v>
      </c>
      <c r="I628" t="s">
        <v>11810</v>
      </c>
      <c r="J628" t="s">
        <v>11811</v>
      </c>
      <c r="K628" t="s">
        <v>74</v>
      </c>
      <c r="L628" t="s">
        <v>74</v>
      </c>
      <c r="M628" t="s">
        <v>200</v>
      </c>
      <c r="N628" t="s">
        <v>79</v>
      </c>
      <c r="O628" t="s">
        <v>74</v>
      </c>
      <c r="P628" t="s">
        <v>74</v>
      </c>
      <c r="Q628" t="s">
        <v>74</v>
      </c>
      <c r="R628" t="s">
        <v>74</v>
      </c>
      <c r="S628" t="s">
        <v>74</v>
      </c>
      <c r="T628" t="s">
        <v>74</v>
      </c>
      <c r="U628" t="s">
        <v>11812</v>
      </c>
      <c r="V628" t="s">
        <v>11813</v>
      </c>
      <c r="W628" t="s">
        <v>11814</v>
      </c>
      <c r="X628" t="s">
        <v>11815</v>
      </c>
      <c r="Y628" t="s">
        <v>11816</v>
      </c>
      <c r="Z628" t="s">
        <v>11817</v>
      </c>
      <c r="AA628" t="s">
        <v>11818</v>
      </c>
      <c r="AB628" t="s">
        <v>11819</v>
      </c>
      <c r="AC628" t="s">
        <v>11820</v>
      </c>
      <c r="AD628" t="s">
        <v>11821</v>
      </c>
      <c r="AE628" t="s">
        <v>11822</v>
      </c>
      <c r="AF628" t="s">
        <v>74</v>
      </c>
      <c r="AG628">
        <v>34</v>
      </c>
      <c r="AH628">
        <v>12</v>
      </c>
      <c r="AI628">
        <v>13</v>
      </c>
      <c r="AJ628">
        <v>1</v>
      </c>
      <c r="AK628">
        <v>9</v>
      </c>
      <c r="AL628" t="s">
        <v>2410</v>
      </c>
      <c r="AM628" t="s">
        <v>1559</v>
      </c>
      <c r="AN628" t="s">
        <v>2411</v>
      </c>
      <c r="AO628" t="s">
        <v>11823</v>
      </c>
      <c r="AP628" t="s">
        <v>11824</v>
      </c>
      <c r="AQ628" t="s">
        <v>74</v>
      </c>
      <c r="AR628" t="s">
        <v>11825</v>
      </c>
      <c r="AS628" t="s">
        <v>11826</v>
      </c>
      <c r="AT628" t="s">
        <v>11827</v>
      </c>
      <c r="AU628">
        <v>2015</v>
      </c>
      <c r="AV628">
        <v>120</v>
      </c>
      <c r="AW628">
        <v>24</v>
      </c>
      <c r="AX628" t="s">
        <v>74</v>
      </c>
      <c r="AY628" t="s">
        <v>74</v>
      </c>
      <c r="AZ628" t="s">
        <v>74</v>
      </c>
      <c r="BA628" t="s">
        <v>74</v>
      </c>
      <c r="BB628">
        <v>12394</v>
      </c>
      <c r="BC628">
        <v>12409</v>
      </c>
      <c r="BD628" t="s">
        <v>74</v>
      </c>
      <c r="BE628" t="s">
        <v>11828</v>
      </c>
      <c r="BF628" t="str">
        <f>HYPERLINK("http://dx.doi.org/10.1002/2015JD023928","http://dx.doi.org/10.1002/2015JD023928")</f>
        <v>http://dx.doi.org/10.1002/2015JD023928</v>
      </c>
      <c r="BG628" t="s">
        <v>74</v>
      </c>
      <c r="BH628" t="s">
        <v>74</v>
      </c>
      <c r="BI628">
        <v>16</v>
      </c>
      <c r="BJ628" t="s">
        <v>1721</v>
      </c>
      <c r="BK628" t="s">
        <v>264</v>
      </c>
      <c r="BL628" t="s">
        <v>1721</v>
      </c>
      <c r="BM628" t="s">
        <v>11829</v>
      </c>
      <c r="BN628" t="s">
        <v>74</v>
      </c>
      <c r="BO628" t="s">
        <v>486</v>
      </c>
      <c r="BP628" t="s">
        <v>74</v>
      </c>
      <c r="BQ628" t="s">
        <v>74</v>
      </c>
      <c r="BR628" t="s">
        <v>100</v>
      </c>
      <c r="BS628" t="s">
        <v>11830</v>
      </c>
      <c r="BT628" t="str">
        <f>HYPERLINK("https%3A%2F%2Fwww.webofscience.com%2Fwos%2Fwoscc%2Ffull-record%2FWOS:000369846700005","View Full Record in Web of Science")</f>
        <v>View Full Record in Web of Science</v>
      </c>
    </row>
    <row r="629" spans="1:72" x14ac:dyDescent="0.15">
      <c r="A629" t="s">
        <v>72</v>
      </c>
      <c r="B629" t="s">
        <v>11831</v>
      </c>
      <c r="C629" t="s">
        <v>74</v>
      </c>
      <c r="D629" t="s">
        <v>74</v>
      </c>
      <c r="E629" t="s">
        <v>74</v>
      </c>
      <c r="F629" t="s">
        <v>11832</v>
      </c>
      <c r="G629" t="s">
        <v>74</v>
      </c>
      <c r="H629" t="s">
        <v>74</v>
      </c>
      <c r="I629" t="s">
        <v>11833</v>
      </c>
      <c r="J629" t="s">
        <v>11834</v>
      </c>
      <c r="K629" t="s">
        <v>74</v>
      </c>
      <c r="L629" t="s">
        <v>74</v>
      </c>
      <c r="M629" t="s">
        <v>200</v>
      </c>
      <c r="N629" t="s">
        <v>79</v>
      </c>
      <c r="O629" t="s">
        <v>74</v>
      </c>
      <c r="P629" t="s">
        <v>74</v>
      </c>
      <c r="Q629" t="s">
        <v>74</v>
      </c>
      <c r="R629" t="s">
        <v>74</v>
      </c>
      <c r="S629" t="s">
        <v>74</v>
      </c>
      <c r="T629" t="s">
        <v>74</v>
      </c>
      <c r="U629" t="s">
        <v>11835</v>
      </c>
      <c r="V629" t="s">
        <v>11836</v>
      </c>
      <c r="W629" t="s">
        <v>11837</v>
      </c>
      <c r="X629" t="s">
        <v>11838</v>
      </c>
      <c r="Y629" t="s">
        <v>11839</v>
      </c>
      <c r="Z629" t="s">
        <v>11840</v>
      </c>
      <c r="AA629" t="s">
        <v>11841</v>
      </c>
      <c r="AB629" t="s">
        <v>74</v>
      </c>
      <c r="AC629" t="s">
        <v>11842</v>
      </c>
      <c r="AD629" t="s">
        <v>11843</v>
      </c>
      <c r="AE629" t="s">
        <v>11844</v>
      </c>
      <c r="AF629" t="s">
        <v>74</v>
      </c>
      <c r="AG629">
        <v>55</v>
      </c>
      <c r="AH629">
        <v>70</v>
      </c>
      <c r="AI629">
        <v>71</v>
      </c>
      <c r="AJ629">
        <v>2</v>
      </c>
      <c r="AK629">
        <v>56</v>
      </c>
      <c r="AL629" t="s">
        <v>11845</v>
      </c>
      <c r="AM629" t="s">
        <v>2354</v>
      </c>
      <c r="AN629" t="s">
        <v>11846</v>
      </c>
      <c r="AO629" t="s">
        <v>11847</v>
      </c>
      <c r="AP629" t="s">
        <v>74</v>
      </c>
      <c r="AQ629" t="s">
        <v>74</v>
      </c>
      <c r="AR629" t="s">
        <v>11848</v>
      </c>
      <c r="AS629" t="s">
        <v>11849</v>
      </c>
      <c r="AT629" t="s">
        <v>11850</v>
      </c>
      <c r="AU629">
        <v>2015</v>
      </c>
      <c r="AV629">
        <v>5</v>
      </c>
      <c r="AW629" t="s">
        <v>74</v>
      </c>
      <c r="AX629" t="s">
        <v>74</v>
      </c>
      <c r="AY629" t="s">
        <v>74</v>
      </c>
      <c r="AZ629" t="s">
        <v>74</v>
      </c>
      <c r="BA629" t="s">
        <v>74</v>
      </c>
      <c r="BB629" t="s">
        <v>74</v>
      </c>
      <c r="BC629" t="s">
        <v>74</v>
      </c>
      <c r="BD629">
        <v>18435</v>
      </c>
      <c r="BE629" t="s">
        <v>11851</v>
      </c>
      <c r="BF629" t="str">
        <f>HYPERLINK("http://dx.doi.org/10.1038/srep18435","http://dx.doi.org/10.1038/srep18435")</f>
        <v>http://dx.doi.org/10.1038/srep18435</v>
      </c>
      <c r="BG629" t="s">
        <v>74</v>
      </c>
      <c r="BH629" t="s">
        <v>74</v>
      </c>
      <c r="BI629">
        <v>12</v>
      </c>
      <c r="BJ629" t="s">
        <v>3540</v>
      </c>
      <c r="BK629" t="s">
        <v>264</v>
      </c>
      <c r="BL629" t="s">
        <v>3541</v>
      </c>
      <c r="BM629" t="s">
        <v>11852</v>
      </c>
      <c r="BN629">
        <v>26688201</v>
      </c>
      <c r="BO629" t="s">
        <v>523</v>
      </c>
      <c r="BP629" t="s">
        <v>74</v>
      </c>
      <c r="BQ629" t="s">
        <v>74</v>
      </c>
      <c r="BR629" t="s">
        <v>100</v>
      </c>
      <c r="BS629" t="s">
        <v>11853</v>
      </c>
      <c r="BT629" t="str">
        <f>HYPERLINK("https%3A%2F%2Fwww.webofscience.com%2Fwos%2Fwoscc%2Ffull-record%2FWOS:000367079200001","View Full Record in Web of Science")</f>
        <v>View Full Record in Web of Science</v>
      </c>
    </row>
    <row r="630" spans="1:72" x14ac:dyDescent="0.15">
      <c r="A630" t="s">
        <v>72</v>
      </c>
      <c r="B630" t="s">
        <v>11854</v>
      </c>
      <c r="C630" t="s">
        <v>74</v>
      </c>
      <c r="D630" t="s">
        <v>74</v>
      </c>
      <c r="E630" t="s">
        <v>74</v>
      </c>
      <c r="F630" t="s">
        <v>11855</v>
      </c>
      <c r="G630" t="s">
        <v>74</v>
      </c>
      <c r="H630" t="s">
        <v>74</v>
      </c>
      <c r="I630" t="s">
        <v>11856</v>
      </c>
      <c r="J630" t="s">
        <v>11857</v>
      </c>
      <c r="K630" t="s">
        <v>74</v>
      </c>
      <c r="L630" t="s">
        <v>74</v>
      </c>
      <c r="M630" t="s">
        <v>200</v>
      </c>
      <c r="N630" t="s">
        <v>79</v>
      </c>
      <c r="O630" t="s">
        <v>74</v>
      </c>
      <c r="P630" t="s">
        <v>74</v>
      </c>
      <c r="Q630" t="s">
        <v>74</v>
      </c>
      <c r="R630" t="s">
        <v>74</v>
      </c>
      <c r="S630" t="s">
        <v>74</v>
      </c>
      <c r="T630" t="s">
        <v>11858</v>
      </c>
      <c r="U630" t="s">
        <v>11859</v>
      </c>
      <c r="V630" t="s">
        <v>11860</v>
      </c>
      <c r="W630" t="s">
        <v>11861</v>
      </c>
      <c r="X630" t="s">
        <v>11862</v>
      </c>
      <c r="Y630" t="s">
        <v>11863</v>
      </c>
      <c r="Z630" t="s">
        <v>11864</v>
      </c>
      <c r="AA630" t="s">
        <v>11865</v>
      </c>
      <c r="AB630" t="s">
        <v>11866</v>
      </c>
      <c r="AC630" t="s">
        <v>11867</v>
      </c>
      <c r="AD630" t="s">
        <v>11868</v>
      </c>
      <c r="AE630" t="s">
        <v>11869</v>
      </c>
      <c r="AF630" t="s">
        <v>74</v>
      </c>
      <c r="AG630">
        <v>83</v>
      </c>
      <c r="AH630">
        <v>18</v>
      </c>
      <c r="AI630">
        <v>19</v>
      </c>
      <c r="AJ630">
        <v>0</v>
      </c>
      <c r="AK630">
        <v>34</v>
      </c>
      <c r="AL630" t="s">
        <v>11870</v>
      </c>
      <c r="AM630" t="s">
        <v>11871</v>
      </c>
      <c r="AN630" t="s">
        <v>11872</v>
      </c>
      <c r="AO630" t="s">
        <v>11873</v>
      </c>
      <c r="AP630" t="s">
        <v>11874</v>
      </c>
      <c r="AQ630" t="s">
        <v>74</v>
      </c>
      <c r="AR630" t="s">
        <v>11875</v>
      </c>
      <c r="AS630" t="s">
        <v>11876</v>
      </c>
      <c r="AT630" t="s">
        <v>11877</v>
      </c>
      <c r="AU630">
        <v>2015</v>
      </c>
      <c r="AV630">
        <v>815</v>
      </c>
      <c r="AW630">
        <v>2</v>
      </c>
      <c r="AX630" t="s">
        <v>74</v>
      </c>
      <c r="AY630" t="s">
        <v>74</v>
      </c>
      <c r="AZ630" t="s">
        <v>74</v>
      </c>
      <c r="BA630" t="s">
        <v>74</v>
      </c>
      <c r="BB630" t="s">
        <v>74</v>
      </c>
      <c r="BC630" t="s">
        <v>74</v>
      </c>
      <c r="BD630">
        <v>113</v>
      </c>
      <c r="BE630" t="s">
        <v>11878</v>
      </c>
      <c r="BF630" t="str">
        <f>HYPERLINK("http://dx.doi.org/10.1088/0004-637X/815/2/113","http://dx.doi.org/10.1088/0004-637X/815/2/113")</f>
        <v>http://dx.doi.org/10.1088/0004-637X/815/2/113</v>
      </c>
      <c r="BG630" t="s">
        <v>74</v>
      </c>
      <c r="BH630" t="s">
        <v>74</v>
      </c>
      <c r="BI630">
        <v>11</v>
      </c>
      <c r="BJ630" t="s">
        <v>1168</v>
      </c>
      <c r="BK630" t="s">
        <v>264</v>
      </c>
      <c r="BL630" t="s">
        <v>1168</v>
      </c>
      <c r="BM630" t="s">
        <v>11879</v>
      </c>
      <c r="BN630" t="s">
        <v>74</v>
      </c>
      <c r="BO630" t="s">
        <v>403</v>
      </c>
      <c r="BP630" t="s">
        <v>74</v>
      </c>
      <c r="BQ630" t="s">
        <v>74</v>
      </c>
      <c r="BR630" t="s">
        <v>100</v>
      </c>
      <c r="BS630" t="s">
        <v>11880</v>
      </c>
      <c r="BT630" t="str">
        <f>HYPERLINK("https%3A%2F%2Fwww.webofscience.com%2Fwos%2Fwoscc%2Ffull-record%2FWOS:000367151300033","View Full Record in Web of Science")</f>
        <v>View Full Record in Web of Science</v>
      </c>
    </row>
    <row r="631" spans="1:72" x14ac:dyDescent="0.15">
      <c r="A631" t="s">
        <v>72</v>
      </c>
      <c r="B631" t="s">
        <v>11881</v>
      </c>
      <c r="C631" t="s">
        <v>74</v>
      </c>
      <c r="D631" t="s">
        <v>74</v>
      </c>
      <c r="E631" t="s">
        <v>74</v>
      </c>
      <c r="F631" t="s">
        <v>11882</v>
      </c>
      <c r="G631" t="s">
        <v>74</v>
      </c>
      <c r="H631" t="s">
        <v>74</v>
      </c>
      <c r="I631" t="s">
        <v>11883</v>
      </c>
      <c r="J631" t="s">
        <v>11884</v>
      </c>
      <c r="K631" t="s">
        <v>74</v>
      </c>
      <c r="L631" t="s">
        <v>74</v>
      </c>
      <c r="M631" t="s">
        <v>200</v>
      </c>
      <c r="N631" t="s">
        <v>79</v>
      </c>
      <c r="O631" t="s">
        <v>74</v>
      </c>
      <c r="P631" t="s">
        <v>74</v>
      </c>
      <c r="Q631" t="s">
        <v>74</v>
      </c>
      <c r="R631" t="s">
        <v>74</v>
      </c>
      <c r="S631" t="s">
        <v>74</v>
      </c>
      <c r="T631" t="s">
        <v>11885</v>
      </c>
      <c r="U631" t="s">
        <v>11886</v>
      </c>
      <c r="V631" t="s">
        <v>11887</v>
      </c>
      <c r="W631" t="s">
        <v>11888</v>
      </c>
      <c r="X631" t="s">
        <v>11889</v>
      </c>
      <c r="Y631" t="s">
        <v>11890</v>
      </c>
      <c r="Z631" t="s">
        <v>11891</v>
      </c>
      <c r="AA631" t="s">
        <v>11892</v>
      </c>
      <c r="AB631" t="s">
        <v>11893</v>
      </c>
      <c r="AC631" t="s">
        <v>11894</v>
      </c>
      <c r="AD631" t="s">
        <v>11895</v>
      </c>
      <c r="AE631" t="s">
        <v>11896</v>
      </c>
      <c r="AF631" t="s">
        <v>74</v>
      </c>
      <c r="AG631">
        <v>115</v>
      </c>
      <c r="AH631">
        <v>36</v>
      </c>
      <c r="AI631">
        <v>42</v>
      </c>
      <c r="AJ631">
        <v>2</v>
      </c>
      <c r="AK631">
        <v>45</v>
      </c>
      <c r="AL631" t="s">
        <v>208</v>
      </c>
      <c r="AM631" t="s">
        <v>209</v>
      </c>
      <c r="AN631" t="s">
        <v>7114</v>
      </c>
      <c r="AO631" t="s">
        <v>11897</v>
      </c>
      <c r="AP631" t="s">
        <v>11898</v>
      </c>
      <c r="AQ631" t="s">
        <v>74</v>
      </c>
      <c r="AR631" t="s">
        <v>11899</v>
      </c>
      <c r="AS631" t="s">
        <v>11900</v>
      </c>
      <c r="AT631" t="s">
        <v>11877</v>
      </c>
      <c r="AU631">
        <v>2015</v>
      </c>
      <c r="AV631">
        <v>177</v>
      </c>
      <c r="AW631" t="s">
        <v>74</v>
      </c>
      <c r="AX631">
        <v>1</v>
      </c>
      <c r="AY631" t="s">
        <v>74</v>
      </c>
      <c r="AZ631" t="s">
        <v>2540</v>
      </c>
      <c r="BA631" t="s">
        <v>74</v>
      </c>
      <c r="BB631">
        <v>20</v>
      </c>
      <c r="BC631">
        <v>32</v>
      </c>
      <c r="BD631" t="s">
        <v>74</v>
      </c>
      <c r="BE631" t="s">
        <v>11901</v>
      </c>
      <c r="BF631" t="str">
        <f>HYPERLINK("http://dx.doi.org/10.1016/j.marchem.2015.06.006","http://dx.doi.org/10.1016/j.marchem.2015.06.006")</f>
        <v>http://dx.doi.org/10.1016/j.marchem.2015.06.006</v>
      </c>
      <c r="BG631" t="s">
        <v>74</v>
      </c>
      <c r="BH631" t="s">
        <v>74</v>
      </c>
      <c r="BI631">
        <v>13</v>
      </c>
      <c r="BJ631" t="s">
        <v>11902</v>
      </c>
      <c r="BK631" t="s">
        <v>264</v>
      </c>
      <c r="BL631" t="s">
        <v>11903</v>
      </c>
      <c r="BM631" t="s">
        <v>11904</v>
      </c>
      <c r="BN631" t="s">
        <v>74</v>
      </c>
      <c r="BO631" t="s">
        <v>74</v>
      </c>
      <c r="BP631" t="s">
        <v>74</v>
      </c>
      <c r="BQ631" t="s">
        <v>74</v>
      </c>
      <c r="BR631" t="s">
        <v>100</v>
      </c>
      <c r="BS631" t="s">
        <v>11905</v>
      </c>
      <c r="BT631" t="str">
        <f>HYPERLINK("https%3A%2F%2Fwww.webofscience.com%2Fwos%2Fwoscc%2Ffull-record%2FWOS:000366788300003","View Full Record in Web of Science")</f>
        <v>View Full Record in Web of Science</v>
      </c>
    </row>
    <row r="632" spans="1:72" x14ac:dyDescent="0.15">
      <c r="A632" t="s">
        <v>72</v>
      </c>
      <c r="B632" t="s">
        <v>11906</v>
      </c>
      <c r="C632" t="s">
        <v>74</v>
      </c>
      <c r="D632" t="s">
        <v>74</v>
      </c>
      <c r="E632" t="s">
        <v>74</v>
      </c>
      <c r="F632" t="s">
        <v>11907</v>
      </c>
      <c r="G632" t="s">
        <v>74</v>
      </c>
      <c r="H632" t="s">
        <v>74</v>
      </c>
      <c r="I632" t="s">
        <v>11908</v>
      </c>
      <c r="J632" t="s">
        <v>11884</v>
      </c>
      <c r="K632" t="s">
        <v>74</v>
      </c>
      <c r="L632" t="s">
        <v>74</v>
      </c>
      <c r="M632" t="s">
        <v>200</v>
      </c>
      <c r="N632" t="s">
        <v>79</v>
      </c>
      <c r="O632" t="s">
        <v>74</v>
      </c>
      <c r="P632" t="s">
        <v>74</v>
      </c>
      <c r="Q632" t="s">
        <v>74</v>
      </c>
      <c r="R632" t="s">
        <v>74</v>
      </c>
      <c r="S632" t="s">
        <v>74</v>
      </c>
      <c r="T632" t="s">
        <v>11909</v>
      </c>
      <c r="U632" t="s">
        <v>11910</v>
      </c>
      <c r="V632" t="s">
        <v>11911</v>
      </c>
      <c r="W632" t="s">
        <v>11912</v>
      </c>
      <c r="X632" t="s">
        <v>11913</v>
      </c>
      <c r="Y632" t="s">
        <v>11914</v>
      </c>
      <c r="Z632" t="s">
        <v>11915</v>
      </c>
      <c r="AA632" t="s">
        <v>11916</v>
      </c>
      <c r="AB632" t="s">
        <v>11917</v>
      </c>
      <c r="AC632" t="s">
        <v>11918</v>
      </c>
      <c r="AD632" t="s">
        <v>11919</v>
      </c>
      <c r="AE632" t="s">
        <v>11920</v>
      </c>
      <c r="AF632" t="s">
        <v>74</v>
      </c>
      <c r="AG632">
        <v>86</v>
      </c>
      <c r="AH632">
        <v>47</v>
      </c>
      <c r="AI632">
        <v>52</v>
      </c>
      <c r="AJ632">
        <v>3</v>
      </c>
      <c r="AK632">
        <v>68</v>
      </c>
      <c r="AL632" t="s">
        <v>7137</v>
      </c>
      <c r="AM632" t="s">
        <v>209</v>
      </c>
      <c r="AN632" t="s">
        <v>7138</v>
      </c>
      <c r="AO632" t="s">
        <v>11897</v>
      </c>
      <c r="AP632" t="s">
        <v>11898</v>
      </c>
      <c r="AQ632" t="s">
        <v>74</v>
      </c>
      <c r="AR632" t="s">
        <v>11899</v>
      </c>
      <c r="AS632" t="s">
        <v>11900</v>
      </c>
      <c r="AT632" t="s">
        <v>11877</v>
      </c>
      <c r="AU632">
        <v>2015</v>
      </c>
      <c r="AV632">
        <v>177</v>
      </c>
      <c r="AW632" t="s">
        <v>74</v>
      </c>
      <c r="AX632">
        <v>1</v>
      </c>
      <c r="AY632" t="s">
        <v>74</v>
      </c>
      <c r="AZ632" t="s">
        <v>2540</v>
      </c>
      <c r="BA632" t="s">
        <v>74</v>
      </c>
      <c r="BB632">
        <v>69</v>
      </c>
      <c r="BC632">
        <v>86</v>
      </c>
      <c r="BD632" t="s">
        <v>74</v>
      </c>
      <c r="BE632" t="s">
        <v>11921</v>
      </c>
      <c r="BF632" t="str">
        <f>HYPERLINK("http://dx.doi.org/10.1016/j.marchem.2015.02.015","http://dx.doi.org/10.1016/j.marchem.2015.02.015")</f>
        <v>http://dx.doi.org/10.1016/j.marchem.2015.02.015</v>
      </c>
      <c r="BG632" t="s">
        <v>74</v>
      </c>
      <c r="BH632" t="s">
        <v>74</v>
      </c>
      <c r="BI632">
        <v>18</v>
      </c>
      <c r="BJ632" t="s">
        <v>11902</v>
      </c>
      <c r="BK632" t="s">
        <v>264</v>
      </c>
      <c r="BL632" t="s">
        <v>11903</v>
      </c>
      <c r="BM632" t="s">
        <v>11904</v>
      </c>
      <c r="BN632" t="s">
        <v>74</v>
      </c>
      <c r="BO632" t="s">
        <v>11922</v>
      </c>
      <c r="BP632" t="s">
        <v>74</v>
      </c>
      <c r="BQ632" t="s">
        <v>74</v>
      </c>
      <c r="BR632" t="s">
        <v>100</v>
      </c>
      <c r="BS632" t="s">
        <v>11923</v>
      </c>
      <c r="BT632" t="str">
        <f>HYPERLINK("https%3A%2F%2Fwww.webofscience.com%2Fwos%2Fwoscc%2Ffull-record%2FWOS:000366788300007","View Full Record in Web of Science")</f>
        <v>View Full Record in Web of Science</v>
      </c>
    </row>
    <row r="633" spans="1:72" x14ac:dyDescent="0.15">
      <c r="A633" t="s">
        <v>72</v>
      </c>
      <c r="B633" t="s">
        <v>11924</v>
      </c>
      <c r="C633" t="s">
        <v>74</v>
      </c>
      <c r="D633" t="s">
        <v>74</v>
      </c>
      <c r="E633" t="s">
        <v>74</v>
      </c>
      <c r="F633" t="s">
        <v>11925</v>
      </c>
      <c r="G633" t="s">
        <v>74</v>
      </c>
      <c r="H633" t="s">
        <v>74</v>
      </c>
      <c r="I633" t="s">
        <v>11926</v>
      </c>
      <c r="J633" t="s">
        <v>11884</v>
      </c>
      <c r="K633" t="s">
        <v>74</v>
      </c>
      <c r="L633" t="s">
        <v>74</v>
      </c>
      <c r="M633" t="s">
        <v>200</v>
      </c>
      <c r="N633" t="s">
        <v>79</v>
      </c>
      <c r="O633" t="s">
        <v>74</v>
      </c>
      <c r="P633" t="s">
        <v>74</v>
      </c>
      <c r="Q633" t="s">
        <v>74</v>
      </c>
      <c r="R633" t="s">
        <v>74</v>
      </c>
      <c r="S633" t="s">
        <v>74</v>
      </c>
      <c r="T633" t="s">
        <v>11927</v>
      </c>
      <c r="U633" t="s">
        <v>11928</v>
      </c>
      <c r="V633" t="s">
        <v>11929</v>
      </c>
      <c r="W633" t="s">
        <v>11930</v>
      </c>
      <c r="X633" t="s">
        <v>11931</v>
      </c>
      <c r="Y633" t="s">
        <v>11932</v>
      </c>
      <c r="Z633" t="s">
        <v>11933</v>
      </c>
      <c r="AA633" t="s">
        <v>11934</v>
      </c>
      <c r="AB633" t="s">
        <v>11935</v>
      </c>
      <c r="AC633" t="s">
        <v>11936</v>
      </c>
      <c r="AD633" t="s">
        <v>11937</v>
      </c>
      <c r="AE633" t="s">
        <v>11938</v>
      </c>
      <c r="AF633" t="s">
        <v>74</v>
      </c>
      <c r="AG633">
        <v>56</v>
      </c>
      <c r="AH633">
        <v>7</v>
      </c>
      <c r="AI633">
        <v>7</v>
      </c>
      <c r="AJ633">
        <v>3</v>
      </c>
      <c r="AK633">
        <v>48</v>
      </c>
      <c r="AL633" t="s">
        <v>208</v>
      </c>
      <c r="AM633" t="s">
        <v>209</v>
      </c>
      <c r="AN633" t="s">
        <v>7114</v>
      </c>
      <c r="AO633" t="s">
        <v>11897</v>
      </c>
      <c r="AP633" t="s">
        <v>11898</v>
      </c>
      <c r="AQ633" t="s">
        <v>74</v>
      </c>
      <c r="AR633" t="s">
        <v>11899</v>
      </c>
      <c r="AS633" t="s">
        <v>11900</v>
      </c>
      <c r="AT633" t="s">
        <v>11877</v>
      </c>
      <c r="AU633">
        <v>2015</v>
      </c>
      <c r="AV633">
        <v>177</v>
      </c>
      <c r="AW633" t="s">
        <v>74</v>
      </c>
      <c r="AX633">
        <v>3</v>
      </c>
      <c r="AY633" t="s">
        <v>74</v>
      </c>
      <c r="AZ633" t="s">
        <v>2540</v>
      </c>
      <c r="BA633" t="s">
        <v>74</v>
      </c>
      <c r="BB633">
        <v>510</v>
      </c>
      <c r="BC633">
        <v>517</v>
      </c>
      <c r="BD633" t="s">
        <v>74</v>
      </c>
      <c r="BE633" t="s">
        <v>11939</v>
      </c>
      <c r="BF633" t="str">
        <f>HYPERLINK("http://dx.doi.org/10.1016/j.marchem.2015.08.003","http://dx.doi.org/10.1016/j.marchem.2015.08.003")</f>
        <v>http://dx.doi.org/10.1016/j.marchem.2015.08.003</v>
      </c>
      <c r="BG633" t="s">
        <v>74</v>
      </c>
      <c r="BH633" t="s">
        <v>74</v>
      </c>
      <c r="BI633">
        <v>8</v>
      </c>
      <c r="BJ633" t="s">
        <v>11902</v>
      </c>
      <c r="BK633" t="s">
        <v>264</v>
      </c>
      <c r="BL633" t="s">
        <v>11903</v>
      </c>
      <c r="BM633" t="s">
        <v>11940</v>
      </c>
      <c r="BN633" t="s">
        <v>74</v>
      </c>
      <c r="BO633" t="s">
        <v>241</v>
      </c>
      <c r="BP633" t="s">
        <v>74</v>
      </c>
      <c r="BQ633" t="s">
        <v>74</v>
      </c>
      <c r="BR633" t="s">
        <v>100</v>
      </c>
      <c r="BS633" t="s">
        <v>11941</v>
      </c>
      <c r="BT633" t="str">
        <f>HYPERLINK("https%3A%2F%2Fwww.webofscience.com%2Fwos%2Fwoscc%2Ffull-record%2FWOS:000366788600011","View Full Record in Web of Science")</f>
        <v>View Full Record in Web of Science</v>
      </c>
    </row>
    <row r="634" spans="1:72" x14ac:dyDescent="0.15">
      <c r="A634" t="s">
        <v>72</v>
      </c>
      <c r="B634" t="s">
        <v>11942</v>
      </c>
      <c r="C634" t="s">
        <v>74</v>
      </c>
      <c r="D634" t="s">
        <v>74</v>
      </c>
      <c r="E634" t="s">
        <v>74</v>
      </c>
      <c r="F634" t="s">
        <v>11943</v>
      </c>
      <c r="G634" t="s">
        <v>74</v>
      </c>
      <c r="H634" t="s">
        <v>74</v>
      </c>
      <c r="I634" t="s">
        <v>11944</v>
      </c>
      <c r="J634" t="s">
        <v>11884</v>
      </c>
      <c r="K634" t="s">
        <v>74</v>
      </c>
      <c r="L634" t="s">
        <v>74</v>
      </c>
      <c r="M634" t="s">
        <v>200</v>
      </c>
      <c r="N634" t="s">
        <v>79</v>
      </c>
      <c r="O634" t="s">
        <v>74</v>
      </c>
      <c r="P634" t="s">
        <v>74</v>
      </c>
      <c r="Q634" t="s">
        <v>74</v>
      </c>
      <c r="R634" t="s">
        <v>74</v>
      </c>
      <c r="S634" t="s">
        <v>74</v>
      </c>
      <c r="T634" t="s">
        <v>11945</v>
      </c>
      <c r="U634" t="s">
        <v>11946</v>
      </c>
      <c r="V634" t="s">
        <v>11947</v>
      </c>
      <c r="W634" t="s">
        <v>11948</v>
      </c>
      <c r="X634" t="s">
        <v>11949</v>
      </c>
      <c r="Y634" t="s">
        <v>11950</v>
      </c>
      <c r="Z634" t="s">
        <v>11951</v>
      </c>
      <c r="AA634" t="s">
        <v>11934</v>
      </c>
      <c r="AB634" t="s">
        <v>11952</v>
      </c>
      <c r="AC634" t="s">
        <v>11953</v>
      </c>
      <c r="AD634" t="s">
        <v>11954</v>
      </c>
      <c r="AE634" t="s">
        <v>11955</v>
      </c>
      <c r="AF634" t="s">
        <v>74</v>
      </c>
      <c r="AG634">
        <v>91</v>
      </c>
      <c r="AH634">
        <v>32</v>
      </c>
      <c r="AI634">
        <v>34</v>
      </c>
      <c r="AJ634">
        <v>0</v>
      </c>
      <c r="AK634">
        <v>44</v>
      </c>
      <c r="AL634" t="s">
        <v>208</v>
      </c>
      <c r="AM634" t="s">
        <v>209</v>
      </c>
      <c r="AN634" t="s">
        <v>7114</v>
      </c>
      <c r="AO634" t="s">
        <v>11897</v>
      </c>
      <c r="AP634" t="s">
        <v>11898</v>
      </c>
      <c r="AQ634" t="s">
        <v>74</v>
      </c>
      <c r="AR634" t="s">
        <v>11899</v>
      </c>
      <c r="AS634" t="s">
        <v>11900</v>
      </c>
      <c r="AT634" t="s">
        <v>11877</v>
      </c>
      <c r="AU634">
        <v>2015</v>
      </c>
      <c r="AV634">
        <v>177</v>
      </c>
      <c r="AW634" t="s">
        <v>74</v>
      </c>
      <c r="AX634">
        <v>3</v>
      </c>
      <c r="AY634" t="s">
        <v>74</v>
      </c>
      <c r="AZ634" t="s">
        <v>2540</v>
      </c>
      <c r="BA634" t="s">
        <v>74</v>
      </c>
      <c r="BB634">
        <v>518</v>
      </c>
      <c r="BC634">
        <v>535</v>
      </c>
      <c r="BD634" t="s">
        <v>74</v>
      </c>
      <c r="BE634" t="s">
        <v>11956</v>
      </c>
      <c r="BF634" t="str">
        <f>HYPERLINK("http://dx.doi.org/10.1016/j.marchem.2015.08.004","http://dx.doi.org/10.1016/j.marchem.2015.08.004")</f>
        <v>http://dx.doi.org/10.1016/j.marchem.2015.08.004</v>
      </c>
      <c r="BG634" t="s">
        <v>74</v>
      </c>
      <c r="BH634" t="s">
        <v>74</v>
      </c>
      <c r="BI634">
        <v>18</v>
      </c>
      <c r="BJ634" t="s">
        <v>11902</v>
      </c>
      <c r="BK634" t="s">
        <v>264</v>
      </c>
      <c r="BL634" t="s">
        <v>11903</v>
      </c>
      <c r="BM634" t="s">
        <v>11940</v>
      </c>
      <c r="BN634" t="s">
        <v>74</v>
      </c>
      <c r="BO634" t="s">
        <v>74</v>
      </c>
      <c r="BP634" t="s">
        <v>74</v>
      </c>
      <c r="BQ634" t="s">
        <v>74</v>
      </c>
      <c r="BR634" t="s">
        <v>100</v>
      </c>
      <c r="BS634" t="s">
        <v>11957</v>
      </c>
      <c r="BT634" t="str">
        <f>HYPERLINK("https%3A%2F%2Fwww.webofscience.com%2Fwos%2Fwoscc%2Ffull-record%2FWOS:000366788600012","View Full Record in Web of Science")</f>
        <v>View Full Record in Web of Science</v>
      </c>
    </row>
    <row r="635" spans="1:72" x14ac:dyDescent="0.15">
      <c r="A635" t="s">
        <v>72</v>
      </c>
      <c r="B635" t="s">
        <v>11958</v>
      </c>
      <c r="C635" t="s">
        <v>74</v>
      </c>
      <c r="D635" t="s">
        <v>74</v>
      </c>
      <c r="E635" t="s">
        <v>74</v>
      </c>
      <c r="F635" t="s">
        <v>11959</v>
      </c>
      <c r="G635" t="s">
        <v>74</v>
      </c>
      <c r="H635" t="s">
        <v>74</v>
      </c>
      <c r="I635" t="s">
        <v>11960</v>
      </c>
      <c r="J635" t="s">
        <v>11884</v>
      </c>
      <c r="K635" t="s">
        <v>74</v>
      </c>
      <c r="L635" t="s">
        <v>74</v>
      </c>
      <c r="M635" t="s">
        <v>200</v>
      </c>
      <c r="N635" t="s">
        <v>79</v>
      </c>
      <c r="O635" t="s">
        <v>74</v>
      </c>
      <c r="P635" t="s">
        <v>74</v>
      </c>
      <c r="Q635" t="s">
        <v>74</v>
      </c>
      <c r="R635" t="s">
        <v>74</v>
      </c>
      <c r="S635" t="s">
        <v>74</v>
      </c>
      <c r="T635" t="s">
        <v>11961</v>
      </c>
      <c r="U635" t="s">
        <v>11962</v>
      </c>
      <c r="V635" t="s">
        <v>11963</v>
      </c>
      <c r="W635" t="s">
        <v>11964</v>
      </c>
      <c r="X635" t="s">
        <v>11965</v>
      </c>
      <c r="Y635" t="s">
        <v>11966</v>
      </c>
      <c r="Z635" t="s">
        <v>11967</v>
      </c>
      <c r="AA635" t="s">
        <v>11968</v>
      </c>
      <c r="AB635" t="s">
        <v>11969</v>
      </c>
      <c r="AC635" t="s">
        <v>11970</v>
      </c>
      <c r="AD635" t="s">
        <v>11971</v>
      </c>
      <c r="AE635" t="s">
        <v>11972</v>
      </c>
      <c r="AF635" t="s">
        <v>74</v>
      </c>
      <c r="AG635">
        <v>60</v>
      </c>
      <c r="AH635">
        <v>20</v>
      </c>
      <c r="AI635">
        <v>21</v>
      </c>
      <c r="AJ635">
        <v>0</v>
      </c>
      <c r="AK635">
        <v>23</v>
      </c>
      <c r="AL635" t="s">
        <v>7137</v>
      </c>
      <c r="AM635" t="s">
        <v>209</v>
      </c>
      <c r="AN635" t="s">
        <v>7138</v>
      </c>
      <c r="AO635" t="s">
        <v>11897</v>
      </c>
      <c r="AP635" t="s">
        <v>11898</v>
      </c>
      <c r="AQ635" t="s">
        <v>74</v>
      </c>
      <c r="AR635" t="s">
        <v>11899</v>
      </c>
      <c r="AS635" t="s">
        <v>11900</v>
      </c>
      <c r="AT635" t="s">
        <v>11877</v>
      </c>
      <c r="AU635">
        <v>2015</v>
      </c>
      <c r="AV635">
        <v>177</v>
      </c>
      <c r="AW635" t="s">
        <v>74</v>
      </c>
      <c r="AX635">
        <v>3</v>
      </c>
      <c r="AY635" t="s">
        <v>74</v>
      </c>
      <c r="AZ635" t="s">
        <v>2540</v>
      </c>
      <c r="BA635" t="s">
        <v>74</v>
      </c>
      <c r="BB635">
        <v>545</v>
      </c>
      <c r="BC635">
        <v>553</v>
      </c>
      <c r="BD635" t="s">
        <v>74</v>
      </c>
      <c r="BE635" t="s">
        <v>11973</v>
      </c>
      <c r="BF635" t="str">
        <f>HYPERLINK("http://dx.doi.org/10.1016/j.marchem.2015.08.007","http://dx.doi.org/10.1016/j.marchem.2015.08.007")</f>
        <v>http://dx.doi.org/10.1016/j.marchem.2015.08.007</v>
      </c>
      <c r="BG635" t="s">
        <v>74</v>
      </c>
      <c r="BH635" t="s">
        <v>74</v>
      </c>
      <c r="BI635">
        <v>9</v>
      </c>
      <c r="BJ635" t="s">
        <v>11902</v>
      </c>
      <c r="BK635" t="s">
        <v>264</v>
      </c>
      <c r="BL635" t="s">
        <v>11903</v>
      </c>
      <c r="BM635" t="s">
        <v>11940</v>
      </c>
      <c r="BN635" t="s">
        <v>74</v>
      </c>
      <c r="BO635" t="s">
        <v>74</v>
      </c>
      <c r="BP635" t="s">
        <v>74</v>
      </c>
      <c r="BQ635" t="s">
        <v>74</v>
      </c>
      <c r="BR635" t="s">
        <v>100</v>
      </c>
      <c r="BS635" t="s">
        <v>11974</v>
      </c>
      <c r="BT635" t="str">
        <f>HYPERLINK("https%3A%2F%2Fwww.webofscience.com%2Fwos%2Fwoscc%2Ffull-record%2FWOS:000366788600014","View Full Record in Web of Science")</f>
        <v>View Full Record in Web of Science</v>
      </c>
    </row>
    <row r="636" spans="1:72" x14ac:dyDescent="0.15">
      <c r="A636" t="s">
        <v>72</v>
      </c>
      <c r="B636" t="s">
        <v>11975</v>
      </c>
      <c r="C636" t="s">
        <v>74</v>
      </c>
      <c r="D636" t="s">
        <v>74</v>
      </c>
      <c r="E636" t="s">
        <v>74</v>
      </c>
      <c r="F636" t="s">
        <v>11976</v>
      </c>
      <c r="G636" t="s">
        <v>74</v>
      </c>
      <c r="H636" t="s">
        <v>74</v>
      </c>
      <c r="I636" t="s">
        <v>11977</v>
      </c>
      <c r="J636" t="s">
        <v>11884</v>
      </c>
      <c r="K636" t="s">
        <v>74</v>
      </c>
      <c r="L636" t="s">
        <v>74</v>
      </c>
      <c r="M636" t="s">
        <v>200</v>
      </c>
      <c r="N636" t="s">
        <v>79</v>
      </c>
      <c r="O636" t="s">
        <v>74</v>
      </c>
      <c r="P636" t="s">
        <v>74</v>
      </c>
      <c r="Q636" t="s">
        <v>74</v>
      </c>
      <c r="R636" t="s">
        <v>74</v>
      </c>
      <c r="S636" t="s">
        <v>74</v>
      </c>
      <c r="T636" t="s">
        <v>11978</v>
      </c>
      <c r="U636" t="s">
        <v>11979</v>
      </c>
      <c r="V636" t="s">
        <v>11980</v>
      </c>
      <c r="W636" t="s">
        <v>11981</v>
      </c>
      <c r="X636" t="s">
        <v>11982</v>
      </c>
      <c r="Y636" t="s">
        <v>11983</v>
      </c>
      <c r="Z636" t="s">
        <v>11984</v>
      </c>
      <c r="AA636" t="s">
        <v>74</v>
      </c>
      <c r="AB636" t="s">
        <v>11985</v>
      </c>
      <c r="AC636" t="s">
        <v>11986</v>
      </c>
      <c r="AD636" t="s">
        <v>11987</v>
      </c>
      <c r="AE636" t="s">
        <v>11988</v>
      </c>
      <c r="AF636" t="s">
        <v>74</v>
      </c>
      <c r="AG636">
        <v>90</v>
      </c>
      <c r="AH636">
        <v>4</v>
      </c>
      <c r="AI636">
        <v>4</v>
      </c>
      <c r="AJ636">
        <v>0</v>
      </c>
      <c r="AK636">
        <v>34</v>
      </c>
      <c r="AL636" t="s">
        <v>208</v>
      </c>
      <c r="AM636" t="s">
        <v>209</v>
      </c>
      <c r="AN636" t="s">
        <v>7114</v>
      </c>
      <c r="AO636" t="s">
        <v>11897</v>
      </c>
      <c r="AP636" t="s">
        <v>11898</v>
      </c>
      <c r="AQ636" t="s">
        <v>74</v>
      </c>
      <c r="AR636" t="s">
        <v>11899</v>
      </c>
      <c r="AS636" t="s">
        <v>11900</v>
      </c>
      <c r="AT636" t="s">
        <v>11877</v>
      </c>
      <c r="AU636">
        <v>2015</v>
      </c>
      <c r="AV636">
        <v>177</v>
      </c>
      <c r="AW636" t="s">
        <v>74</v>
      </c>
      <c r="AX636">
        <v>3</v>
      </c>
      <c r="AY636" t="s">
        <v>74</v>
      </c>
      <c r="AZ636" t="s">
        <v>2540</v>
      </c>
      <c r="BA636" t="s">
        <v>74</v>
      </c>
      <c r="BB636">
        <v>554</v>
      </c>
      <c r="BC636">
        <v>565</v>
      </c>
      <c r="BD636" t="s">
        <v>74</v>
      </c>
      <c r="BE636" t="s">
        <v>11989</v>
      </c>
      <c r="BF636" t="str">
        <f>HYPERLINK("http://dx.doi.org/10.1016/j.marchem.2015.08.008","http://dx.doi.org/10.1016/j.marchem.2015.08.008")</f>
        <v>http://dx.doi.org/10.1016/j.marchem.2015.08.008</v>
      </c>
      <c r="BG636" t="s">
        <v>74</v>
      </c>
      <c r="BH636" t="s">
        <v>74</v>
      </c>
      <c r="BI636">
        <v>12</v>
      </c>
      <c r="BJ636" t="s">
        <v>11902</v>
      </c>
      <c r="BK636" t="s">
        <v>264</v>
      </c>
      <c r="BL636" t="s">
        <v>11903</v>
      </c>
      <c r="BM636" t="s">
        <v>11940</v>
      </c>
      <c r="BN636" t="s">
        <v>74</v>
      </c>
      <c r="BO636" t="s">
        <v>74</v>
      </c>
      <c r="BP636" t="s">
        <v>74</v>
      </c>
      <c r="BQ636" t="s">
        <v>74</v>
      </c>
      <c r="BR636" t="s">
        <v>100</v>
      </c>
      <c r="BS636" t="s">
        <v>11990</v>
      </c>
      <c r="BT636" t="str">
        <f>HYPERLINK("https%3A%2F%2Fwww.webofscience.com%2Fwos%2Fwoscc%2Ffull-record%2FWOS:000366788600015","View Full Record in Web of Science")</f>
        <v>View Full Record in Web of Science</v>
      </c>
    </row>
    <row r="637" spans="1:72" x14ac:dyDescent="0.15">
      <c r="A637" t="s">
        <v>72</v>
      </c>
      <c r="B637" t="s">
        <v>11991</v>
      </c>
      <c r="C637" t="s">
        <v>74</v>
      </c>
      <c r="D637" t="s">
        <v>74</v>
      </c>
      <c r="E637" t="s">
        <v>74</v>
      </c>
      <c r="F637" t="s">
        <v>11992</v>
      </c>
      <c r="G637" t="s">
        <v>74</v>
      </c>
      <c r="H637" t="s">
        <v>74</v>
      </c>
      <c r="I637" t="s">
        <v>11993</v>
      </c>
      <c r="J637" t="s">
        <v>11994</v>
      </c>
      <c r="K637" t="s">
        <v>74</v>
      </c>
      <c r="L637" t="s">
        <v>74</v>
      </c>
      <c r="M637" t="s">
        <v>200</v>
      </c>
      <c r="N637" t="s">
        <v>79</v>
      </c>
      <c r="O637" t="s">
        <v>74</v>
      </c>
      <c r="P637" t="s">
        <v>74</v>
      </c>
      <c r="Q637" t="s">
        <v>74</v>
      </c>
      <c r="R637" t="s">
        <v>74</v>
      </c>
      <c r="S637" t="s">
        <v>74</v>
      </c>
      <c r="T637" t="s">
        <v>11995</v>
      </c>
      <c r="U637" t="s">
        <v>11996</v>
      </c>
      <c r="V637" t="s">
        <v>11997</v>
      </c>
      <c r="W637" t="s">
        <v>11998</v>
      </c>
      <c r="X637" t="s">
        <v>11999</v>
      </c>
      <c r="Y637" t="s">
        <v>12000</v>
      </c>
      <c r="Z637" t="s">
        <v>12001</v>
      </c>
      <c r="AA637" t="s">
        <v>12002</v>
      </c>
      <c r="AB637" t="s">
        <v>12003</v>
      </c>
      <c r="AC637" t="s">
        <v>12004</v>
      </c>
      <c r="AD637" t="s">
        <v>12005</v>
      </c>
      <c r="AE637" t="s">
        <v>12006</v>
      </c>
      <c r="AF637" t="s">
        <v>74</v>
      </c>
      <c r="AG637">
        <v>92</v>
      </c>
      <c r="AH637">
        <v>13</v>
      </c>
      <c r="AI637">
        <v>14</v>
      </c>
      <c r="AJ637">
        <v>2</v>
      </c>
      <c r="AK637">
        <v>34</v>
      </c>
      <c r="AL637" t="s">
        <v>11717</v>
      </c>
      <c r="AM637" t="s">
        <v>2100</v>
      </c>
      <c r="AN637" t="s">
        <v>11718</v>
      </c>
      <c r="AO637" t="s">
        <v>12007</v>
      </c>
      <c r="AP637" t="s">
        <v>12008</v>
      </c>
      <c r="AQ637" t="s">
        <v>74</v>
      </c>
      <c r="AR637" t="s">
        <v>12009</v>
      </c>
      <c r="AS637" t="s">
        <v>12010</v>
      </c>
      <c r="AT637" t="s">
        <v>11877</v>
      </c>
      <c r="AU637">
        <v>2015</v>
      </c>
      <c r="AV637">
        <v>167</v>
      </c>
      <c r="AW637" t="s">
        <v>74</v>
      </c>
      <c r="AX637" t="s">
        <v>6314</v>
      </c>
      <c r="AY637" t="s">
        <v>74</v>
      </c>
      <c r="AZ637" t="s">
        <v>2540</v>
      </c>
      <c r="BA637" t="s">
        <v>74</v>
      </c>
      <c r="BB637">
        <v>86</v>
      </c>
      <c r="BC637">
        <v>101</v>
      </c>
      <c r="BD637" t="s">
        <v>74</v>
      </c>
      <c r="BE637" t="s">
        <v>12011</v>
      </c>
      <c r="BF637" t="str">
        <f>HYPERLINK("http://dx.doi.org/10.1016/j.ecss.2015.07.006","http://dx.doi.org/10.1016/j.ecss.2015.07.006")</f>
        <v>http://dx.doi.org/10.1016/j.ecss.2015.07.006</v>
      </c>
      <c r="BG637" t="s">
        <v>74</v>
      </c>
      <c r="BH637" t="s">
        <v>74</v>
      </c>
      <c r="BI637">
        <v>16</v>
      </c>
      <c r="BJ637" t="s">
        <v>6862</v>
      </c>
      <c r="BK637" t="s">
        <v>264</v>
      </c>
      <c r="BL637" t="s">
        <v>6862</v>
      </c>
      <c r="BM637" t="s">
        <v>12012</v>
      </c>
      <c r="BN637" t="s">
        <v>74</v>
      </c>
      <c r="BO637" t="s">
        <v>74</v>
      </c>
      <c r="BP637" t="s">
        <v>74</v>
      </c>
      <c r="BQ637" t="s">
        <v>74</v>
      </c>
      <c r="BR637" t="s">
        <v>100</v>
      </c>
      <c r="BS637" t="s">
        <v>12013</v>
      </c>
      <c r="BT637" t="str">
        <f>HYPERLINK("https%3A%2F%2Fwww.webofscience.com%2Fwos%2Fwoscc%2Ffull-record%2FWOS:000367630300010","View Full Record in Web of Science")</f>
        <v>View Full Record in Web of Science</v>
      </c>
    </row>
    <row r="638" spans="1:72" x14ac:dyDescent="0.15">
      <c r="A638" t="s">
        <v>72</v>
      </c>
      <c r="B638" t="s">
        <v>12014</v>
      </c>
      <c r="C638" t="s">
        <v>74</v>
      </c>
      <c r="D638" t="s">
        <v>74</v>
      </c>
      <c r="E638" t="s">
        <v>74</v>
      </c>
      <c r="F638" t="s">
        <v>12015</v>
      </c>
      <c r="G638" t="s">
        <v>74</v>
      </c>
      <c r="H638" t="s">
        <v>74</v>
      </c>
      <c r="I638" t="s">
        <v>12016</v>
      </c>
      <c r="J638" t="s">
        <v>11884</v>
      </c>
      <c r="K638" t="s">
        <v>74</v>
      </c>
      <c r="L638" t="s">
        <v>74</v>
      </c>
      <c r="M638" t="s">
        <v>200</v>
      </c>
      <c r="N638" t="s">
        <v>79</v>
      </c>
      <c r="O638" t="s">
        <v>74</v>
      </c>
      <c r="P638" t="s">
        <v>74</v>
      </c>
      <c r="Q638" t="s">
        <v>74</v>
      </c>
      <c r="R638" t="s">
        <v>74</v>
      </c>
      <c r="S638" t="s">
        <v>74</v>
      </c>
      <c r="T638" t="s">
        <v>12017</v>
      </c>
      <c r="U638" t="s">
        <v>74</v>
      </c>
      <c r="V638" t="s">
        <v>12018</v>
      </c>
      <c r="W638" t="s">
        <v>12019</v>
      </c>
      <c r="X638" t="s">
        <v>12020</v>
      </c>
      <c r="Y638" t="s">
        <v>12021</v>
      </c>
      <c r="Z638" t="s">
        <v>12022</v>
      </c>
      <c r="AA638" t="s">
        <v>12023</v>
      </c>
      <c r="AB638" t="s">
        <v>12024</v>
      </c>
      <c r="AC638" t="s">
        <v>12025</v>
      </c>
      <c r="AD638" t="s">
        <v>12026</v>
      </c>
      <c r="AE638" t="s">
        <v>12027</v>
      </c>
      <c r="AF638" t="s">
        <v>74</v>
      </c>
      <c r="AG638">
        <v>6</v>
      </c>
      <c r="AH638">
        <v>118</v>
      </c>
      <c r="AI638">
        <v>129</v>
      </c>
      <c r="AJ638">
        <v>2</v>
      </c>
      <c r="AK638">
        <v>145</v>
      </c>
      <c r="AL638" t="s">
        <v>208</v>
      </c>
      <c r="AM638" t="s">
        <v>209</v>
      </c>
      <c r="AN638" t="s">
        <v>7114</v>
      </c>
      <c r="AO638" t="s">
        <v>11897</v>
      </c>
      <c r="AP638" t="s">
        <v>11898</v>
      </c>
      <c r="AQ638" t="s">
        <v>74</v>
      </c>
      <c r="AR638" t="s">
        <v>11899</v>
      </c>
      <c r="AS638" t="s">
        <v>11900</v>
      </c>
      <c r="AT638" t="s">
        <v>11877</v>
      </c>
      <c r="AU638">
        <v>2015</v>
      </c>
      <c r="AV638">
        <v>177</v>
      </c>
      <c r="AW638" t="s">
        <v>74</v>
      </c>
      <c r="AX638">
        <v>1</v>
      </c>
      <c r="AY638" t="s">
        <v>74</v>
      </c>
      <c r="AZ638" t="s">
        <v>2540</v>
      </c>
      <c r="BA638" t="s">
        <v>74</v>
      </c>
      <c r="BB638">
        <v>1</v>
      </c>
      <c r="BC638">
        <v>8</v>
      </c>
      <c r="BD638" t="s">
        <v>74</v>
      </c>
      <c r="BE638" t="s">
        <v>12028</v>
      </c>
      <c r="BF638" t="str">
        <f>HYPERLINK("http://dx.doi.org/10.1016/j.marchem.2015.04.005","http://dx.doi.org/10.1016/j.marchem.2015.04.005")</f>
        <v>http://dx.doi.org/10.1016/j.marchem.2015.04.005</v>
      </c>
      <c r="BG638" t="s">
        <v>74</v>
      </c>
      <c r="BH638" t="s">
        <v>74</v>
      </c>
      <c r="BI638">
        <v>8</v>
      </c>
      <c r="BJ638" t="s">
        <v>11902</v>
      </c>
      <c r="BK638" t="s">
        <v>264</v>
      </c>
      <c r="BL638" t="s">
        <v>11903</v>
      </c>
      <c r="BM638" t="s">
        <v>11904</v>
      </c>
      <c r="BN638" t="s">
        <v>74</v>
      </c>
      <c r="BO638" t="s">
        <v>12029</v>
      </c>
      <c r="BP638" t="s">
        <v>74</v>
      </c>
      <c r="BQ638" t="s">
        <v>74</v>
      </c>
      <c r="BR638" t="s">
        <v>100</v>
      </c>
      <c r="BS638" t="s">
        <v>12030</v>
      </c>
      <c r="BT638" t="str">
        <f>HYPERLINK("https%3A%2F%2Fwww.webofscience.com%2Fwos%2Fwoscc%2Ffull-record%2FWOS:000366788300001","View Full Record in Web of Science")</f>
        <v>View Full Record in Web of Science</v>
      </c>
    </row>
    <row r="639" spans="1:72" x14ac:dyDescent="0.15">
      <c r="A639" t="s">
        <v>72</v>
      </c>
      <c r="B639" t="s">
        <v>12031</v>
      </c>
      <c r="C639" t="s">
        <v>74</v>
      </c>
      <c r="D639" t="s">
        <v>74</v>
      </c>
      <c r="E639" t="s">
        <v>74</v>
      </c>
      <c r="F639" t="s">
        <v>12032</v>
      </c>
      <c r="G639" t="s">
        <v>74</v>
      </c>
      <c r="H639" t="s">
        <v>74</v>
      </c>
      <c r="I639" t="s">
        <v>12033</v>
      </c>
      <c r="J639" t="s">
        <v>11884</v>
      </c>
      <c r="K639" t="s">
        <v>74</v>
      </c>
      <c r="L639" t="s">
        <v>74</v>
      </c>
      <c r="M639" t="s">
        <v>200</v>
      </c>
      <c r="N639" t="s">
        <v>79</v>
      </c>
      <c r="O639" t="s">
        <v>74</v>
      </c>
      <c r="P639" t="s">
        <v>74</v>
      </c>
      <c r="Q639" t="s">
        <v>74</v>
      </c>
      <c r="R639" t="s">
        <v>74</v>
      </c>
      <c r="S639" t="s">
        <v>74</v>
      </c>
      <c r="T639" t="s">
        <v>12034</v>
      </c>
      <c r="U639" t="s">
        <v>12035</v>
      </c>
      <c r="V639" t="s">
        <v>12036</v>
      </c>
      <c r="W639" t="s">
        <v>12037</v>
      </c>
      <c r="X639" t="s">
        <v>12038</v>
      </c>
      <c r="Y639" t="s">
        <v>12039</v>
      </c>
      <c r="Z639" t="s">
        <v>12040</v>
      </c>
      <c r="AA639" t="s">
        <v>12041</v>
      </c>
      <c r="AB639" t="s">
        <v>12042</v>
      </c>
      <c r="AC639" t="s">
        <v>74</v>
      </c>
      <c r="AD639" t="s">
        <v>74</v>
      </c>
      <c r="AE639" t="s">
        <v>74</v>
      </c>
      <c r="AF639" t="s">
        <v>74</v>
      </c>
      <c r="AG639">
        <v>86</v>
      </c>
      <c r="AH639">
        <v>37</v>
      </c>
      <c r="AI639">
        <v>40</v>
      </c>
      <c r="AJ639">
        <v>3</v>
      </c>
      <c r="AK639">
        <v>49</v>
      </c>
      <c r="AL639" t="s">
        <v>7137</v>
      </c>
      <c r="AM639" t="s">
        <v>209</v>
      </c>
      <c r="AN639" t="s">
        <v>7138</v>
      </c>
      <c r="AO639" t="s">
        <v>11897</v>
      </c>
      <c r="AP639" t="s">
        <v>11898</v>
      </c>
      <c r="AQ639" t="s">
        <v>74</v>
      </c>
      <c r="AR639" t="s">
        <v>11899</v>
      </c>
      <c r="AS639" t="s">
        <v>11900</v>
      </c>
      <c r="AT639" t="s">
        <v>11877</v>
      </c>
      <c r="AU639">
        <v>2015</v>
      </c>
      <c r="AV639">
        <v>177</v>
      </c>
      <c r="AW639" t="s">
        <v>74</v>
      </c>
      <c r="AX639">
        <v>1</v>
      </c>
      <c r="AY639" t="s">
        <v>74</v>
      </c>
      <c r="AZ639" t="s">
        <v>2540</v>
      </c>
      <c r="BA639" t="s">
        <v>74</v>
      </c>
      <c r="BB639">
        <v>110</v>
      </c>
      <c r="BC639">
        <v>123</v>
      </c>
      <c r="BD639" t="s">
        <v>74</v>
      </c>
      <c r="BE639" t="s">
        <v>12043</v>
      </c>
      <c r="BF639" t="str">
        <f>HYPERLINK("http://dx.doi.org/10.1016/j.marchem.2015.06.011","http://dx.doi.org/10.1016/j.marchem.2015.06.011")</f>
        <v>http://dx.doi.org/10.1016/j.marchem.2015.06.011</v>
      </c>
      <c r="BG639" t="s">
        <v>74</v>
      </c>
      <c r="BH639" t="s">
        <v>74</v>
      </c>
      <c r="BI639">
        <v>14</v>
      </c>
      <c r="BJ639" t="s">
        <v>11902</v>
      </c>
      <c r="BK639" t="s">
        <v>264</v>
      </c>
      <c r="BL639" t="s">
        <v>11903</v>
      </c>
      <c r="BM639" t="s">
        <v>11904</v>
      </c>
      <c r="BN639" t="s">
        <v>74</v>
      </c>
      <c r="BO639" t="s">
        <v>74</v>
      </c>
      <c r="BP639" t="s">
        <v>74</v>
      </c>
      <c r="BQ639" t="s">
        <v>74</v>
      </c>
      <c r="BR639" t="s">
        <v>100</v>
      </c>
      <c r="BS639" t="s">
        <v>12044</v>
      </c>
      <c r="BT639" t="str">
        <f>HYPERLINK("https%3A%2F%2Fwww.webofscience.com%2Fwos%2Fwoscc%2Ffull-record%2FWOS:000366788300010","View Full Record in Web of Science")</f>
        <v>View Full Record in Web of Science</v>
      </c>
    </row>
    <row r="640" spans="1:72" x14ac:dyDescent="0.15">
      <c r="A640" t="s">
        <v>72</v>
      </c>
      <c r="B640" t="s">
        <v>12045</v>
      </c>
      <c r="C640" t="s">
        <v>74</v>
      </c>
      <c r="D640" t="s">
        <v>74</v>
      </c>
      <c r="E640" t="s">
        <v>74</v>
      </c>
      <c r="F640" t="s">
        <v>12046</v>
      </c>
      <c r="G640" t="s">
        <v>74</v>
      </c>
      <c r="H640" t="s">
        <v>74</v>
      </c>
      <c r="I640" t="s">
        <v>12047</v>
      </c>
      <c r="J640" t="s">
        <v>11884</v>
      </c>
      <c r="K640" t="s">
        <v>74</v>
      </c>
      <c r="L640" t="s">
        <v>74</v>
      </c>
      <c r="M640" t="s">
        <v>200</v>
      </c>
      <c r="N640" t="s">
        <v>79</v>
      </c>
      <c r="O640" t="s">
        <v>74</v>
      </c>
      <c r="P640" t="s">
        <v>74</v>
      </c>
      <c r="Q640" t="s">
        <v>74</v>
      </c>
      <c r="R640" t="s">
        <v>74</v>
      </c>
      <c r="S640" t="s">
        <v>74</v>
      </c>
      <c r="T640" t="s">
        <v>12048</v>
      </c>
      <c r="U640" t="s">
        <v>12049</v>
      </c>
      <c r="V640" t="s">
        <v>12050</v>
      </c>
      <c r="W640" t="s">
        <v>12051</v>
      </c>
      <c r="X640" t="s">
        <v>12052</v>
      </c>
      <c r="Y640" t="s">
        <v>12053</v>
      </c>
      <c r="Z640" t="s">
        <v>74</v>
      </c>
      <c r="AA640" t="s">
        <v>12054</v>
      </c>
      <c r="AB640" t="s">
        <v>12055</v>
      </c>
      <c r="AC640" t="s">
        <v>74</v>
      </c>
      <c r="AD640" t="s">
        <v>74</v>
      </c>
      <c r="AE640" t="s">
        <v>74</v>
      </c>
      <c r="AF640" t="s">
        <v>74</v>
      </c>
      <c r="AG640">
        <v>43</v>
      </c>
      <c r="AH640">
        <v>51</v>
      </c>
      <c r="AI640">
        <v>58</v>
      </c>
      <c r="AJ640">
        <v>0</v>
      </c>
      <c r="AK640">
        <v>49</v>
      </c>
      <c r="AL640" t="s">
        <v>208</v>
      </c>
      <c r="AM640" t="s">
        <v>209</v>
      </c>
      <c r="AN640" t="s">
        <v>7114</v>
      </c>
      <c r="AO640" t="s">
        <v>11897</v>
      </c>
      <c r="AP640" t="s">
        <v>11898</v>
      </c>
      <c r="AQ640" t="s">
        <v>74</v>
      </c>
      <c r="AR640" t="s">
        <v>11899</v>
      </c>
      <c r="AS640" t="s">
        <v>11900</v>
      </c>
      <c r="AT640" t="s">
        <v>11877</v>
      </c>
      <c r="AU640">
        <v>2015</v>
      </c>
      <c r="AV640">
        <v>177</v>
      </c>
      <c r="AW640" t="s">
        <v>74</v>
      </c>
      <c r="AX640">
        <v>1</v>
      </c>
      <c r="AY640" t="s">
        <v>74</v>
      </c>
      <c r="AZ640" t="s">
        <v>2540</v>
      </c>
      <c r="BA640" t="s">
        <v>74</v>
      </c>
      <c r="BB640">
        <v>143</v>
      </c>
      <c r="BC640">
        <v>156</v>
      </c>
      <c r="BD640" t="s">
        <v>74</v>
      </c>
      <c r="BE640" t="s">
        <v>12056</v>
      </c>
      <c r="BF640" t="str">
        <f>HYPERLINK("http://dx.doi.org/10.1016/j.marchem.2015.06.007","http://dx.doi.org/10.1016/j.marchem.2015.06.007")</f>
        <v>http://dx.doi.org/10.1016/j.marchem.2015.06.007</v>
      </c>
      <c r="BG640" t="s">
        <v>74</v>
      </c>
      <c r="BH640" t="s">
        <v>74</v>
      </c>
      <c r="BI640">
        <v>14</v>
      </c>
      <c r="BJ640" t="s">
        <v>11902</v>
      </c>
      <c r="BK640" t="s">
        <v>264</v>
      </c>
      <c r="BL640" t="s">
        <v>11903</v>
      </c>
      <c r="BM640" t="s">
        <v>11904</v>
      </c>
      <c r="BN640" t="s">
        <v>74</v>
      </c>
      <c r="BO640" t="s">
        <v>74</v>
      </c>
      <c r="BP640" t="s">
        <v>74</v>
      </c>
      <c r="BQ640" t="s">
        <v>74</v>
      </c>
      <c r="BR640" t="s">
        <v>100</v>
      </c>
      <c r="BS640" t="s">
        <v>12057</v>
      </c>
      <c r="BT640" t="str">
        <f>HYPERLINK("https%3A%2F%2Fwww.webofscience.com%2Fwos%2Fwoscc%2Ffull-record%2FWOS:000366788300013","View Full Record in Web of Science")</f>
        <v>View Full Record in Web of Science</v>
      </c>
    </row>
    <row r="641" spans="1:72" x14ac:dyDescent="0.15">
      <c r="A641" t="s">
        <v>72</v>
      </c>
      <c r="B641" t="s">
        <v>12058</v>
      </c>
      <c r="C641" t="s">
        <v>74</v>
      </c>
      <c r="D641" t="s">
        <v>74</v>
      </c>
      <c r="E641" t="s">
        <v>74</v>
      </c>
      <c r="F641" t="s">
        <v>12059</v>
      </c>
      <c r="G641" t="s">
        <v>74</v>
      </c>
      <c r="H641" t="s">
        <v>74</v>
      </c>
      <c r="I641" t="s">
        <v>12060</v>
      </c>
      <c r="J641" t="s">
        <v>11884</v>
      </c>
      <c r="K641" t="s">
        <v>74</v>
      </c>
      <c r="L641" t="s">
        <v>74</v>
      </c>
      <c r="M641" t="s">
        <v>200</v>
      </c>
      <c r="N641" t="s">
        <v>79</v>
      </c>
      <c r="O641" t="s">
        <v>74</v>
      </c>
      <c r="P641" t="s">
        <v>74</v>
      </c>
      <c r="Q641" t="s">
        <v>74</v>
      </c>
      <c r="R641" t="s">
        <v>74</v>
      </c>
      <c r="S641" t="s">
        <v>74</v>
      </c>
      <c r="T641" t="s">
        <v>12061</v>
      </c>
      <c r="U641" t="s">
        <v>12062</v>
      </c>
      <c r="V641" t="s">
        <v>12063</v>
      </c>
      <c r="W641" t="s">
        <v>12064</v>
      </c>
      <c r="X641" t="s">
        <v>12065</v>
      </c>
      <c r="Y641" t="s">
        <v>12066</v>
      </c>
      <c r="Z641" t="s">
        <v>74</v>
      </c>
      <c r="AA641" t="s">
        <v>12067</v>
      </c>
      <c r="AB641" t="s">
        <v>12068</v>
      </c>
      <c r="AC641" t="s">
        <v>74</v>
      </c>
      <c r="AD641" t="s">
        <v>74</v>
      </c>
      <c r="AE641" t="s">
        <v>74</v>
      </c>
      <c r="AF641" t="s">
        <v>74</v>
      </c>
      <c r="AG641">
        <v>104</v>
      </c>
      <c r="AH641">
        <v>59</v>
      </c>
      <c r="AI641">
        <v>63</v>
      </c>
      <c r="AJ641">
        <v>1</v>
      </c>
      <c r="AK641">
        <v>63</v>
      </c>
      <c r="AL641" t="s">
        <v>208</v>
      </c>
      <c r="AM641" t="s">
        <v>209</v>
      </c>
      <c r="AN641" t="s">
        <v>7114</v>
      </c>
      <c r="AO641" t="s">
        <v>11897</v>
      </c>
      <c r="AP641" t="s">
        <v>11898</v>
      </c>
      <c r="AQ641" t="s">
        <v>74</v>
      </c>
      <c r="AR641" t="s">
        <v>11899</v>
      </c>
      <c r="AS641" t="s">
        <v>11900</v>
      </c>
      <c r="AT641" t="s">
        <v>11877</v>
      </c>
      <c r="AU641">
        <v>2015</v>
      </c>
      <c r="AV641">
        <v>177</v>
      </c>
      <c r="AW641" t="s">
        <v>74</v>
      </c>
      <c r="AX641">
        <v>1</v>
      </c>
      <c r="AY641" t="s">
        <v>74</v>
      </c>
      <c r="AZ641" t="s">
        <v>2540</v>
      </c>
      <c r="BA641" t="s">
        <v>74</v>
      </c>
      <c r="BB641">
        <v>157</v>
      </c>
      <c r="BC641">
        <v>171</v>
      </c>
      <c r="BD641" t="s">
        <v>74</v>
      </c>
      <c r="BE641" t="s">
        <v>12069</v>
      </c>
      <c r="BF641" t="str">
        <f>HYPERLINK("http://dx.doi.org/10.1016/j.marchem.2015.03.011","http://dx.doi.org/10.1016/j.marchem.2015.03.011")</f>
        <v>http://dx.doi.org/10.1016/j.marchem.2015.03.011</v>
      </c>
      <c r="BG641" t="s">
        <v>74</v>
      </c>
      <c r="BH641" t="s">
        <v>74</v>
      </c>
      <c r="BI641">
        <v>15</v>
      </c>
      <c r="BJ641" t="s">
        <v>11902</v>
      </c>
      <c r="BK641" t="s">
        <v>264</v>
      </c>
      <c r="BL641" t="s">
        <v>11903</v>
      </c>
      <c r="BM641" t="s">
        <v>11904</v>
      </c>
      <c r="BN641" t="s">
        <v>74</v>
      </c>
      <c r="BO641" t="s">
        <v>10698</v>
      </c>
      <c r="BP641" t="s">
        <v>74</v>
      </c>
      <c r="BQ641" t="s">
        <v>74</v>
      </c>
      <c r="BR641" t="s">
        <v>100</v>
      </c>
      <c r="BS641" t="s">
        <v>12070</v>
      </c>
      <c r="BT641" t="str">
        <f>HYPERLINK("https%3A%2F%2Fwww.webofscience.com%2Fwos%2Fwoscc%2Ffull-record%2FWOS:000366788300014","View Full Record in Web of Science")</f>
        <v>View Full Record in Web of Science</v>
      </c>
    </row>
    <row r="642" spans="1:72" x14ac:dyDescent="0.15">
      <c r="A642" t="s">
        <v>72</v>
      </c>
      <c r="B642" t="s">
        <v>12071</v>
      </c>
      <c r="C642" t="s">
        <v>74</v>
      </c>
      <c r="D642" t="s">
        <v>74</v>
      </c>
      <c r="E642" t="s">
        <v>74</v>
      </c>
      <c r="F642" t="s">
        <v>12072</v>
      </c>
      <c r="G642" t="s">
        <v>74</v>
      </c>
      <c r="H642" t="s">
        <v>74</v>
      </c>
      <c r="I642" t="s">
        <v>12073</v>
      </c>
      <c r="J642" t="s">
        <v>11884</v>
      </c>
      <c r="K642" t="s">
        <v>74</v>
      </c>
      <c r="L642" t="s">
        <v>74</v>
      </c>
      <c r="M642" t="s">
        <v>200</v>
      </c>
      <c r="N642" t="s">
        <v>79</v>
      </c>
      <c r="O642" t="s">
        <v>74</v>
      </c>
      <c r="P642" t="s">
        <v>74</v>
      </c>
      <c r="Q642" t="s">
        <v>74</v>
      </c>
      <c r="R642" t="s">
        <v>74</v>
      </c>
      <c r="S642" t="s">
        <v>74</v>
      </c>
      <c r="T642" t="s">
        <v>12074</v>
      </c>
      <c r="U642" t="s">
        <v>12075</v>
      </c>
      <c r="V642" t="s">
        <v>12076</v>
      </c>
      <c r="W642" t="s">
        <v>12077</v>
      </c>
      <c r="X642" t="s">
        <v>12078</v>
      </c>
      <c r="Y642" t="s">
        <v>12079</v>
      </c>
      <c r="Z642" t="s">
        <v>12080</v>
      </c>
      <c r="AA642" t="s">
        <v>12067</v>
      </c>
      <c r="AB642" t="s">
        <v>12081</v>
      </c>
      <c r="AC642" t="s">
        <v>12082</v>
      </c>
      <c r="AD642" t="s">
        <v>12083</v>
      </c>
      <c r="AE642" t="s">
        <v>12084</v>
      </c>
      <c r="AF642" t="s">
        <v>74</v>
      </c>
      <c r="AG642">
        <v>81</v>
      </c>
      <c r="AH642">
        <v>71</v>
      </c>
      <c r="AI642">
        <v>80</v>
      </c>
      <c r="AJ642">
        <v>2</v>
      </c>
      <c r="AK642">
        <v>58</v>
      </c>
      <c r="AL642" t="s">
        <v>7137</v>
      </c>
      <c r="AM642" t="s">
        <v>209</v>
      </c>
      <c r="AN642" t="s">
        <v>7138</v>
      </c>
      <c r="AO642" t="s">
        <v>11897</v>
      </c>
      <c r="AP642" t="s">
        <v>11898</v>
      </c>
      <c r="AQ642" t="s">
        <v>74</v>
      </c>
      <c r="AR642" t="s">
        <v>11899</v>
      </c>
      <c r="AS642" t="s">
        <v>11900</v>
      </c>
      <c r="AT642" t="s">
        <v>11877</v>
      </c>
      <c r="AU642">
        <v>2015</v>
      </c>
      <c r="AV642">
        <v>177</v>
      </c>
      <c r="AW642" t="s">
        <v>74</v>
      </c>
      <c r="AX642">
        <v>1</v>
      </c>
      <c r="AY642" t="s">
        <v>74</v>
      </c>
      <c r="AZ642" t="s">
        <v>2540</v>
      </c>
      <c r="BA642" t="s">
        <v>74</v>
      </c>
      <c r="BB642">
        <v>172</v>
      </c>
      <c r="BC642">
        <v>183</v>
      </c>
      <c r="BD642" t="s">
        <v>74</v>
      </c>
      <c r="BE642" t="s">
        <v>12085</v>
      </c>
      <c r="BF642" t="str">
        <f>HYPERLINK("http://dx.doi.org/10.1016/j.marchem.2015.03.013","http://dx.doi.org/10.1016/j.marchem.2015.03.013")</f>
        <v>http://dx.doi.org/10.1016/j.marchem.2015.03.013</v>
      </c>
      <c r="BG642" t="s">
        <v>74</v>
      </c>
      <c r="BH642" t="s">
        <v>74</v>
      </c>
      <c r="BI642">
        <v>12</v>
      </c>
      <c r="BJ642" t="s">
        <v>11902</v>
      </c>
      <c r="BK642" t="s">
        <v>264</v>
      </c>
      <c r="BL642" t="s">
        <v>11903</v>
      </c>
      <c r="BM642" t="s">
        <v>11904</v>
      </c>
      <c r="BN642" t="s">
        <v>74</v>
      </c>
      <c r="BO642" t="s">
        <v>74</v>
      </c>
      <c r="BP642" t="s">
        <v>74</v>
      </c>
      <c r="BQ642" t="s">
        <v>74</v>
      </c>
      <c r="BR642" t="s">
        <v>100</v>
      </c>
      <c r="BS642" t="s">
        <v>12086</v>
      </c>
      <c r="BT642" t="str">
        <f>HYPERLINK("https%3A%2F%2Fwww.webofscience.com%2Fwos%2Fwoscc%2Ffull-record%2FWOS:000366788300015","View Full Record in Web of Science")</f>
        <v>View Full Record in Web of Science</v>
      </c>
    </row>
    <row r="643" spans="1:72" x14ac:dyDescent="0.15">
      <c r="A643" t="s">
        <v>72</v>
      </c>
      <c r="B643" t="s">
        <v>12087</v>
      </c>
      <c r="C643" t="s">
        <v>74</v>
      </c>
      <c r="D643" t="s">
        <v>74</v>
      </c>
      <c r="E643" t="s">
        <v>74</v>
      </c>
      <c r="F643" t="s">
        <v>12088</v>
      </c>
      <c r="G643" t="s">
        <v>74</v>
      </c>
      <c r="H643" t="s">
        <v>74</v>
      </c>
      <c r="I643" t="s">
        <v>12089</v>
      </c>
      <c r="J643" t="s">
        <v>11884</v>
      </c>
      <c r="K643" t="s">
        <v>74</v>
      </c>
      <c r="L643" t="s">
        <v>74</v>
      </c>
      <c r="M643" t="s">
        <v>200</v>
      </c>
      <c r="N643" t="s">
        <v>79</v>
      </c>
      <c r="O643" t="s">
        <v>74</v>
      </c>
      <c r="P643" t="s">
        <v>74</v>
      </c>
      <c r="Q643" t="s">
        <v>74</v>
      </c>
      <c r="R643" t="s">
        <v>74</v>
      </c>
      <c r="S643" t="s">
        <v>74</v>
      </c>
      <c r="T643" t="s">
        <v>12090</v>
      </c>
      <c r="U643" t="s">
        <v>12091</v>
      </c>
      <c r="V643" t="s">
        <v>12092</v>
      </c>
      <c r="W643" t="s">
        <v>12093</v>
      </c>
      <c r="X643" t="s">
        <v>12094</v>
      </c>
      <c r="Y643" t="s">
        <v>12095</v>
      </c>
      <c r="Z643" t="s">
        <v>12096</v>
      </c>
      <c r="AA643" t="s">
        <v>12097</v>
      </c>
      <c r="AB643" t="s">
        <v>12098</v>
      </c>
      <c r="AC643" t="s">
        <v>12099</v>
      </c>
      <c r="AD643" t="s">
        <v>12100</v>
      </c>
      <c r="AE643" t="s">
        <v>12101</v>
      </c>
      <c r="AF643" t="s">
        <v>74</v>
      </c>
      <c r="AG643">
        <v>80</v>
      </c>
      <c r="AH643">
        <v>13</v>
      </c>
      <c r="AI643">
        <v>13</v>
      </c>
      <c r="AJ643">
        <v>1</v>
      </c>
      <c r="AK643">
        <v>20</v>
      </c>
      <c r="AL643" t="s">
        <v>208</v>
      </c>
      <c r="AM643" t="s">
        <v>209</v>
      </c>
      <c r="AN643" t="s">
        <v>7114</v>
      </c>
      <c r="AO643" t="s">
        <v>11897</v>
      </c>
      <c r="AP643" t="s">
        <v>11898</v>
      </c>
      <c r="AQ643" t="s">
        <v>74</v>
      </c>
      <c r="AR643" t="s">
        <v>11899</v>
      </c>
      <c r="AS643" t="s">
        <v>11900</v>
      </c>
      <c r="AT643" t="s">
        <v>11877</v>
      </c>
      <c r="AU643">
        <v>2015</v>
      </c>
      <c r="AV643">
        <v>177</v>
      </c>
      <c r="AW643" t="s">
        <v>74</v>
      </c>
      <c r="AX643">
        <v>3</v>
      </c>
      <c r="AY643" t="s">
        <v>74</v>
      </c>
      <c r="AZ643" t="s">
        <v>2540</v>
      </c>
      <c r="BA643" t="s">
        <v>74</v>
      </c>
      <c r="BB643">
        <v>490</v>
      </c>
      <c r="BC643">
        <v>500</v>
      </c>
      <c r="BD643" t="s">
        <v>74</v>
      </c>
      <c r="BE643" t="s">
        <v>12102</v>
      </c>
      <c r="BF643" t="str">
        <f>HYPERLINK("http://dx.doi.org/10.1016/j.marchem.2015.06.031","http://dx.doi.org/10.1016/j.marchem.2015.06.031")</f>
        <v>http://dx.doi.org/10.1016/j.marchem.2015.06.031</v>
      </c>
      <c r="BG643" t="s">
        <v>74</v>
      </c>
      <c r="BH643" t="s">
        <v>74</v>
      </c>
      <c r="BI643">
        <v>11</v>
      </c>
      <c r="BJ643" t="s">
        <v>11902</v>
      </c>
      <c r="BK643" t="s">
        <v>264</v>
      </c>
      <c r="BL643" t="s">
        <v>11903</v>
      </c>
      <c r="BM643" t="s">
        <v>11940</v>
      </c>
      <c r="BN643" t="s">
        <v>74</v>
      </c>
      <c r="BO643" t="s">
        <v>8780</v>
      </c>
      <c r="BP643" t="s">
        <v>74</v>
      </c>
      <c r="BQ643" t="s">
        <v>74</v>
      </c>
      <c r="BR643" t="s">
        <v>100</v>
      </c>
      <c r="BS643" t="s">
        <v>12103</v>
      </c>
      <c r="BT643" t="str">
        <f>HYPERLINK("https%3A%2F%2Fwww.webofscience.com%2Fwos%2Fwoscc%2Ffull-record%2FWOS:000366788600009","View Full Record in Web of Science")</f>
        <v>View Full Record in Web of Science</v>
      </c>
    </row>
    <row r="644" spans="1:72" x14ac:dyDescent="0.15">
      <c r="A644" t="s">
        <v>72</v>
      </c>
      <c r="B644" t="s">
        <v>12104</v>
      </c>
      <c r="C644" t="s">
        <v>74</v>
      </c>
      <c r="D644" t="s">
        <v>74</v>
      </c>
      <c r="E644" t="s">
        <v>74</v>
      </c>
      <c r="F644" t="s">
        <v>12104</v>
      </c>
      <c r="G644" t="s">
        <v>74</v>
      </c>
      <c r="H644" t="s">
        <v>74</v>
      </c>
      <c r="I644" t="s">
        <v>12105</v>
      </c>
      <c r="J644" t="s">
        <v>12106</v>
      </c>
      <c r="K644" t="s">
        <v>74</v>
      </c>
      <c r="L644" t="s">
        <v>74</v>
      </c>
      <c r="M644" t="s">
        <v>200</v>
      </c>
      <c r="N644" t="s">
        <v>5662</v>
      </c>
      <c r="O644" t="s">
        <v>74</v>
      </c>
      <c r="P644" t="s">
        <v>74</v>
      </c>
      <c r="Q644" t="s">
        <v>74</v>
      </c>
      <c r="R644" t="s">
        <v>74</v>
      </c>
      <c r="S644" t="s">
        <v>74</v>
      </c>
      <c r="T644" t="s">
        <v>74</v>
      </c>
      <c r="U644" t="s">
        <v>74</v>
      </c>
      <c r="V644" t="s">
        <v>74</v>
      </c>
      <c r="W644" t="s">
        <v>74</v>
      </c>
      <c r="X644" t="s">
        <v>74</v>
      </c>
      <c r="Y644" t="s">
        <v>74</v>
      </c>
      <c r="Z644" t="s">
        <v>74</v>
      </c>
      <c r="AA644" t="s">
        <v>74</v>
      </c>
      <c r="AB644" t="s">
        <v>74</v>
      </c>
      <c r="AC644" t="s">
        <v>74</v>
      </c>
      <c r="AD644" t="s">
        <v>74</v>
      </c>
      <c r="AE644" t="s">
        <v>74</v>
      </c>
      <c r="AF644" t="s">
        <v>74</v>
      </c>
      <c r="AG644">
        <v>0</v>
      </c>
      <c r="AH644">
        <v>0</v>
      </c>
      <c r="AI644">
        <v>0</v>
      </c>
      <c r="AJ644">
        <v>0</v>
      </c>
      <c r="AK644">
        <v>0</v>
      </c>
      <c r="AL644" t="s">
        <v>12107</v>
      </c>
      <c r="AM644" t="s">
        <v>1559</v>
      </c>
      <c r="AN644" t="s">
        <v>12108</v>
      </c>
      <c r="AO644" t="s">
        <v>12109</v>
      </c>
      <c r="AP644" t="s">
        <v>12110</v>
      </c>
      <c r="AQ644" t="s">
        <v>74</v>
      </c>
      <c r="AR644" t="s">
        <v>12106</v>
      </c>
      <c r="AS644" t="s">
        <v>12111</v>
      </c>
      <c r="AT644" t="s">
        <v>12112</v>
      </c>
      <c r="AU644">
        <v>2015</v>
      </c>
      <c r="AV644">
        <v>350</v>
      </c>
      <c r="AW644">
        <v>6267</v>
      </c>
      <c r="AX644" t="s">
        <v>74</v>
      </c>
      <c r="AY644" t="s">
        <v>74</v>
      </c>
      <c r="AZ644" t="s">
        <v>74</v>
      </c>
      <c r="BA644" t="s">
        <v>74</v>
      </c>
      <c r="BB644">
        <v>1448</v>
      </c>
      <c r="BC644">
        <v>1448</v>
      </c>
      <c r="BD644" t="s">
        <v>74</v>
      </c>
      <c r="BE644" t="s">
        <v>74</v>
      </c>
      <c r="BF644" t="s">
        <v>74</v>
      </c>
      <c r="BG644" t="s">
        <v>74</v>
      </c>
      <c r="BH644" t="s">
        <v>74</v>
      </c>
      <c r="BI644">
        <v>1</v>
      </c>
      <c r="BJ644" t="s">
        <v>3540</v>
      </c>
      <c r="BK644" t="s">
        <v>264</v>
      </c>
      <c r="BL644" t="s">
        <v>3541</v>
      </c>
      <c r="BM644" t="s">
        <v>12113</v>
      </c>
      <c r="BN644" t="s">
        <v>74</v>
      </c>
      <c r="BO644" t="s">
        <v>74</v>
      </c>
      <c r="BP644" t="s">
        <v>74</v>
      </c>
      <c r="BQ644" t="s">
        <v>74</v>
      </c>
      <c r="BR644" t="s">
        <v>100</v>
      </c>
      <c r="BS644" t="s">
        <v>12114</v>
      </c>
      <c r="BT644" t="str">
        <f>HYPERLINK("https%3A%2F%2Fwww.webofscience.com%2Fwos%2Fwoscc%2Ffull-record%2FWOS:000366591100067","View Full Record in Web of Science")</f>
        <v>View Full Record in Web of Science</v>
      </c>
    </row>
    <row r="645" spans="1:72" x14ac:dyDescent="0.15">
      <c r="A645" t="s">
        <v>72</v>
      </c>
      <c r="B645" t="s">
        <v>12115</v>
      </c>
      <c r="C645" t="s">
        <v>74</v>
      </c>
      <c r="D645" t="s">
        <v>74</v>
      </c>
      <c r="E645" t="s">
        <v>74</v>
      </c>
      <c r="F645" t="s">
        <v>12116</v>
      </c>
      <c r="G645" t="s">
        <v>74</v>
      </c>
      <c r="H645" t="s">
        <v>74</v>
      </c>
      <c r="I645" t="s">
        <v>12117</v>
      </c>
      <c r="J645" t="s">
        <v>11754</v>
      </c>
      <c r="K645" t="s">
        <v>74</v>
      </c>
      <c r="L645" t="s">
        <v>74</v>
      </c>
      <c r="M645" t="s">
        <v>200</v>
      </c>
      <c r="N645" t="s">
        <v>79</v>
      </c>
      <c r="O645" t="s">
        <v>74</v>
      </c>
      <c r="P645" t="s">
        <v>74</v>
      </c>
      <c r="Q645" t="s">
        <v>74</v>
      </c>
      <c r="R645" t="s">
        <v>74</v>
      </c>
      <c r="S645" t="s">
        <v>74</v>
      </c>
      <c r="T645" t="s">
        <v>74</v>
      </c>
      <c r="U645" t="s">
        <v>12118</v>
      </c>
      <c r="V645" t="s">
        <v>12119</v>
      </c>
      <c r="W645" t="s">
        <v>12120</v>
      </c>
      <c r="X645" t="s">
        <v>12121</v>
      </c>
      <c r="Y645" t="s">
        <v>12122</v>
      </c>
      <c r="Z645" t="s">
        <v>12123</v>
      </c>
      <c r="AA645" t="s">
        <v>12124</v>
      </c>
      <c r="AB645" t="s">
        <v>12125</v>
      </c>
      <c r="AC645" t="s">
        <v>12126</v>
      </c>
      <c r="AD645" t="s">
        <v>12127</v>
      </c>
      <c r="AE645" t="s">
        <v>12128</v>
      </c>
      <c r="AF645" t="s">
        <v>74</v>
      </c>
      <c r="AG645">
        <v>68</v>
      </c>
      <c r="AH645">
        <v>33</v>
      </c>
      <c r="AI645">
        <v>36</v>
      </c>
      <c r="AJ645">
        <v>1</v>
      </c>
      <c r="AK645">
        <v>34</v>
      </c>
      <c r="AL645" t="s">
        <v>2410</v>
      </c>
      <c r="AM645" t="s">
        <v>1559</v>
      </c>
      <c r="AN645" t="s">
        <v>2411</v>
      </c>
      <c r="AO645" t="s">
        <v>11767</v>
      </c>
      <c r="AP645" t="s">
        <v>11768</v>
      </c>
      <c r="AQ645" t="s">
        <v>74</v>
      </c>
      <c r="AR645" t="s">
        <v>11769</v>
      </c>
      <c r="AS645" t="s">
        <v>11770</v>
      </c>
      <c r="AT645" t="s">
        <v>12129</v>
      </c>
      <c r="AU645">
        <v>2015</v>
      </c>
      <c r="AV645">
        <v>42</v>
      </c>
      <c r="AW645">
        <v>23</v>
      </c>
      <c r="AX645" t="s">
        <v>74</v>
      </c>
      <c r="AY645" t="s">
        <v>74</v>
      </c>
      <c r="AZ645" t="s">
        <v>74</v>
      </c>
      <c r="BA645" t="s">
        <v>74</v>
      </c>
      <c r="BB645">
        <v>10357</v>
      </c>
      <c r="BC645">
        <v>10365</v>
      </c>
      <c r="BD645" t="s">
        <v>74</v>
      </c>
      <c r="BE645" t="s">
        <v>12130</v>
      </c>
      <c r="BF645" t="str">
        <f>HYPERLINK("http://dx.doi.org/10.1002/2015GL066238","http://dx.doi.org/10.1002/2015GL066238")</f>
        <v>http://dx.doi.org/10.1002/2015GL066238</v>
      </c>
      <c r="BG645" t="s">
        <v>74</v>
      </c>
      <c r="BH645" t="s">
        <v>74</v>
      </c>
      <c r="BI645">
        <v>9</v>
      </c>
      <c r="BJ645" t="s">
        <v>95</v>
      </c>
      <c r="BK645" t="s">
        <v>264</v>
      </c>
      <c r="BL645" t="s">
        <v>97</v>
      </c>
      <c r="BM645" t="s">
        <v>12131</v>
      </c>
      <c r="BN645" t="s">
        <v>74</v>
      </c>
      <c r="BO645" t="s">
        <v>9931</v>
      </c>
      <c r="BP645" t="s">
        <v>74</v>
      </c>
      <c r="BQ645" t="s">
        <v>74</v>
      </c>
      <c r="BR645" t="s">
        <v>100</v>
      </c>
      <c r="BS645" t="s">
        <v>12132</v>
      </c>
      <c r="BT645" t="str">
        <f>HYPERLINK("https%3A%2F%2Fwww.webofscience.com%2Fwos%2Fwoscc%2Ffull-record%2FWOS:000368343900032","View Full Record in Web of Science")</f>
        <v>View Full Record in Web of Science</v>
      </c>
    </row>
    <row r="646" spans="1:72" x14ac:dyDescent="0.15">
      <c r="A646" t="s">
        <v>72</v>
      </c>
      <c r="B646" t="s">
        <v>12133</v>
      </c>
      <c r="C646" t="s">
        <v>74</v>
      </c>
      <c r="D646" t="s">
        <v>74</v>
      </c>
      <c r="E646" t="s">
        <v>74</v>
      </c>
      <c r="F646" t="s">
        <v>12134</v>
      </c>
      <c r="G646" t="s">
        <v>74</v>
      </c>
      <c r="H646" t="s">
        <v>74</v>
      </c>
      <c r="I646" t="s">
        <v>12135</v>
      </c>
      <c r="J646" t="s">
        <v>11811</v>
      </c>
      <c r="K646" t="s">
        <v>74</v>
      </c>
      <c r="L646" t="s">
        <v>74</v>
      </c>
      <c r="M646" t="s">
        <v>200</v>
      </c>
      <c r="N646" t="s">
        <v>79</v>
      </c>
      <c r="O646" t="s">
        <v>74</v>
      </c>
      <c r="P646" t="s">
        <v>74</v>
      </c>
      <c r="Q646" t="s">
        <v>74</v>
      </c>
      <c r="R646" t="s">
        <v>74</v>
      </c>
      <c r="S646" t="s">
        <v>74</v>
      </c>
      <c r="T646" t="s">
        <v>74</v>
      </c>
      <c r="U646" t="s">
        <v>12136</v>
      </c>
      <c r="V646" t="s">
        <v>12137</v>
      </c>
      <c r="W646" t="s">
        <v>12138</v>
      </c>
      <c r="X646" t="s">
        <v>12139</v>
      </c>
      <c r="Y646" t="s">
        <v>12140</v>
      </c>
      <c r="Z646" t="s">
        <v>12141</v>
      </c>
      <c r="AA646" t="s">
        <v>12142</v>
      </c>
      <c r="AB646" t="s">
        <v>12143</v>
      </c>
      <c r="AC646" t="s">
        <v>12144</v>
      </c>
      <c r="AD646" t="s">
        <v>12145</v>
      </c>
      <c r="AE646" t="s">
        <v>12146</v>
      </c>
      <c r="AF646" t="s">
        <v>74</v>
      </c>
      <c r="AG646">
        <v>41</v>
      </c>
      <c r="AH646">
        <v>28</v>
      </c>
      <c r="AI646">
        <v>32</v>
      </c>
      <c r="AJ646">
        <v>0</v>
      </c>
      <c r="AK646">
        <v>13</v>
      </c>
      <c r="AL646" t="s">
        <v>2410</v>
      </c>
      <c r="AM646" t="s">
        <v>1559</v>
      </c>
      <c r="AN646" t="s">
        <v>2411</v>
      </c>
      <c r="AO646" t="s">
        <v>11823</v>
      </c>
      <c r="AP646" t="s">
        <v>11824</v>
      </c>
      <c r="AQ646" t="s">
        <v>74</v>
      </c>
      <c r="AR646" t="s">
        <v>11825</v>
      </c>
      <c r="AS646" t="s">
        <v>11826</v>
      </c>
      <c r="AT646" t="s">
        <v>12129</v>
      </c>
      <c r="AU646">
        <v>2015</v>
      </c>
      <c r="AV646">
        <v>120</v>
      </c>
      <c r="AW646">
        <v>23</v>
      </c>
      <c r="AX646" t="s">
        <v>74</v>
      </c>
      <c r="AY646" t="s">
        <v>74</v>
      </c>
      <c r="AZ646" t="s">
        <v>74</v>
      </c>
      <c r="BA646" t="s">
        <v>74</v>
      </c>
      <c r="BB646" t="s">
        <v>74</v>
      </c>
      <c r="BC646" t="s">
        <v>74</v>
      </c>
      <c r="BD646" t="s">
        <v>74</v>
      </c>
      <c r="BE646" t="s">
        <v>12147</v>
      </c>
      <c r="BF646" t="str">
        <f>HYPERLINK("http://dx.doi.org/10.1002/2015JD023562","http://dx.doi.org/10.1002/2015JD023562")</f>
        <v>http://dx.doi.org/10.1002/2015JD023562</v>
      </c>
      <c r="BG646" t="s">
        <v>74</v>
      </c>
      <c r="BH646" t="s">
        <v>74</v>
      </c>
      <c r="BI646">
        <v>13</v>
      </c>
      <c r="BJ646" t="s">
        <v>1721</v>
      </c>
      <c r="BK646" t="s">
        <v>264</v>
      </c>
      <c r="BL646" t="s">
        <v>1721</v>
      </c>
      <c r="BM646" t="s">
        <v>12148</v>
      </c>
      <c r="BN646" t="s">
        <v>74</v>
      </c>
      <c r="BO646" t="s">
        <v>486</v>
      </c>
      <c r="BP646" t="s">
        <v>74</v>
      </c>
      <c r="BQ646" t="s">
        <v>74</v>
      </c>
      <c r="BR646" t="s">
        <v>100</v>
      </c>
      <c r="BS646" t="s">
        <v>12149</v>
      </c>
      <c r="BT646" t="str">
        <f>HYPERLINK("https%3A%2F%2Fwww.webofscience.com%2Fwos%2Fwoscc%2Ffull-record%2FWOS:000368422700017","View Full Record in Web of Science")</f>
        <v>View Full Record in Web of Science</v>
      </c>
    </row>
    <row r="647" spans="1:72" x14ac:dyDescent="0.15">
      <c r="A647" t="s">
        <v>72</v>
      </c>
      <c r="B647" t="s">
        <v>12104</v>
      </c>
      <c r="C647" t="s">
        <v>74</v>
      </c>
      <c r="D647" t="s">
        <v>74</v>
      </c>
      <c r="E647" t="s">
        <v>74</v>
      </c>
      <c r="F647" t="s">
        <v>12104</v>
      </c>
      <c r="G647" t="s">
        <v>74</v>
      </c>
      <c r="H647" t="s">
        <v>74</v>
      </c>
      <c r="I647" t="s">
        <v>12150</v>
      </c>
      <c r="J647" t="s">
        <v>12151</v>
      </c>
      <c r="K647" t="s">
        <v>74</v>
      </c>
      <c r="L647" t="s">
        <v>74</v>
      </c>
      <c r="M647" t="s">
        <v>200</v>
      </c>
      <c r="N647" t="s">
        <v>5662</v>
      </c>
      <c r="O647" t="s">
        <v>74</v>
      </c>
      <c r="P647" t="s">
        <v>74</v>
      </c>
      <c r="Q647" t="s">
        <v>74</v>
      </c>
      <c r="R647" t="s">
        <v>74</v>
      </c>
      <c r="S647" t="s">
        <v>74</v>
      </c>
      <c r="T647" t="s">
        <v>74</v>
      </c>
      <c r="U647" t="s">
        <v>74</v>
      </c>
      <c r="V647" t="s">
        <v>74</v>
      </c>
      <c r="W647" t="s">
        <v>74</v>
      </c>
      <c r="X647" t="s">
        <v>74</v>
      </c>
      <c r="Y647" t="s">
        <v>74</v>
      </c>
      <c r="Z647" t="s">
        <v>74</v>
      </c>
      <c r="AA647" t="s">
        <v>74</v>
      </c>
      <c r="AB647" t="s">
        <v>74</v>
      </c>
      <c r="AC647" t="s">
        <v>74</v>
      </c>
      <c r="AD647" t="s">
        <v>74</v>
      </c>
      <c r="AE647" t="s">
        <v>74</v>
      </c>
      <c r="AF647" t="s">
        <v>74</v>
      </c>
      <c r="AG647">
        <v>0</v>
      </c>
      <c r="AH647">
        <v>0</v>
      </c>
      <c r="AI647">
        <v>0</v>
      </c>
      <c r="AJ647">
        <v>0</v>
      </c>
      <c r="AK647">
        <v>0</v>
      </c>
      <c r="AL647" t="s">
        <v>5888</v>
      </c>
      <c r="AM647" t="s">
        <v>1386</v>
      </c>
      <c r="AN647" t="s">
        <v>5889</v>
      </c>
      <c r="AO647" t="s">
        <v>12152</v>
      </c>
      <c r="AP647" t="s">
        <v>12153</v>
      </c>
      <c r="AQ647" t="s">
        <v>74</v>
      </c>
      <c r="AR647" t="s">
        <v>12154</v>
      </c>
      <c r="AS647" t="s">
        <v>12155</v>
      </c>
      <c r="AT647" t="s">
        <v>12156</v>
      </c>
      <c r="AU647">
        <v>2015</v>
      </c>
      <c r="AV647">
        <v>101</v>
      </c>
      <c r="AW647">
        <v>1</v>
      </c>
      <c r="AX647" t="s">
        <v>74</v>
      </c>
      <c r="AY647" t="s">
        <v>74</v>
      </c>
      <c r="AZ647" t="s">
        <v>74</v>
      </c>
      <c r="BA647" t="s">
        <v>74</v>
      </c>
      <c r="BB647">
        <v>3</v>
      </c>
      <c r="BC647">
        <v>3</v>
      </c>
      <c r="BD647" t="s">
        <v>74</v>
      </c>
      <c r="BE647" t="s">
        <v>74</v>
      </c>
      <c r="BF647" t="s">
        <v>74</v>
      </c>
      <c r="BG647" t="s">
        <v>74</v>
      </c>
      <c r="BH647" t="s">
        <v>74</v>
      </c>
      <c r="BI647">
        <v>1</v>
      </c>
      <c r="BJ647" t="s">
        <v>8870</v>
      </c>
      <c r="BK647" t="s">
        <v>264</v>
      </c>
      <c r="BL647" t="s">
        <v>7314</v>
      </c>
      <c r="BM647" t="s">
        <v>12157</v>
      </c>
      <c r="BN647" t="s">
        <v>74</v>
      </c>
      <c r="BO647" t="s">
        <v>74</v>
      </c>
      <c r="BP647" t="s">
        <v>74</v>
      </c>
      <c r="BQ647" t="s">
        <v>74</v>
      </c>
      <c r="BR647" t="s">
        <v>100</v>
      </c>
      <c r="BS647" t="s">
        <v>12158</v>
      </c>
      <c r="BT647" t="str">
        <f>HYPERLINK("https%3A%2F%2Fwww.webofscience.com%2Fwos%2Fwoscc%2Ffull-record%2FWOS:000367630700010","View Full Record in Web of Science")</f>
        <v>View Full Record in Web of Science</v>
      </c>
    </row>
    <row r="648" spans="1:72" x14ac:dyDescent="0.15">
      <c r="A648" t="s">
        <v>72</v>
      </c>
      <c r="B648" t="s">
        <v>12104</v>
      </c>
      <c r="C648" t="s">
        <v>74</v>
      </c>
      <c r="D648" t="s">
        <v>74</v>
      </c>
      <c r="E648" t="s">
        <v>74</v>
      </c>
      <c r="F648" t="s">
        <v>12104</v>
      </c>
      <c r="G648" t="s">
        <v>74</v>
      </c>
      <c r="H648" t="s">
        <v>74</v>
      </c>
      <c r="I648" t="s">
        <v>12159</v>
      </c>
      <c r="J648" t="s">
        <v>12151</v>
      </c>
      <c r="K648" t="s">
        <v>74</v>
      </c>
      <c r="L648" t="s">
        <v>74</v>
      </c>
      <c r="M648" t="s">
        <v>200</v>
      </c>
      <c r="N648" t="s">
        <v>5662</v>
      </c>
      <c r="O648" t="s">
        <v>74</v>
      </c>
      <c r="P648" t="s">
        <v>74</v>
      </c>
      <c r="Q648" t="s">
        <v>74</v>
      </c>
      <c r="R648" t="s">
        <v>74</v>
      </c>
      <c r="S648" t="s">
        <v>74</v>
      </c>
      <c r="T648" t="s">
        <v>74</v>
      </c>
      <c r="U648" t="s">
        <v>74</v>
      </c>
      <c r="V648" t="s">
        <v>74</v>
      </c>
      <c r="W648" t="s">
        <v>74</v>
      </c>
      <c r="X648" t="s">
        <v>74</v>
      </c>
      <c r="Y648" t="s">
        <v>74</v>
      </c>
      <c r="Z648" t="s">
        <v>74</v>
      </c>
      <c r="AA648" t="s">
        <v>74</v>
      </c>
      <c r="AB648" t="s">
        <v>74</v>
      </c>
      <c r="AC648" t="s">
        <v>74</v>
      </c>
      <c r="AD648" t="s">
        <v>74</v>
      </c>
      <c r="AE648" t="s">
        <v>74</v>
      </c>
      <c r="AF648" t="s">
        <v>74</v>
      </c>
      <c r="AG648">
        <v>0</v>
      </c>
      <c r="AH648">
        <v>0</v>
      </c>
      <c r="AI648">
        <v>0</v>
      </c>
      <c r="AJ648">
        <v>0</v>
      </c>
      <c r="AK648">
        <v>3</v>
      </c>
      <c r="AL648" t="s">
        <v>5888</v>
      </c>
      <c r="AM648" t="s">
        <v>1386</v>
      </c>
      <c r="AN648" t="s">
        <v>5889</v>
      </c>
      <c r="AO648" t="s">
        <v>12152</v>
      </c>
      <c r="AP648" t="s">
        <v>12153</v>
      </c>
      <c r="AQ648" t="s">
        <v>74</v>
      </c>
      <c r="AR648" t="s">
        <v>12154</v>
      </c>
      <c r="AS648" t="s">
        <v>12155</v>
      </c>
      <c r="AT648" t="s">
        <v>12156</v>
      </c>
      <c r="AU648">
        <v>2015</v>
      </c>
      <c r="AV648">
        <v>101</v>
      </c>
      <c r="AW648">
        <v>1</v>
      </c>
      <c r="AX648" t="s">
        <v>74</v>
      </c>
      <c r="AY648" t="s">
        <v>74</v>
      </c>
      <c r="AZ648" t="s">
        <v>74</v>
      </c>
      <c r="BA648" t="s">
        <v>74</v>
      </c>
      <c r="BB648">
        <v>4</v>
      </c>
      <c r="BC648">
        <v>4</v>
      </c>
      <c r="BD648" t="s">
        <v>74</v>
      </c>
      <c r="BE648" t="s">
        <v>74</v>
      </c>
      <c r="BF648" t="s">
        <v>74</v>
      </c>
      <c r="BG648" t="s">
        <v>74</v>
      </c>
      <c r="BH648" t="s">
        <v>74</v>
      </c>
      <c r="BI648">
        <v>1</v>
      </c>
      <c r="BJ648" t="s">
        <v>8870</v>
      </c>
      <c r="BK648" t="s">
        <v>264</v>
      </c>
      <c r="BL648" t="s">
        <v>7314</v>
      </c>
      <c r="BM648" t="s">
        <v>12157</v>
      </c>
      <c r="BN648" t="s">
        <v>74</v>
      </c>
      <c r="BO648" t="s">
        <v>74</v>
      </c>
      <c r="BP648" t="s">
        <v>74</v>
      </c>
      <c r="BQ648" t="s">
        <v>74</v>
      </c>
      <c r="BR648" t="s">
        <v>100</v>
      </c>
      <c r="BS648" t="s">
        <v>12160</v>
      </c>
      <c r="BT648" t="str">
        <f>HYPERLINK("https%3A%2F%2Fwww.webofscience.com%2Fwos%2Fwoscc%2Ffull-record%2FWOS:000367630700014","View Full Record in Web of Science")</f>
        <v>View Full Record in Web of Science</v>
      </c>
    </row>
    <row r="649" spans="1:72" x14ac:dyDescent="0.15">
      <c r="A649" t="s">
        <v>72</v>
      </c>
      <c r="B649" t="s">
        <v>12161</v>
      </c>
      <c r="C649" t="s">
        <v>74</v>
      </c>
      <c r="D649" t="s">
        <v>74</v>
      </c>
      <c r="E649" t="s">
        <v>74</v>
      </c>
      <c r="F649" t="s">
        <v>12162</v>
      </c>
      <c r="G649" t="s">
        <v>74</v>
      </c>
      <c r="H649" t="s">
        <v>74</v>
      </c>
      <c r="I649" t="s">
        <v>12163</v>
      </c>
      <c r="J649" t="s">
        <v>12164</v>
      </c>
      <c r="K649" t="s">
        <v>74</v>
      </c>
      <c r="L649" t="s">
        <v>74</v>
      </c>
      <c r="M649" t="s">
        <v>200</v>
      </c>
      <c r="N649" t="s">
        <v>79</v>
      </c>
      <c r="O649" t="s">
        <v>74</v>
      </c>
      <c r="P649" t="s">
        <v>74</v>
      </c>
      <c r="Q649" t="s">
        <v>74</v>
      </c>
      <c r="R649" t="s">
        <v>74</v>
      </c>
      <c r="S649" t="s">
        <v>74</v>
      </c>
      <c r="T649" t="s">
        <v>12165</v>
      </c>
      <c r="U649" t="s">
        <v>12166</v>
      </c>
      <c r="V649" t="s">
        <v>12167</v>
      </c>
      <c r="W649" t="s">
        <v>12168</v>
      </c>
      <c r="X649" t="s">
        <v>12169</v>
      </c>
      <c r="Y649" t="s">
        <v>12170</v>
      </c>
      <c r="Z649" t="s">
        <v>12171</v>
      </c>
      <c r="AA649" t="s">
        <v>12172</v>
      </c>
      <c r="AB649" t="s">
        <v>12173</v>
      </c>
      <c r="AC649" t="s">
        <v>12174</v>
      </c>
      <c r="AD649" t="s">
        <v>12175</v>
      </c>
      <c r="AE649" t="s">
        <v>12176</v>
      </c>
      <c r="AF649" t="s">
        <v>74</v>
      </c>
      <c r="AG649">
        <v>53</v>
      </c>
      <c r="AH649">
        <v>15</v>
      </c>
      <c r="AI649">
        <v>17</v>
      </c>
      <c r="AJ649">
        <v>1</v>
      </c>
      <c r="AK649">
        <v>27</v>
      </c>
      <c r="AL649" t="s">
        <v>3735</v>
      </c>
      <c r="AM649" t="s">
        <v>3736</v>
      </c>
      <c r="AN649" t="s">
        <v>3737</v>
      </c>
      <c r="AO649" t="s">
        <v>12177</v>
      </c>
      <c r="AP649" t="s">
        <v>12178</v>
      </c>
      <c r="AQ649" t="s">
        <v>74</v>
      </c>
      <c r="AR649" t="s">
        <v>12179</v>
      </c>
      <c r="AS649" t="s">
        <v>12180</v>
      </c>
      <c r="AT649" t="s">
        <v>12156</v>
      </c>
      <c r="AU649">
        <v>2015</v>
      </c>
      <c r="AV649">
        <v>541</v>
      </c>
      <c r="AW649" t="s">
        <v>74</v>
      </c>
      <c r="AX649" t="s">
        <v>74</v>
      </c>
      <c r="AY649" t="s">
        <v>74</v>
      </c>
      <c r="AZ649" t="s">
        <v>74</v>
      </c>
      <c r="BA649" t="s">
        <v>74</v>
      </c>
      <c r="BB649">
        <v>265</v>
      </c>
      <c r="BC649">
        <v>277</v>
      </c>
      <c r="BD649" t="s">
        <v>74</v>
      </c>
      <c r="BE649" t="s">
        <v>12181</v>
      </c>
      <c r="BF649" t="str">
        <f>HYPERLINK("http://dx.doi.org/10.3354/meps11511","http://dx.doi.org/10.3354/meps11511")</f>
        <v>http://dx.doi.org/10.3354/meps11511</v>
      </c>
      <c r="BG649" t="s">
        <v>74</v>
      </c>
      <c r="BH649" t="s">
        <v>74</v>
      </c>
      <c r="BI649">
        <v>13</v>
      </c>
      <c r="BJ649" t="s">
        <v>12182</v>
      </c>
      <c r="BK649" t="s">
        <v>264</v>
      </c>
      <c r="BL649" t="s">
        <v>12183</v>
      </c>
      <c r="BM649" t="s">
        <v>12184</v>
      </c>
      <c r="BN649" t="s">
        <v>74</v>
      </c>
      <c r="BO649" t="s">
        <v>486</v>
      </c>
      <c r="BP649" t="s">
        <v>74</v>
      </c>
      <c r="BQ649" t="s">
        <v>74</v>
      </c>
      <c r="BR649" t="s">
        <v>100</v>
      </c>
      <c r="BS649" t="s">
        <v>12185</v>
      </c>
      <c r="BT649" t="str">
        <f>HYPERLINK("https%3A%2F%2Fwww.webofscience.com%2Fwos%2Fwoscc%2Ffull-record%2FWOS:000367393200019","View Full Record in Web of Science")</f>
        <v>View Full Record in Web of Science</v>
      </c>
    </row>
    <row r="650" spans="1:72" x14ac:dyDescent="0.15">
      <c r="A650" t="s">
        <v>72</v>
      </c>
      <c r="B650" t="s">
        <v>12186</v>
      </c>
      <c r="C650" t="s">
        <v>74</v>
      </c>
      <c r="D650" t="s">
        <v>74</v>
      </c>
      <c r="E650" t="s">
        <v>74</v>
      </c>
      <c r="F650" t="s">
        <v>12187</v>
      </c>
      <c r="G650" t="s">
        <v>74</v>
      </c>
      <c r="H650" t="s">
        <v>74</v>
      </c>
      <c r="I650" t="s">
        <v>12188</v>
      </c>
      <c r="J650" t="s">
        <v>7270</v>
      </c>
      <c r="K650" t="s">
        <v>74</v>
      </c>
      <c r="L650" t="s">
        <v>74</v>
      </c>
      <c r="M650" t="s">
        <v>200</v>
      </c>
      <c r="N650" t="s">
        <v>79</v>
      </c>
      <c r="O650" t="s">
        <v>74</v>
      </c>
      <c r="P650" t="s">
        <v>74</v>
      </c>
      <c r="Q650" t="s">
        <v>74</v>
      </c>
      <c r="R650" t="s">
        <v>74</v>
      </c>
      <c r="S650" t="s">
        <v>74</v>
      </c>
      <c r="T650" t="s">
        <v>12189</v>
      </c>
      <c r="U650" t="s">
        <v>12190</v>
      </c>
      <c r="V650" t="s">
        <v>12191</v>
      </c>
      <c r="W650" t="s">
        <v>12192</v>
      </c>
      <c r="X650" t="s">
        <v>12193</v>
      </c>
      <c r="Y650" t="s">
        <v>12194</v>
      </c>
      <c r="Z650" t="s">
        <v>12195</v>
      </c>
      <c r="AA650" t="s">
        <v>12196</v>
      </c>
      <c r="AB650" t="s">
        <v>12197</v>
      </c>
      <c r="AC650" t="s">
        <v>12198</v>
      </c>
      <c r="AD650" t="s">
        <v>12199</v>
      </c>
      <c r="AE650" t="s">
        <v>12200</v>
      </c>
      <c r="AF650" t="s">
        <v>74</v>
      </c>
      <c r="AG650">
        <v>120</v>
      </c>
      <c r="AH650">
        <v>18</v>
      </c>
      <c r="AI650">
        <v>18</v>
      </c>
      <c r="AJ650">
        <v>0</v>
      </c>
      <c r="AK650">
        <v>31</v>
      </c>
      <c r="AL650" t="s">
        <v>7137</v>
      </c>
      <c r="AM650" t="s">
        <v>209</v>
      </c>
      <c r="AN650" t="s">
        <v>7138</v>
      </c>
      <c r="AO650" t="s">
        <v>7283</v>
      </c>
      <c r="AP650" t="s">
        <v>7284</v>
      </c>
      <c r="AQ650" t="s">
        <v>74</v>
      </c>
      <c r="AR650" t="s">
        <v>7285</v>
      </c>
      <c r="AS650" t="s">
        <v>7286</v>
      </c>
      <c r="AT650" t="s">
        <v>12156</v>
      </c>
      <c r="AU650">
        <v>2015</v>
      </c>
      <c r="AV650">
        <v>440</v>
      </c>
      <c r="AW650" t="s">
        <v>74</v>
      </c>
      <c r="AX650" t="s">
        <v>74</v>
      </c>
      <c r="AY650" t="s">
        <v>74</v>
      </c>
      <c r="AZ650" t="s">
        <v>74</v>
      </c>
      <c r="BA650" t="s">
        <v>74</v>
      </c>
      <c r="BB650">
        <v>417</v>
      </c>
      <c r="BC650">
        <v>430</v>
      </c>
      <c r="BD650" t="s">
        <v>74</v>
      </c>
      <c r="BE650" t="s">
        <v>12201</v>
      </c>
      <c r="BF650" t="str">
        <f>HYPERLINK("http://dx.doi.org/10.1016/j.palaeo.2015.09.017","http://dx.doi.org/10.1016/j.palaeo.2015.09.017")</f>
        <v>http://dx.doi.org/10.1016/j.palaeo.2015.09.017</v>
      </c>
      <c r="BG650" t="s">
        <v>74</v>
      </c>
      <c r="BH650" t="s">
        <v>74</v>
      </c>
      <c r="BI650">
        <v>14</v>
      </c>
      <c r="BJ650" t="s">
        <v>7288</v>
      </c>
      <c r="BK650" t="s">
        <v>264</v>
      </c>
      <c r="BL650" t="s">
        <v>7289</v>
      </c>
      <c r="BM650" t="s">
        <v>12202</v>
      </c>
      <c r="BN650" t="s">
        <v>74</v>
      </c>
      <c r="BO650" t="s">
        <v>74</v>
      </c>
      <c r="BP650" t="s">
        <v>74</v>
      </c>
      <c r="BQ650" t="s">
        <v>74</v>
      </c>
      <c r="BR650" t="s">
        <v>100</v>
      </c>
      <c r="BS650" t="s">
        <v>12203</v>
      </c>
      <c r="BT650" t="str">
        <f>HYPERLINK("https%3A%2F%2Fwww.webofscience.com%2Fwos%2Fwoscc%2Ffull-record%2FWOS:000366539700032","View Full Record in Web of Science")</f>
        <v>View Full Record in Web of Science</v>
      </c>
    </row>
    <row r="651" spans="1:72" x14ac:dyDescent="0.15">
      <c r="A651" t="s">
        <v>72</v>
      </c>
      <c r="B651" t="s">
        <v>12204</v>
      </c>
      <c r="C651" t="s">
        <v>74</v>
      </c>
      <c r="D651" t="s">
        <v>74</v>
      </c>
      <c r="E651" t="s">
        <v>74</v>
      </c>
      <c r="F651" t="s">
        <v>12205</v>
      </c>
      <c r="G651" t="s">
        <v>74</v>
      </c>
      <c r="H651" t="s">
        <v>74</v>
      </c>
      <c r="I651" t="s">
        <v>12206</v>
      </c>
      <c r="J651" t="s">
        <v>12207</v>
      </c>
      <c r="K651" t="s">
        <v>74</v>
      </c>
      <c r="L651" t="s">
        <v>74</v>
      </c>
      <c r="M651" t="s">
        <v>200</v>
      </c>
      <c r="N651" t="s">
        <v>79</v>
      </c>
      <c r="O651" t="s">
        <v>74</v>
      </c>
      <c r="P651" t="s">
        <v>74</v>
      </c>
      <c r="Q651" t="s">
        <v>74</v>
      </c>
      <c r="R651" t="s">
        <v>74</v>
      </c>
      <c r="S651" t="s">
        <v>74</v>
      </c>
      <c r="T651" t="s">
        <v>12208</v>
      </c>
      <c r="U651" t="s">
        <v>12209</v>
      </c>
      <c r="V651" t="s">
        <v>12210</v>
      </c>
      <c r="W651" t="s">
        <v>12211</v>
      </c>
      <c r="X651" t="s">
        <v>12212</v>
      </c>
      <c r="Y651" t="s">
        <v>12213</v>
      </c>
      <c r="Z651" t="s">
        <v>12214</v>
      </c>
      <c r="AA651" t="s">
        <v>74</v>
      </c>
      <c r="AB651" t="s">
        <v>12215</v>
      </c>
      <c r="AC651" t="s">
        <v>12216</v>
      </c>
      <c r="AD651" t="s">
        <v>12217</v>
      </c>
      <c r="AE651" t="s">
        <v>12218</v>
      </c>
      <c r="AF651" t="s">
        <v>74</v>
      </c>
      <c r="AG651">
        <v>31</v>
      </c>
      <c r="AH651">
        <v>6</v>
      </c>
      <c r="AI651">
        <v>14</v>
      </c>
      <c r="AJ651">
        <v>0</v>
      </c>
      <c r="AK651">
        <v>7</v>
      </c>
      <c r="AL651" t="s">
        <v>5888</v>
      </c>
      <c r="AM651" t="s">
        <v>1386</v>
      </c>
      <c r="AN651" t="s">
        <v>5889</v>
      </c>
      <c r="AO651" t="s">
        <v>12219</v>
      </c>
      <c r="AP651" t="s">
        <v>74</v>
      </c>
      <c r="AQ651" t="s">
        <v>74</v>
      </c>
      <c r="AR651" t="s">
        <v>12207</v>
      </c>
      <c r="AS651" t="s">
        <v>12220</v>
      </c>
      <c r="AT651" t="s">
        <v>12156</v>
      </c>
      <c r="AU651">
        <v>2015</v>
      </c>
      <c r="AV651">
        <v>108</v>
      </c>
      <c r="AW651" t="s">
        <v>74</v>
      </c>
      <c r="AX651" t="s">
        <v>74</v>
      </c>
      <c r="AY651" t="s">
        <v>74</v>
      </c>
      <c r="AZ651" t="s">
        <v>74</v>
      </c>
      <c r="BA651" t="s">
        <v>74</v>
      </c>
      <c r="BB651">
        <v>32</v>
      </c>
      <c r="BC651">
        <v>37</v>
      </c>
      <c r="BD651" t="s">
        <v>74</v>
      </c>
      <c r="BE651" t="s">
        <v>12221</v>
      </c>
      <c r="BF651" t="str">
        <f>HYPERLINK("http://dx.doi.org/10.1016/j.toxicon.2015.09.044","http://dx.doi.org/10.1016/j.toxicon.2015.09.044")</f>
        <v>http://dx.doi.org/10.1016/j.toxicon.2015.09.044</v>
      </c>
      <c r="BG651" t="s">
        <v>74</v>
      </c>
      <c r="BH651" t="s">
        <v>74</v>
      </c>
      <c r="BI651">
        <v>6</v>
      </c>
      <c r="BJ651" t="s">
        <v>12222</v>
      </c>
      <c r="BK651" t="s">
        <v>264</v>
      </c>
      <c r="BL651" t="s">
        <v>12222</v>
      </c>
      <c r="BM651" t="s">
        <v>12223</v>
      </c>
      <c r="BN651">
        <v>26435341</v>
      </c>
      <c r="BO651" t="s">
        <v>74</v>
      </c>
      <c r="BP651" t="s">
        <v>74</v>
      </c>
      <c r="BQ651" t="s">
        <v>74</v>
      </c>
      <c r="BR651" t="s">
        <v>100</v>
      </c>
      <c r="BS651" t="s">
        <v>12224</v>
      </c>
      <c r="BT651" t="str">
        <f>HYPERLINK("https%3A%2F%2Fwww.webofscience.com%2Fwos%2Fwoscc%2Ffull-record%2FWOS:000366789000005","View Full Record in Web of Science")</f>
        <v>View Full Record in Web of Science</v>
      </c>
    </row>
    <row r="652" spans="1:72" x14ac:dyDescent="0.15">
      <c r="A652" t="s">
        <v>72</v>
      </c>
      <c r="B652" t="s">
        <v>12225</v>
      </c>
      <c r="C652" t="s">
        <v>74</v>
      </c>
      <c r="D652" t="s">
        <v>74</v>
      </c>
      <c r="E652" t="s">
        <v>74</v>
      </c>
      <c r="F652" t="s">
        <v>12226</v>
      </c>
      <c r="G652" t="s">
        <v>74</v>
      </c>
      <c r="H652" t="s">
        <v>74</v>
      </c>
      <c r="I652" t="s">
        <v>12227</v>
      </c>
      <c r="J652" t="s">
        <v>7101</v>
      </c>
      <c r="K652" t="s">
        <v>74</v>
      </c>
      <c r="L652" t="s">
        <v>74</v>
      </c>
      <c r="M652" t="s">
        <v>200</v>
      </c>
      <c r="N652" t="s">
        <v>79</v>
      </c>
      <c r="O652" t="s">
        <v>74</v>
      </c>
      <c r="P652" t="s">
        <v>74</v>
      </c>
      <c r="Q652" t="s">
        <v>74</v>
      </c>
      <c r="R652" t="s">
        <v>74</v>
      </c>
      <c r="S652" t="s">
        <v>74</v>
      </c>
      <c r="T652" t="s">
        <v>12228</v>
      </c>
      <c r="U652" t="s">
        <v>12229</v>
      </c>
      <c r="V652" t="s">
        <v>12230</v>
      </c>
      <c r="W652" t="s">
        <v>12231</v>
      </c>
      <c r="X652" t="s">
        <v>12232</v>
      </c>
      <c r="Y652" t="s">
        <v>12233</v>
      </c>
      <c r="Z652" t="s">
        <v>12234</v>
      </c>
      <c r="AA652" t="s">
        <v>12235</v>
      </c>
      <c r="AB652" t="s">
        <v>74</v>
      </c>
      <c r="AC652" t="s">
        <v>12236</v>
      </c>
      <c r="AD652" t="s">
        <v>12127</v>
      </c>
      <c r="AE652" t="s">
        <v>12237</v>
      </c>
      <c r="AF652" t="s">
        <v>74</v>
      </c>
      <c r="AG652">
        <v>57</v>
      </c>
      <c r="AH652">
        <v>36</v>
      </c>
      <c r="AI652">
        <v>45</v>
      </c>
      <c r="AJ652">
        <v>3</v>
      </c>
      <c r="AK652">
        <v>58</v>
      </c>
      <c r="AL652" t="s">
        <v>7137</v>
      </c>
      <c r="AM652" t="s">
        <v>209</v>
      </c>
      <c r="AN652" t="s">
        <v>7138</v>
      </c>
      <c r="AO652" t="s">
        <v>7115</v>
      </c>
      <c r="AP652" t="s">
        <v>7116</v>
      </c>
      <c r="AQ652" t="s">
        <v>74</v>
      </c>
      <c r="AR652" t="s">
        <v>7117</v>
      </c>
      <c r="AS652" t="s">
        <v>7118</v>
      </c>
      <c r="AT652" t="s">
        <v>12156</v>
      </c>
      <c r="AU652">
        <v>2015</v>
      </c>
      <c r="AV652">
        <v>432</v>
      </c>
      <c r="AW652" t="s">
        <v>74</v>
      </c>
      <c r="AX652" t="s">
        <v>74</v>
      </c>
      <c r="AY652" t="s">
        <v>74</v>
      </c>
      <c r="AZ652" t="s">
        <v>74</v>
      </c>
      <c r="BA652" t="s">
        <v>74</v>
      </c>
      <c r="BB652">
        <v>46</v>
      </c>
      <c r="BC652">
        <v>58</v>
      </c>
      <c r="BD652" t="s">
        <v>74</v>
      </c>
      <c r="BE652" t="s">
        <v>12238</v>
      </c>
      <c r="BF652" t="str">
        <f>HYPERLINK("http://dx.doi.org/10.1016/j.epsl.2015.09.038","http://dx.doi.org/10.1016/j.epsl.2015.09.038")</f>
        <v>http://dx.doi.org/10.1016/j.epsl.2015.09.038</v>
      </c>
      <c r="BG652" t="s">
        <v>74</v>
      </c>
      <c r="BH652" t="s">
        <v>74</v>
      </c>
      <c r="BI652">
        <v>13</v>
      </c>
      <c r="BJ652" t="s">
        <v>4474</v>
      </c>
      <c r="BK652" t="s">
        <v>264</v>
      </c>
      <c r="BL652" t="s">
        <v>4474</v>
      </c>
      <c r="BM652" t="s">
        <v>12239</v>
      </c>
      <c r="BN652" t="s">
        <v>74</v>
      </c>
      <c r="BO652" t="s">
        <v>12240</v>
      </c>
      <c r="BP652" t="s">
        <v>74</v>
      </c>
      <c r="BQ652" t="s">
        <v>74</v>
      </c>
      <c r="BR652" t="s">
        <v>100</v>
      </c>
      <c r="BS652" t="s">
        <v>12241</v>
      </c>
      <c r="BT652" t="str">
        <f>HYPERLINK("https%3A%2F%2Fwww.webofscience.com%2Fwos%2Fwoscc%2Ffull-record%2FWOS:000366345200005","View Full Record in Web of Science")</f>
        <v>View Full Record in Web of Science</v>
      </c>
    </row>
    <row r="653" spans="1:72" x14ac:dyDescent="0.15">
      <c r="A653" t="s">
        <v>72</v>
      </c>
      <c r="B653" t="s">
        <v>12242</v>
      </c>
      <c r="C653" t="s">
        <v>74</v>
      </c>
      <c r="D653" t="s">
        <v>74</v>
      </c>
      <c r="E653" t="s">
        <v>74</v>
      </c>
      <c r="F653" t="s">
        <v>12243</v>
      </c>
      <c r="G653" t="s">
        <v>74</v>
      </c>
      <c r="H653" t="s">
        <v>74</v>
      </c>
      <c r="I653" t="s">
        <v>12244</v>
      </c>
      <c r="J653" t="s">
        <v>7101</v>
      </c>
      <c r="K653" t="s">
        <v>74</v>
      </c>
      <c r="L653" t="s">
        <v>74</v>
      </c>
      <c r="M653" t="s">
        <v>200</v>
      </c>
      <c r="N653" t="s">
        <v>79</v>
      </c>
      <c r="O653" t="s">
        <v>74</v>
      </c>
      <c r="P653" t="s">
        <v>74</v>
      </c>
      <c r="Q653" t="s">
        <v>74</v>
      </c>
      <c r="R653" t="s">
        <v>74</v>
      </c>
      <c r="S653" t="s">
        <v>74</v>
      </c>
      <c r="T653" t="s">
        <v>12245</v>
      </c>
      <c r="U653" t="s">
        <v>12246</v>
      </c>
      <c r="V653" t="s">
        <v>12247</v>
      </c>
      <c r="W653" t="s">
        <v>12248</v>
      </c>
      <c r="X653" t="s">
        <v>12249</v>
      </c>
      <c r="Y653" t="s">
        <v>12250</v>
      </c>
      <c r="Z653" t="s">
        <v>12251</v>
      </c>
      <c r="AA653" t="s">
        <v>12252</v>
      </c>
      <c r="AB653" t="s">
        <v>12253</v>
      </c>
      <c r="AC653" t="s">
        <v>12254</v>
      </c>
      <c r="AD653" t="s">
        <v>12255</v>
      </c>
      <c r="AE653" t="s">
        <v>12256</v>
      </c>
      <c r="AF653" t="s">
        <v>74</v>
      </c>
      <c r="AG653">
        <v>64</v>
      </c>
      <c r="AH653">
        <v>43</v>
      </c>
      <c r="AI653">
        <v>47</v>
      </c>
      <c r="AJ653">
        <v>0</v>
      </c>
      <c r="AK653">
        <v>26</v>
      </c>
      <c r="AL653" t="s">
        <v>208</v>
      </c>
      <c r="AM653" t="s">
        <v>209</v>
      </c>
      <c r="AN653" t="s">
        <v>7114</v>
      </c>
      <c r="AO653" t="s">
        <v>7115</v>
      </c>
      <c r="AP653" t="s">
        <v>7116</v>
      </c>
      <c r="AQ653" t="s">
        <v>74</v>
      </c>
      <c r="AR653" t="s">
        <v>7117</v>
      </c>
      <c r="AS653" t="s">
        <v>7118</v>
      </c>
      <c r="AT653" t="s">
        <v>12156</v>
      </c>
      <c r="AU653">
        <v>2015</v>
      </c>
      <c r="AV653">
        <v>432</v>
      </c>
      <c r="AW653" t="s">
        <v>74</v>
      </c>
      <c r="AX653" t="s">
        <v>74</v>
      </c>
      <c r="AY653" t="s">
        <v>74</v>
      </c>
      <c r="AZ653" t="s">
        <v>74</v>
      </c>
      <c r="BA653" t="s">
        <v>74</v>
      </c>
      <c r="BB653">
        <v>254</v>
      </c>
      <c r="BC653">
        <v>264</v>
      </c>
      <c r="BD653" t="s">
        <v>74</v>
      </c>
      <c r="BE653" t="s">
        <v>12257</v>
      </c>
      <c r="BF653" t="str">
        <f>HYPERLINK("http://dx.doi.org/10.1016/j.epsl.2015.10.008","http://dx.doi.org/10.1016/j.epsl.2015.10.008")</f>
        <v>http://dx.doi.org/10.1016/j.epsl.2015.10.008</v>
      </c>
      <c r="BG653" t="s">
        <v>74</v>
      </c>
      <c r="BH653" t="s">
        <v>74</v>
      </c>
      <c r="BI653">
        <v>11</v>
      </c>
      <c r="BJ653" t="s">
        <v>4474</v>
      </c>
      <c r="BK653" t="s">
        <v>264</v>
      </c>
      <c r="BL653" t="s">
        <v>4474</v>
      </c>
      <c r="BM653" t="s">
        <v>12239</v>
      </c>
      <c r="BN653" t="s">
        <v>74</v>
      </c>
      <c r="BO653" t="s">
        <v>74</v>
      </c>
      <c r="BP653" t="s">
        <v>74</v>
      </c>
      <c r="BQ653" t="s">
        <v>74</v>
      </c>
      <c r="BR653" t="s">
        <v>100</v>
      </c>
      <c r="BS653" t="s">
        <v>12258</v>
      </c>
      <c r="BT653" t="str">
        <f>HYPERLINK("https%3A%2F%2Fwww.webofscience.com%2Fwos%2Fwoscc%2Ffull-record%2FWOS:000366345200024","View Full Record in Web of Science")</f>
        <v>View Full Record in Web of Science</v>
      </c>
    </row>
    <row r="654" spans="1:72" x14ac:dyDescent="0.15">
      <c r="A654" t="s">
        <v>72</v>
      </c>
      <c r="B654" t="s">
        <v>12259</v>
      </c>
      <c r="C654" t="s">
        <v>74</v>
      </c>
      <c r="D654" t="s">
        <v>74</v>
      </c>
      <c r="E654" t="s">
        <v>74</v>
      </c>
      <c r="F654" t="s">
        <v>12260</v>
      </c>
      <c r="G654" t="s">
        <v>74</v>
      </c>
      <c r="H654" t="s">
        <v>74</v>
      </c>
      <c r="I654" t="s">
        <v>12261</v>
      </c>
      <c r="J654" t="s">
        <v>7101</v>
      </c>
      <c r="K654" t="s">
        <v>74</v>
      </c>
      <c r="L654" t="s">
        <v>74</v>
      </c>
      <c r="M654" t="s">
        <v>200</v>
      </c>
      <c r="N654" t="s">
        <v>79</v>
      </c>
      <c r="O654" t="s">
        <v>74</v>
      </c>
      <c r="P654" t="s">
        <v>74</v>
      </c>
      <c r="Q654" t="s">
        <v>74</v>
      </c>
      <c r="R654" t="s">
        <v>74</v>
      </c>
      <c r="S654" t="s">
        <v>74</v>
      </c>
      <c r="T654" t="s">
        <v>12262</v>
      </c>
      <c r="U654" t="s">
        <v>12263</v>
      </c>
      <c r="V654" t="s">
        <v>12264</v>
      </c>
      <c r="W654" t="s">
        <v>12265</v>
      </c>
      <c r="X654" t="s">
        <v>12266</v>
      </c>
      <c r="Y654" t="s">
        <v>12267</v>
      </c>
      <c r="Z654" t="s">
        <v>12268</v>
      </c>
      <c r="AA654" t="s">
        <v>12269</v>
      </c>
      <c r="AB654" t="s">
        <v>12270</v>
      </c>
      <c r="AC654" t="s">
        <v>12271</v>
      </c>
      <c r="AD654" t="s">
        <v>12272</v>
      </c>
      <c r="AE654" t="s">
        <v>12273</v>
      </c>
      <c r="AF654" t="s">
        <v>74</v>
      </c>
      <c r="AG654">
        <v>46</v>
      </c>
      <c r="AH654">
        <v>13</v>
      </c>
      <c r="AI654">
        <v>15</v>
      </c>
      <c r="AJ654">
        <v>0</v>
      </c>
      <c r="AK654">
        <v>29</v>
      </c>
      <c r="AL654" t="s">
        <v>7137</v>
      </c>
      <c r="AM654" t="s">
        <v>209</v>
      </c>
      <c r="AN654" t="s">
        <v>7138</v>
      </c>
      <c r="AO654" t="s">
        <v>7115</v>
      </c>
      <c r="AP654" t="s">
        <v>7116</v>
      </c>
      <c r="AQ654" t="s">
        <v>74</v>
      </c>
      <c r="AR654" t="s">
        <v>7117</v>
      </c>
      <c r="AS654" t="s">
        <v>7118</v>
      </c>
      <c r="AT654" t="s">
        <v>12156</v>
      </c>
      <c r="AU654">
        <v>2015</v>
      </c>
      <c r="AV654">
        <v>432</v>
      </c>
      <c r="AW654" t="s">
        <v>74</v>
      </c>
      <c r="AX654" t="s">
        <v>74</v>
      </c>
      <c r="AY654" t="s">
        <v>74</v>
      </c>
      <c r="AZ654" t="s">
        <v>74</v>
      </c>
      <c r="BA654" t="s">
        <v>74</v>
      </c>
      <c r="BB654">
        <v>273</v>
      </c>
      <c r="BC654">
        <v>282</v>
      </c>
      <c r="BD654" t="s">
        <v>74</v>
      </c>
      <c r="BE654" t="s">
        <v>12274</v>
      </c>
      <c r="BF654" t="str">
        <f>HYPERLINK("http://dx.doi.org/10.1016/j.epsl.2015.10.016","http://dx.doi.org/10.1016/j.epsl.2015.10.016")</f>
        <v>http://dx.doi.org/10.1016/j.epsl.2015.10.016</v>
      </c>
      <c r="BG654" t="s">
        <v>74</v>
      </c>
      <c r="BH654" t="s">
        <v>74</v>
      </c>
      <c r="BI654">
        <v>10</v>
      </c>
      <c r="BJ654" t="s">
        <v>4474</v>
      </c>
      <c r="BK654" t="s">
        <v>264</v>
      </c>
      <c r="BL654" t="s">
        <v>4474</v>
      </c>
      <c r="BM654" t="s">
        <v>12239</v>
      </c>
      <c r="BN654" t="s">
        <v>74</v>
      </c>
      <c r="BO654" t="s">
        <v>5581</v>
      </c>
      <c r="BP654" t="s">
        <v>74</v>
      </c>
      <c r="BQ654" t="s">
        <v>74</v>
      </c>
      <c r="BR654" t="s">
        <v>100</v>
      </c>
      <c r="BS654" t="s">
        <v>12275</v>
      </c>
      <c r="BT654" t="str">
        <f>HYPERLINK("https%3A%2F%2Fwww.webofscience.com%2Fwos%2Fwoscc%2Ffull-record%2FWOS:000366345200026","View Full Record in Web of Science")</f>
        <v>View Full Record in Web of Science</v>
      </c>
    </row>
    <row r="655" spans="1:72" x14ac:dyDescent="0.15">
      <c r="A655" t="s">
        <v>72</v>
      </c>
      <c r="B655" t="s">
        <v>12276</v>
      </c>
      <c r="C655" t="s">
        <v>74</v>
      </c>
      <c r="D655" t="s">
        <v>74</v>
      </c>
      <c r="E655" t="s">
        <v>74</v>
      </c>
      <c r="F655" t="s">
        <v>12277</v>
      </c>
      <c r="G655" t="s">
        <v>74</v>
      </c>
      <c r="H655" t="s">
        <v>74</v>
      </c>
      <c r="I655" t="s">
        <v>12278</v>
      </c>
      <c r="J655" t="s">
        <v>7101</v>
      </c>
      <c r="K655" t="s">
        <v>74</v>
      </c>
      <c r="L655" t="s">
        <v>74</v>
      </c>
      <c r="M655" t="s">
        <v>200</v>
      </c>
      <c r="N655" t="s">
        <v>79</v>
      </c>
      <c r="O655" t="s">
        <v>74</v>
      </c>
      <c r="P655" t="s">
        <v>74</v>
      </c>
      <c r="Q655" t="s">
        <v>74</v>
      </c>
      <c r="R655" t="s">
        <v>74</v>
      </c>
      <c r="S655" t="s">
        <v>74</v>
      </c>
      <c r="T655" t="s">
        <v>12279</v>
      </c>
      <c r="U655" t="s">
        <v>12280</v>
      </c>
      <c r="V655" t="s">
        <v>12281</v>
      </c>
      <c r="W655" t="s">
        <v>12282</v>
      </c>
      <c r="X655" t="s">
        <v>12283</v>
      </c>
      <c r="Y655" t="s">
        <v>12284</v>
      </c>
      <c r="Z655" t="s">
        <v>12285</v>
      </c>
      <c r="AA655" t="s">
        <v>74</v>
      </c>
      <c r="AB655" t="s">
        <v>12286</v>
      </c>
      <c r="AC655" t="s">
        <v>12287</v>
      </c>
      <c r="AD655" t="s">
        <v>974</v>
      </c>
      <c r="AE655" t="s">
        <v>12288</v>
      </c>
      <c r="AF655" t="s">
        <v>74</v>
      </c>
      <c r="AG655">
        <v>44</v>
      </c>
      <c r="AH655">
        <v>5</v>
      </c>
      <c r="AI655">
        <v>6</v>
      </c>
      <c r="AJ655">
        <v>0</v>
      </c>
      <c r="AK655">
        <v>13</v>
      </c>
      <c r="AL655" t="s">
        <v>7137</v>
      </c>
      <c r="AM655" t="s">
        <v>209</v>
      </c>
      <c r="AN655" t="s">
        <v>7138</v>
      </c>
      <c r="AO655" t="s">
        <v>7115</v>
      </c>
      <c r="AP655" t="s">
        <v>7116</v>
      </c>
      <c r="AQ655" t="s">
        <v>74</v>
      </c>
      <c r="AR655" t="s">
        <v>7117</v>
      </c>
      <c r="AS655" t="s">
        <v>7118</v>
      </c>
      <c r="AT655" t="s">
        <v>12156</v>
      </c>
      <c r="AU655">
        <v>2015</v>
      </c>
      <c r="AV655">
        <v>432</v>
      </c>
      <c r="AW655" t="s">
        <v>74</v>
      </c>
      <c r="AX655" t="s">
        <v>74</v>
      </c>
      <c r="AY655" t="s">
        <v>74</v>
      </c>
      <c r="AZ655" t="s">
        <v>74</v>
      </c>
      <c r="BA655" t="s">
        <v>74</v>
      </c>
      <c r="BB655">
        <v>293</v>
      </c>
      <c r="BC655">
        <v>299</v>
      </c>
      <c r="BD655" t="s">
        <v>74</v>
      </c>
      <c r="BE655" t="s">
        <v>12289</v>
      </c>
      <c r="BF655" t="str">
        <f>HYPERLINK("http://dx.doi.org/10.1016/j.epsl.2015.10.015","http://dx.doi.org/10.1016/j.epsl.2015.10.015")</f>
        <v>http://dx.doi.org/10.1016/j.epsl.2015.10.015</v>
      </c>
      <c r="BG655" t="s">
        <v>74</v>
      </c>
      <c r="BH655" t="s">
        <v>74</v>
      </c>
      <c r="BI655">
        <v>7</v>
      </c>
      <c r="BJ655" t="s">
        <v>4474</v>
      </c>
      <c r="BK655" t="s">
        <v>264</v>
      </c>
      <c r="BL655" t="s">
        <v>4474</v>
      </c>
      <c r="BM655" t="s">
        <v>12239</v>
      </c>
      <c r="BN655" t="s">
        <v>74</v>
      </c>
      <c r="BO655" t="s">
        <v>74</v>
      </c>
      <c r="BP655" t="s">
        <v>74</v>
      </c>
      <c r="BQ655" t="s">
        <v>74</v>
      </c>
      <c r="BR655" t="s">
        <v>100</v>
      </c>
      <c r="BS655" t="s">
        <v>12290</v>
      </c>
      <c r="BT655" t="str">
        <f>HYPERLINK("https%3A%2F%2Fwww.webofscience.com%2Fwos%2Fwoscc%2Ffull-record%2FWOS:000366345200028","View Full Record in Web of Science")</f>
        <v>View Full Record in Web of Science</v>
      </c>
    </row>
    <row r="656" spans="1:72" x14ac:dyDescent="0.15">
      <c r="A656" t="s">
        <v>72</v>
      </c>
      <c r="B656" t="s">
        <v>12291</v>
      </c>
      <c r="C656" t="s">
        <v>74</v>
      </c>
      <c r="D656" t="s">
        <v>74</v>
      </c>
      <c r="E656" t="s">
        <v>74</v>
      </c>
      <c r="F656" t="s">
        <v>12292</v>
      </c>
      <c r="G656" t="s">
        <v>74</v>
      </c>
      <c r="H656" t="s">
        <v>74</v>
      </c>
      <c r="I656" t="s">
        <v>12293</v>
      </c>
      <c r="J656" t="s">
        <v>12164</v>
      </c>
      <c r="K656" t="s">
        <v>74</v>
      </c>
      <c r="L656" t="s">
        <v>74</v>
      </c>
      <c r="M656" t="s">
        <v>200</v>
      </c>
      <c r="N656" t="s">
        <v>79</v>
      </c>
      <c r="O656" t="s">
        <v>74</v>
      </c>
      <c r="P656" t="s">
        <v>74</v>
      </c>
      <c r="Q656" t="s">
        <v>74</v>
      </c>
      <c r="R656" t="s">
        <v>74</v>
      </c>
      <c r="S656" t="s">
        <v>74</v>
      </c>
      <c r="T656" t="s">
        <v>12294</v>
      </c>
      <c r="U656" t="s">
        <v>12295</v>
      </c>
      <c r="V656" t="s">
        <v>12296</v>
      </c>
      <c r="W656" t="s">
        <v>12297</v>
      </c>
      <c r="X656" t="s">
        <v>468</v>
      </c>
      <c r="Y656" t="s">
        <v>12298</v>
      </c>
      <c r="Z656" t="s">
        <v>12299</v>
      </c>
      <c r="AA656" t="s">
        <v>12300</v>
      </c>
      <c r="AB656" t="s">
        <v>12301</v>
      </c>
      <c r="AC656" t="s">
        <v>12302</v>
      </c>
      <c r="AD656" t="s">
        <v>11116</v>
      </c>
      <c r="AE656" t="s">
        <v>12303</v>
      </c>
      <c r="AF656" t="s">
        <v>74</v>
      </c>
      <c r="AG656">
        <v>78</v>
      </c>
      <c r="AH656">
        <v>23</v>
      </c>
      <c r="AI656">
        <v>25</v>
      </c>
      <c r="AJ656">
        <v>3</v>
      </c>
      <c r="AK656">
        <v>57</v>
      </c>
      <c r="AL656" t="s">
        <v>3735</v>
      </c>
      <c r="AM656" t="s">
        <v>3736</v>
      </c>
      <c r="AN656" t="s">
        <v>3737</v>
      </c>
      <c r="AO656" t="s">
        <v>12177</v>
      </c>
      <c r="AP656" t="s">
        <v>12178</v>
      </c>
      <c r="AQ656" t="s">
        <v>74</v>
      </c>
      <c r="AR656" t="s">
        <v>12179</v>
      </c>
      <c r="AS656" t="s">
        <v>12180</v>
      </c>
      <c r="AT656" t="s">
        <v>12156</v>
      </c>
      <c r="AU656">
        <v>2015</v>
      </c>
      <c r="AV656">
        <v>541</v>
      </c>
      <c r="AW656" t="s">
        <v>74</v>
      </c>
      <c r="AX656" t="s">
        <v>74</v>
      </c>
      <c r="AY656" t="s">
        <v>74</v>
      </c>
      <c r="AZ656" t="s">
        <v>74</v>
      </c>
      <c r="BA656" t="s">
        <v>74</v>
      </c>
      <c r="BB656">
        <v>45</v>
      </c>
      <c r="BC656">
        <v>64</v>
      </c>
      <c r="BD656" t="s">
        <v>74</v>
      </c>
      <c r="BE656" t="s">
        <v>12304</v>
      </c>
      <c r="BF656" t="str">
        <f>HYPERLINK("http://dx.doi.org/10.3354/meps11527","http://dx.doi.org/10.3354/meps11527")</f>
        <v>http://dx.doi.org/10.3354/meps11527</v>
      </c>
      <c r="BG656" t="s">
        <v>74</v>
      </c>
      <c r="BH656" t="s">
        <v>74</v>
      </c>
      <c r="BI656">
        <v>20</v>
      </c>
      <c r="BJ656" t="s">
        <v>12182</v>
      </c>
      <c r="BK656" t="s">
        <v>264</v>
      </c>
      <c r="BL656" t="s">
        <v>12183</v>
      </c>
      <c r="BM656" t="s">
        <v>12184</v>
      </c>
      <c r="BN656" t="s">
        <v>74</v>
      </c>
      <c r="BO656" t="s">
        <v>431</v>
      </c>
      <c r="BP656" t="s">
        <v>74</v>
      </c>
      <c r="BQ656" t="s">
        <v>74</v>
      </c>
      <c r="BR656" t="s">
        <v>100</v>
      </c>
      <c r="BS656" t="s">
        <v>12305</v>
      </c>
      <c r="BT656" t="str">
        <f>HYPERLINK("https%3A%2F%2Fwww.webofscience.com%2Fwos%2Fwoscc%2Ffull-record%2FWOS:000367393200004","View Full Record in Web of Science")</f>
        <v>View Full Record in Web of Science</v>
      </c>
    </row>
    <row r="657" spans="1:72" x14ac:dyDescent="0.15">
      <c r="A657" t="s">
        <v>72</v>
      </c>
      <c r="B657" t="s">
        <v>12306</v>
      </c>
      <c r="C657" t="s">
        <v>74</v>
      </c>
      <c r="D657" t="s">
        <v>74</v>
      </c>
      <c r="E657" t="s">
        <v>74</v>
      </c>
      <c r="F657" t="s">
        <v>12307</v>
      </c>
      <c r="G657" t="s">
        <v>74</v>
      </c>
      <c r="H657" t="s">
        <v>74</v>
      </c>
      <c r="I657" t="s">
        <v>12308</v>
      </c>
      <c r="J657" t="s">
        <v>12164</v>
      </c>
      <c r="K657" t="s">
        <v>74</v>
      </c>
      <c r="L657" t="s">
        <v>74</v>
      </c>
      <c r="M657" t="s">
        <v>200</v>
      </c>
      <c r="N657" t="s">
        <v>79</v>
      </c>
      <c r="O657" t="s">
        <v>74</v>
      </c>
      <c r="P657" t="s">
        <v>74</v>
      </c>
      <c r="Q657" t="s">
        <v>74</v>
      </c>
      <c r="R657" t="s">
        <v>74</v>
      </c>
      <c r="S657" t="s">
        <v>74</v>
      </c>
      <c r="T657" t="s">
        <v>12309</v>
      </c>
      <c r="U657" t="s">
        <v>12310</v>
      </c>
      <c r="V657" t="s">
        <v>12311</v>
      </c>
      <c r="W657" t="s">
        <v>12312</v>
      </c>
      <c r="X657" t="s">
        <v>12313</v>
      </c>
      <c r="Y657" t="s">
        <v>10378</v>
      </c>
      <c r="Z657" t="s">
        <v>10379</v>
      </c>
      <c r="AA657" t="s">
        <v>12314</v>
      </c>
      <c r="AB657" t="s">
        <v>12315</v>
      </c>
      <c r="AC657" t="s">
        <v>12316</v>
      </c>
      <c r="AD657" t="s">
        <v>12316</v>
      </c>
      <c r="AE657" t="s">
        <v>12317</v>
      </c>
      <c r="AF657" t="s">
        <v>74</v>
      </c>
      <c r="AG657">
        <v>75</v>
      </c>
      <c r="AH657">
        <v>25</v>
      </c>
      <c r="AI657">
        <v>28</v>
      </c>
      <c r="AJ657">
        <v>2</v>
      </c>
      <c r="AK657">
        <v>61</v>
      </c>
      <c r="AL657" t="s">
        <v>3735</v>
      </c>
      <c r="AM657" t="s">
        <v>3736</v>
      </c>
      <c r="AN657" t="s">
        <v>3737</v>
      </c>
      <c r="AO657" t="s">
        <v>12177</v>
      </c>
      <c r="AP657" t="s">
        <v>12178</v>
      </c>
      <c r="AQ657" t="s">
        <v>74</v>
      </c>
      <c r="AR657" t="s">
        <v>12179</v>
      </c>
      <c r="AS657" t="s">
        <v>12180</v>
      </c>
      <c r="AT657" t="s">
        <v>12156</v>
      </c>
      <c r="AU657">
        <v>2015</v>
      </c>
      <c r="AV657">
        <v>541</v>
      </c>
      <c r="AW657" t="s">
        <v>74</v>
      </c>
      <c r="AX657" t="s">
        <v>74</v>
      </c>
      <c r="AY657" t="s">
        <v>74</v>
      </c>
      <c r="AZ657" t="s">
        <v>74</v>
      </c>
      <c r="BA657" t="s">
        <v>74</v>
      </c>
      <c r="BB657">
        <v>231</v>
      </c>
      <c r="BC657">
        <v>244</v>
      </c>
      <c r="BD657" t="s">
        <v>74</v>
      </c>
      <c r="BE657" t="s">
        <v>12318</v>
      </c>
      <c r="BF657" t="str">
        <f>HYPERLINK("http://dx.doi.org/10.3354/meps11551","http://dx.doi.org/10.3354/meps11551")</f>
        <v>http://dx.doi.org/10.3354/meps11551</v>
      </c>
      <c r="BG657" t="s">
        <v>74</v>
      </c>
      <c r="BH657" t="s">
        <v>74</v>
      </c>
      <c r="BI657">
        <v>14</v>
      </c>
      <c r="BJ657" t="s">
        <v>12182</v>
      </c>
      <c r="BK657" t="s">
        <v>264</v>
      </c>
      <c r="BL657" t="s">
        <v>12183</v>
      </c>
      <c r="BM657" t="s">
        <v>12184</v>
      </c>
      <c r="BN657" t="s">
        <v>74</v>
      </c>
      <c r="BO657" t="s">
        <v>486</v>
      </c>
      <c r="BP657" t="s">
        <v>74</v>
      </c>
      <c r="BQ657" t="s">
        <v>74</v>
      </c>
      <c r="BR657" t="s">
        <v>100</v>
      </c>
      <c r="BS657" t="s">
        <v>12319</v>
      </c>
      <c r="BT657" t="str">
        <f>HYPERLINK("https%3A%2F%2Fwww.webofscience.com%2Fwos%2Fwoscc%2Ffull-record%2FWOS:000367393200017","View Full Record in Web of Science")</f>
        <v>View Full Record in Web of Science</v>
      </c>
    </row>
    <row r="658" spans="1:72" x14ac:dyDescent="0.15">
      <c r="A658" t="s">
        <v>72</v>
      </c>
      <c r="B658" t="s">
        <v>12320</v>
      </c>
      <c r="C658" t="s">
        <v>74</v>
      </c>
      <c r="D658" t="s">
        <v>74</v>
      </c>
      <c r="E658" t="s">
        <v>74</v>
      </c>
      <c r="F658" t="s">
        <v>12321</v>
      </c>
      <c r="G658" t="s">
        <v>74</v>
      </c>
      <c r="H658" t="s">
        <v>74</v>
      </c>
      <c r="I658" t="s">
        <v>12322</v>
      </c>
      <c r="J658" t="s">
        <v>12323</v>
      </c>
      <c r="K658" t="s">
        <v>74</v>
      </c>
      <c r="L658" t="s">
        <v>74</v>
      </c>
      <c r="M658" t="s">
        <v>200</v>
      </c>
      <c r="N658" t="s">
        <v>79</v>
      </c>
      <c r="O658" t="s">
        <v>74</v>
      </c>
      <c r="P658" t="s">
        <v>74</v>
      </c>
      <c r="Q658" t="s">
        <v>74</v>
      </c>
      <c r="R658" t="s">
        <v>74</v>
      </c>
      <c r="S658" t="s">
        <v>74</v>
      </c>
      <c r="T658" t="s">
        <v>74</v>
      </c>
      <c r="U658" t="s">
        <v>12324</v>
      </c>
      <c r="V658" t="s">
        <v>12325</v>
      </c>
      <c r="W658" t="s">
        <v>12326</v>
      </c>
      <c r="X658" t="s">
        <v>12327</v>
      </c>
      <c r="Y658" t="s">
        <v>12328</v>
      </c>
      <c r="Z658" t="s">
        <v>12329</v>
      </c>
      <c r="AA658" t="s">
        <v>12330</v>
      </c>
      <c r="AB658" t="s">
        <v>12331</v>
      </c>
      <c r="AC658" t="s">
        <v>12332</v>
      </c>
      <c r="AD658" t="s">
        <v>12333</v>
      </c>
      <c r="AE658" t="s">
        <v>12334</v>
      </c>
      <c r="AF658" t="s">
        <v>74</v>
      </c>
      <c r="AG658">
        <v>52</v>
      </c>
      <c r="AH658">
        <v>31</v>
      </c>
      <c r="AI658">
        <v>34</v>
      </c>
      <c r="AJ658">
        <v>0</v>
      </c>
      <c r="AK658">
        <v>40</v>
      </c>
      <c r="AL658" t="s">
        <v>12335</v>
      </c>
      <c r="AM658" t="s">
        <v>5664</v>
      </c>
      <c r="AN658" t="s">
        <v>12336</v>
      </c>
      <c r="AO658" t="s">
        <v>12337</v>
      </c>
      <c r="AP658" t="s">
        <v>74</v>
      </c>
      <c r="AQ658" t="s">
        <v>74</v>
      </c>
      <c r="AR658" t="s">
        <v>12323</v>
      </c>
      <c r="AS658" t="s">
        <v>12338</v>
      </c>
      <c r="AT658" t="s">
        <v>12156</v>
      </c>
      <c r="AU658">
        <v>2015</v>
      </c>
      <c r="AV658">
        <v>10</v>
      </c>
      <c r="AW658">
        <v>12</v>
      </c>
      <c r="AX658" t="s">
        <v>74</v>
      </c>
      <c r="AY658" t="s">
        <v>74</v>
      </c>
      <c r="AZ658" t="s">
        <v>74</v>
      </c>
      <c r="BA658" t="s">
        <v>74</v>
      </c>
      <c r="BB658" t="s">
        <v>74</v>
      </c>
      <c r="BC658" t="s">
        <v>74</v>
      </c>
      <c r="BD658" t="s">
        <v>12339</v>
      </c>
      <c r="BE658" t="s">
        <v>12340</v>
      </c>
      <c r="BF658" t="str">
        <f>HYPERLINK("http://dx.doi.org/10.1371/journal.pone.0145353","http://dx.doi.org/10.1371/journal.pone.0145353")</f>
        <v>http://dx.doi.org/10.1371/journal.pone.0145353</v>
      </c>
      <c r="BG658" t="s">
        <v>74</v>
      </c>
      <c r="BH658" t="s">
        <v>74</v>
      </c>
      <c r="BI658">
        <v>19</v>
      </c>
      <c r="BJ658" t="s">
        <v>3540</v>
      </c>
      <c r="BK658" t="s">
        <v>264</v>
      </c>
      <c r="BL658" t="s">
        <v>3541</v>
      </c>
      <c r="BM658" t="s">
        <v>12341</v>
      </c>
      <c r="BN658">
        <v>26671564</v>
      </c>
      <c r="BO658" t="s">
        <v>2110</v>
      </c>
      <c r="BP658" t="s">
        <v>74</v>
      </c>
      <c r="BQ658" t="s">
        <v>74</v>
      </c>
      <c r="BR658" t="s">
        <v>100</v>
      </c>
      <c r="BS658" t="s">
        <v>12342</v>
      </c>
      <c r="BT658" t="str">
        <f>HYPERLINK("https%3A%2F%2Fwww.webofscience.com%2Fwos%2Fwoscc%2Ffull-record%2FWOS:000366719300059","View Full Record in Web of Science")</f>
        <v>View Full Record in Web of Science</v>
      </c>
    </row>
    <row r="659" spans="1:72" x14ac:dyDescent="0.15">
      <c r="A659" t="s">
        <v>72</v>
      </c>
      <c r="B659" t="s">
        <v>12343</v>
      </c>
      <c r="C659" t="s">
        <v>74</v>
      </c>
      <c r="D659" t="s">
        <v>74</v>
      </c>
      <c r="E659" t="s">
        <v>74</v>
      </c>
      <c r="F659" t="s">
        <v>12344</v>
      </c>
      <c r="G659" t="s">
        <v>74</v>
      </c>
      <c r="H659" t="s">
        <v>74</v>
      </c>
      <c r="I659" t="s">
        <v>12345</v>
      </c>
      <c r="J659" t="s">
        <v>12346</v>
      </c>
      <c r="K659" t="s">
        <v>74</v>
      </c>
      <c r="L659" t="s">
        <v>74</v>
      </c>
      <c r="M659" t="s">
        <v>200</v>
      </c>
      <c r="N659" t="s">
        <v>79</v>
      </c>
      <c r="O659" t="s">
        <v>74</v>
      </c>
      <c r="P659" t="s">
        <v>74</v>
      </c>
      <c r="Q659" t="s">
        <v>74</v>
      </c>
      <c r="R659" t="s">
        <v>74</v>
      </c>
      <c r="S659" t="s">
        <v>74</v>
      </c>
      <c r="T659" t="s">
        <v>12347</v>
      </c>
      <c r="U659" t="s">
        <v>12348</v>
      </c>
      <c r="V659" t="s">
        <v>12349</v>
      </c>
      <c r="W659" t="s">
        <v>12350</v>
      </c>
      <c r="X659" t="s">
        <v>12351</v>
      </c>
      <c r="Y659" t="s">
        <v>12352</v>
      </c>
      <c r="Z659" t="s">
        <v>12353</v>
      </c>
      <c r="AA659" t="s">
        <v>74</v>
      </c>
      <c r="AB659" t="s">
        <v>74</v>
      </c>
      <c r="AC659" t="s">
        <v>12354</v>
      </c>
      <c r="AD659" t="s">
        <v>12355</v>
      </c>
      <c r="AE659" t="s">
        <v>12356</v>
      </c>
      <c r="AF659" t="s">
        <v>74</v>
      </c>
      <c r="AG659">
        <v>35</v>
      </c>
      <c r="AH659">
        <v>18</v>
      </c>
      <c r="AI659">
        <v>18</v>
      </c>
      <c r="AJ659">
        <v>1</v>
      </c>
      <c r="AK659">
        <v>116</v>
      </c>
      <c r="AL659" t="s">
        <v>208</v>
      </c>
      <c r="AM659" t="s">
        <v>209</v>
      </c>
      <c r="AN659" t="s">
        <v>7114</v>
      </c>
      <c r="AO659" t="s">
        <v>12357</v>
      </c>
      <c r="AP659" t="s">
        <v>12358</v>
      </c>
      <c r="AQ659" t="s">
        <v>74</v>
      </c>
      <c r="AR659" t="s">
        <v>12359</v>
      </c>
      <c r="AS659" t="s">
        <v>12360</v>
      </c>
      <c r="AT659" t="s">
        <v>12156</v>
      </c>
      <c r="AU659">
        <v>2015</v>
      </c>
      <c r="AV659">
        <v>538</v>
      </c>
      <c r="AW659" t="s">
        <v>74</v>
      </c>
      <c r="AX659" t="s">
        <v>74</v>
      </c>
      <c r="AY659" t="s">
        <v>74</v>
      </c>
      <c r="AZ659" t="s">
        <v>74</v>
      </c>
      <c r="BA659" t="s">
        <v>74</v>
      </c>
      <c r="BB659">
        <v>644</v>
      </c>
      <c r="BC659">
        <v>653</v>
      </c>
      <c r="BD659" t="s">
        <v>74</v>
      </c>
      <c r="BE659" t="s">
        <v>12361</v>
      </c>
      <c r="BF659" t="str">
        <f>HYPERLINK("http://dx.doi.org/10.1016/j.scitotenv.2015.08.102","http://dx.doi.org/10.1016/j.scitotenv.2015.08.102")</f>
        <v>http://dx.doi.org/10.1016/j.scitotenv.2015.08.102</v>
      </c>
      <c r="BG659" t="s">
        <v>74</v>
      </c>
      <c r="BH659" t="s">
        <v>74</v>
      </c>
      <c r="BI659">
        <v>10</v>
      </c>
      <c r="BJ659" t="s">
        <v>5155</v>
      </c>
      <c r="BK659" t="s">
        <v>264</v>
      </c>
      <c r="BL659" t="s">
        <v>2887</v>
      </c>
      <c r="BM659" t="s">
        <v>12362</v>
      </c>
      <c r="BN659">
        <v>26322729</v>
      </c>
      <c r="BO659" t="s">
        <v>5581</v>
      </c>
      <c r="BP659" t="s">
        <v>74</v>
      </c>
      <c r="BQ659" t="s">
        <v>74</v>
      </c>
      <c r="BR659" t="s">
        <v>100</v>
      </c>
      <c r="BS659" t="s">
        <v>12363</v>
      </c>
      <c r="BT659" t="str">
        <f>HYPERLINK("https%3A%2F%2Fwww.webofscience.com%2Fwos%2Fwoscc%2Ffull-record%2FWOS:000363348900062","View Full Record in Web of Science")</f>
        <v>View Full Record in Web of Science</v>
      </c>
    </row>
    <row r="660" spans="1:72" x14ac:dyDescent="0.15">
      <c r="A660" t="s">
        <v>72</v>
      </c>
      <c r="B660" t="s">
        <v>12364</v>
      </c>
      <c r="C660" t="s">
        <v>74</v>
      </c>
      <c r="D660" t="s">
        <v>74</v>
      </c>
      <c r="E660" t="s">
        <v>74</v>
      </c>
      <c r="F660" t="s">
        <v>12365</v>
      </c>
      <c r="G660" t="s">
        <v>74</v>
      </c>
      <c r="H660" t="s">
        <v>74</v>
      </c>
      <c r="I660" t="s">
        <v>12366</v>
      </c>
      <c r="J660" t="s">
        <v>12346</v>
      </c>
      <c r="K660" t="s">
        <v>74</v>
      </c>
      <c r="L660" t="s">
        <v>74</v>
      </c>
      <c r="M660" t="s">
        <v>200</v>
      </c>
      <c r="N660" t="s">
        <v>79</v>
      </c>
      <c r="O660" t="s">
        <v>74</v>
      </c>
      <c r="P660" t="s">
        <v>74</v>
      </c>
      <c r="Q660" t="s">
        <v>74</v>
      </c>
      <c r="R660" t="s">
        <v>74</v>
      </c>
      <c r="S660" t="s">
        <v>74</v>
      </c>
      <c r="T660" t="s">
        <v>12367</v>
      </c>
      <c r="U660" t="s">
        <v>12368</v>
      </c>
      <c r="V660" t="s">
        <v>12369</v>
      </c>
      <c r="W660" t="s">
        <v>12370</v>
      </c>
      <c r="X660" t="s">
        <v>12371</v>
      </c>
      <c r="Y660" t="s">
        <v>12372</v>
      </c>
      <c r="Z660" t="s">
        <v>12373</v>
      </c>
      <c r="AA660" t="s">
        <v>12374</v>
      </c>
      <c r="AB660" t="s">
        <v>12375</v>
      </c>
      <c r="AC660" t="s">
        <v>12376</v>
      </c>
      <c r="AD660" t="s">
        <v>12377</v>
      </c>
      <c r="AE660" t="s">
        <v>12378</v>
      </c>
      <c r="AF660" t="s">
        <v>74</v>
      </c>
      <c r="AG660">
        <v>50</v>
      </c>
      <c r="AH660">
        <v>38</v>
      </c>
      <c r="AI660">
        <v>40</v>
      </c>
      <c r="AJ660">
        <v>5</v>
      </c>
      <c r="AK660">
        <v>114</v>
      </c>
      <c r="AL660" t="s">
        <v>7137</v>
      </c>
      <c r="AM660" t="s">
        <v>209</v>
      </c>
      <c r="AN660" t="s">
        <v>7138</v>
      </c>
      <c r="AO660" t="s">
        <v>12357</v>
      </c>
      <c r="AP660" t="s">
        <v>12358</v>
      </c>
      <c r="AQ660" t="s">
        <v>74</v>
      </c>
      <c r="AR660" t="s">
        <v>12359</v>
      </c>
      <c r="AS660" t="s">
        <v>12360</v>
      </c>
      <c r="AT660" t="s">
        <v>12156</v>
      </c>
      <c r="AU660">
        <v>2015</v>
      </c>
      <c r="AV660">
        <v>538</v>
      </c>
      <c r="AW660" t="s">
        <v>74</v>
      </c>
      <c r="AX660" t="s">
        <v>74</v>
      </c>
      <c r="AY660" t="s">
        <v>74</v>
      </c>
      <c r="AZ660" t="s">
        <v>74</v>
      </c>
      <c r="BA660" t="s">
        <v>74</v>
      </c>
      <c r="BB660">
        <v>743</v>
      </c>
      <c r="BC660">
        <v>749</v>
      </c>
      <c r="BD660" t="s">
        <v>74</v>
      </c>
      <c r="BE660" t="s">
        <v>12379</v>
      </c>
      <c r="BF660" t="str">
        <f>HYPERLINK("http://dx.doi.org/10.1016/j.scitotenv.2015.08.103","http://dx.doi.org/10.1016/j.scitotenv.2015.08.103")</f>
        <v>http://dx.doi.org/10.1016/j.scitotenv.2015.08.103</v>
      </c>
      <c r="BG660" t="s">
        <v>74</v>
      </c>
      <c r="BH660" t="s">
        <v>74</v>
      </c>
      <c r="BI660">
        <v>7</v>
      </c>
      <c r="BJ660" t="s">
        <v>5155</v>
      </c>
      <c r="BK660" t="s">
        <v>264</v>
      </c>
      <c r="BL660" t="s">
        <v>2887</v>
      </c>
      <c r="BM660" t="s">
        <v>12362</v>
      </c>
      <c r="BN660">
        <v>26327642</v>
      </c>
      <c r="BO660" t="s">
        <v>403</v>
      </c>
      <c r="BP660" t="s">
        <v>74</v>
      </c>
      <c r="BQ660" t="s">
        <v>74</v>
      </c>
      <c r="BR660" t="s">
        <v>100</v>
      </c>
      <c r="BS660" t="s">
        <v>12380</v>
      </c>
      <c r="BT660" t="str">
        <f>HYPERLINK("https%3A%2F%2Fwww.webofscience.com%2Fwos%2Fwoscc%2Ffull-record%2FWOS:000363348900072","View Full Record in Web of Science")</f>
        <v>View Full Record in Web of Science</v>
      </c>
    </row>
    <row r="661" spans="1:72" x14ac:dyDescent="0.15">
      <c r="A661" t="s">
        <v>72</v>
      </c>
      <c r="B661" t="s">
        <v>12381</v>
      </c>
      <c r="C661" t="s">
        <v>74</v>
      </c>
      <c r="D661" t="s">
        <v>74</v>
      </c>
      <c r="E661" t="s">
        <v>74</v>
      </c>
      <c r="F661" t="s">
        <v>12382</v>
      </c>
      <c r="G661" t="s">
        <v>74</v>
      </c>
      <c r="H661" t="s">
        <v>74</v>
      </c>
      <c r="I661" t="s">
        <v>12383</v>
      </c>
      <c r="J661" t="s">
        <v>12384</v>
      </c>
      <c r="K661" t="s">
        <v>74</v>
      </c>
      <c r="L661" t="s">
        <v>74</v>
      </c>
      <c r="M661" t="s">
        <v>200</v>
      </c>
      <c r="N661" t="s">
        <v>79</v>
      </c>
      <c r="O661" t="s">
        <v>74</v>
      </c>
      <c r="P661" t="s">
        <v>74</v>
      </c>
      <c r="Q661" t="s">
        <v>74</v>
      </c>
      <c r="R661" t="s">
        <v>74</v>
      </c>
      <c r="S661" t="s">
        <v>74</v>
      </c>
      <c r="T661" t="s">
        <v>12385</v>
      </c>
      <c r="U661" t="s">
        <v>12386</v>
      </c>
      <c r="V661" t="s">
        <v>12387</v>
      </c>
      <c r="W661" t="s">
        <v>12388</v>
      </c>
      <c r="X661" t="s">
        <v>12389</v>
      </c>
      <c r="Y661" t="s">
        <v>12390</v>
      </c>
      <c r="Z661" t="s">
        <v>12391</v>
      </c>
      <c r="AA661" t="s">
        <v>74</v>
      </c>
      <c r="AB661" t="s">
        <v>12392</v>
      </c>
      <c r="AC661" t="s">
        <v>12393</v>
      </c>
      <c r="AD661" t="s">
        <v>12394</v>
      </c>
      <c r="AE661" t="s">
        <v>12395</v>
      </c>
      <c r="AF661" t="s">
        <v>74</v>
      </c>
      <c r="AG661">
        <v>57</v>
      </c>
      <c r="AH661">
        <v>16</v>
      </c>
      <c r="AI661">
        <v>16</v>
      </c>
      <c r="AJ661">
        <v>5</v>
      </c>
      <c r="AK661">
        <v>64</v>
      </c>
      <c r="AL661" t="s">
        <v>9028</v>
      </c>
      <c r="AM661" t="s">
        <v>9029</v>
      </c>
      <c r="AN661" t="s">
        <v>9030</v>
      </c>
      <c r="AO661" t="s">
        <v>12396</v>
      </c>
      <c r="AP661" t="s">
        <v>74</v>
      </c>
      <c r="AQ661" t="s">
        <v>74</v>
      </c>
      <c r="AR661" t="s">
        <v>12397</v>
      </c>
      <c r="AS661" t="s">
        <v>12398</v>
      </c>
      <c r="AT661" t="s">
        <v>12399</v>
      </c>
      <c r="AU661">
        <v>2015</v>
      </c>
      <c r="AV661">
        <v>6</v>
      </c>
      <c r="AW661" t="s">
        <v>74</v>
      </c>
      <c r="AX661" t="s">
        <v>74</v>
      </c>
      <c r="AY661" t="s">
        <v>74</v>
      </c>
      <c r="AZ661" t="s">
        <v>74</v>
      </c>
      <c r="BA661" t="s">
        <v>74</v>
      </c>
      <c r="BB661" t="s">
        <v>74</v>
      </c>
      <c r="BC661" t="s">
        <v>74</v>
      </c>
      <c r="BD661">
        <v>1347</v>
      </c>
      <c r="BE661" t="s">
        <v>12400</v>
      </c>
      <c r="BF661" t="str">
        <f>HYPERLINK("http://dx.doi.org/10.3389/fmicb.2015.01347","http://dx.doi.org/10.3389/fmicb.2015.01347")</f>
        <v>http://dx.doi.org/10.3389/fmicb.2015.01347</v>
      </c>
      <c r="BG661" t="s">
        <v>74</v>
      </c>
      <c r="BH661" t="s">
        <v>74</v>
      </c>
      <c r="BI661">
        <v>9</v>
      </c>
      <c r="BJ661" t="s">
        <v>5726</v>
      </c>
      <c r="BK661" t="s">
        <v>264</v>
      </c>
      <c r="BL661" t="s">
        <v>5726</v>
      </c>
      <c r="BM661" t="s">
        <v>12401</v>
      </c>
      <c r="BN661">
        <v>26696969</v>
      </c>
      <c r="BO661" t="s">
        <v>511</v>
      </c>
      <c r="BP661" t="s">
        <v>74</v>
      </c>
      <c r="BQ661" t="s">
        <v>74</v>
      </c>
      <c r="BR661" t="s">
        <v>100</v>
      </c>
      <c r="BS661" t="s">
        <v>12402</v>
      </c>
      <c r="BT661" t="str">
        <f>HYPERLINK("https%3A%2F%2Fwww.webofscience.com%2Fwos%2Fwoscc%2Ffull-record%2FWOS:000366705300001","View Full Record in Web of Science")</f>
        <v>View Full Record in Web of Science</v>
      </c>
    </row>
    <row r="662" spans="1:72" x14ac:dyDescent="0.15">
      <c r="A662" t="s">
        <v>72</v>
      </c>
      <c r="B662" t="s">
        <v>12403</v>
      </c>
      <c r="C662" t="s">
        <v>74</v>
      </c>
      <c r="D662" t="s">
        <v>74</v>
      </c>
      <c r="E662" t="s">
        <v>74</v>
      </c>
      <c r="F662" t="s">
        <v>12404</v>
      </c>
      <c r="G662" t="s">
        <v>74</v>
      </c>
      <c r="H662" t="s">
        <v>74</v>
      </c>
      <c r="I662" t="s">
        <v>12405</v>
      </c>
      <c r="J662" t="s">
        <v>11834</v>
      </c>
      <c r="K662" t="s">
        <v>74</v>
      </c>
      <c r="L662" t="s">
        <v>74</v>
      </c>
      <c r="M662" t="s">
        <v>200</v>
      </c>
      <c r="N662" t="s">
        <v>79</v>
      </c>
      <c r="O662" t="s">
        <v>74</v>
      </c>
      <c r="P662" t="s">
        <v>74</v>
      </c>
      <c r="Q662" t="s">
        <v>74</v>
      </c>
      <c r="R662" t="s">
        <v>74</v>
      </c>
      <c r="S662" t="s">
        <v>74</v>
      </c>
      <c r="T662" t="s">
        <v>74</v>
      </c>
      <c r="U662" t="s">
        <v>12406</v>
      </c>
      <c r="V662" t="s">
        <v>12407</v>
      </c>
      <c r="W662" t="s">
        <v>12408</v>
      </c>
      <c r="X662" t="s">
        <v>12409</v>
      </c>
      <c r="Y662" t="s">
        <v>12410</v>
      </c>
      <c r="Z662" t="s">
        <v>12411</v>
      </c>
      <c r="AA662" t="s">
        <v>12412</v>
      </c>
      <c r="AB662" t="s">
        <v>12413</v>
      </c>
      <c r="AC662" t="s">
        <v>12414</v>
      </c>
      <c r="AD662" t="s">
        <v>12415</v>
      </c>
      <c r="AE662" t="s">
        <v>12416</v>
      </c>
      <c r="AF662" t="s">
        <v>74</v>
      </c>
      <c r="AG662">
        <v>35</v>
      </c>
      <c r="AH662">
        <v>12</v>
      </c>
      <c r="AI662">
        <v>16</v>
      </c>
      <c r="AJ662">
        <v>1</v>
      </c>
      <c r="AK662">
        <v>11</v>
      </c>
      <c r="AL662" t="s">
        <v>11845</v>
      </c>
      <c r="AM662" t="s">
        <v>2354</v>
      </c>
      <c r="AN662" t="s">
        <v>11846</v>
      </c>
      <c r="AO662" t="s">
        <v>11847</v>
      </c>
      <c r="AP662" t="s">
        <v>74</v>
      </c>
      <c r="AQ662" t="s">
        <v>74</v>
      </c>
      <c r="AR662" t="s">
        <v>11848</v>
      </c>
      <c r="AS662" t="s">
        <v>11849</v>
      </c>
      <c r="AT662" t="s">
        <v>12399</v>
      </c>
      <c r="AU662">
        <v>2015</v>
      </c>
      <c r="AV662">
        <v>5</v>
      </c>
      <c r="AW662" t="s">
        <v>74</v>
      </c>
      <c r="AX662" t="s">
        <v>74</v>
      </c>
      <c r="AY662" t="s">
        <v>74</v>
      </c>
      <c r="AZ662" t="s">
        <v>74</v>
      </c>
      <c r="BA662" t="s">
        <v>74</v>
      </c>
      <c r="BB662" t="s">
        <v>74</v>
      </c>
      <c r="BC662" t="s">
        <v>74</v>
      </c>
      <c r="BD662">
        <v>17813</v>
      </c>
      <c r="BE662" t="s">
        <v>12417</v>
      </c>
      <c r="BF662" t="str">
        <f>HYPERLINK("http://dx.doi.org/10.1038/srep17813","http://dx.doi.org/10.1038/srep17813")</f>
        <v>http://dx.doi.org/10.1038/srep17813</v>
      </c>
      <c r="BG662" t="s">
        <v>74</v>
      </c>
      <c r="BH662" t="s">
        <v>74</v>
      </c>
      <c r="BI662">
        <v>7</v>
      </c>
      <c r="BJ662" t="s">
        <v>3540</v>
      </c>
      <c r="BK662" t="s">
        <v>264</v>
      </c>
      <c r="BL662" t="s">
        <v>3541</v>
      </c>
      <c r="BM662" t="s">
        <v>12418</v>
      </c>
      <c r="BN662">
        <v>26647733</v>
      </c>
      <c r="BO662" t="s">
        <v>2519</v>
      </c>
      <c r="BP662" t="s">
        <v>74</v>
      </c>
      <c r="BQ662" t="s">
        <v>74</v>
      </c>
      <c r="BR662" t="s">
        <v>100</v>
      </c>
      <c r="BS662" t="s">
        <v>12419</v>
      </c>
      <c r="BT662" t="str">
        <f>HYPERLINK("https%3A%2F%2Fwww.webofscience.com%2Fwos%2Fwoscc%2Ffull-record%2FWOS:000366035500001","View Full Record in Web of Science")</f>
        <v>View Full Record in Web of Science</v>
      </c>
    </row>
    <row r="663" spans="1:72" x14ac:dyDescent="0.15">
      <c r="A663" t="s">
        <v>72</v>
      </c>
      <c r="B663" t="s">
        <v>12420</v>
      </c>
      <c r="C663" t="s">
        <v>74</v>
      </c>
      <c r="D663" t="s">
        <v>74</v>
      </c>
      <c r="E663" t="s">
        <v>74</v>
      </c>
      <c r="F663" t="s">
        <v>12421</v>
      </c>
      <c r="G663" t="s">
        <v>74</v>
      </c>
      <c r="H663" t="s">
        <v>74</v>
      </c>
      <c r="I663" t="s">
        <v>12422</v>
      </c>
      <c r="J663" t="s">
        <v>8422</v>
      </c>
      <c r="K663" t="s">
        <v>74</v>
      </c>
      <c r="L663" t="s">
        <v>74</v>
      </c>
      <c r="M663" t="s">
        <v>200</v>
      </c>
      <c r="N663" t="s">
        <v>79</v>
      </c>
      <c r="O663" t="s">
        <v>74</v>
      </c>
      <c r="P663" t="s">
        <v>74</v>
      </c>
      <c r="Q663" t="s">
        <v>74</v>
      </c>
      <c r="R663" t="s">
        <v>74</v>
      </c>
      <c r="S663" t="s">
        <v>74</v>
      </c>
      <c r="T663" t="s">
        <v>12423</v>
      </c>
      <c r="U663" t="s">
        <v>12424</v>
      </c>
      <c r="V663" t="s">
        <v>12425</v>
      </c>
      <c r="W663" t="s">
        <v>12426</v>
      </c>
      <c r="X663" t="s">
        <v>12427</v>
      </c>
      <c r="Y663" t="s">
        <v>12428</v>
      </c>
      <c r="Z663" t="s">
        <v>12429</v>
      </c>
      <c r="AA663" t="s">
        <v>12430</v>
      </c>
      <c r="AB663" t="s">
        <v>12431</v>
      </c>
      <c r="AC663" t="s">
        <v>12432</v>
      </c>
      <c r="AD663" t="s">
        <v>12433</v>
      </c>
      <c r="AE663" t="s">
        <v>12434</v>
      </c>
      <c r="AF663" t="s">
        <v>74</v>
      </c>
      <c r="AG663">
        <v>59</v>
      </c>
      <c r="AH663">
        <v>1</v>
      </c>
      <c r="AI663">
        <v>1</v>
      </c>
      <c r="AJ663">
        <v>0</v>
      </c>
      <c r="AK663">
        <v>27</v>
      </c>
      <c r="AL663" t="s">
        <v>1385</v>
      </c>
      <c r="AM663" t="s">
        <v>1386</v>
      </c>
      <c r="AN663" t="s">
        <v>1387</v>
      </c>
      <c r="AO663" t="s">
        <v>8433</v>
      </c>
      <c r="AP663" t="s">
        <v>74</v>
      </c>
      <c r="AQ663" t="s">
        <v>74</v>
      </c>
      <c r="AR663" t="s">
        <v>8434</v>
      </c>
      <c r="AS663" t="s">
        <v>8435</v>
      </c>
      <c r="AT663" t="s">
        <v>12435</v>
      </c>
      <c r="AU663">
        <v>2015</v>
      </c>
      <c r="AV663">
        <v>3</v>
      </c>
      <c r="AW663" t="s">
        <v>74</v>
      </c>
      <c r="AX663" t="s">
        <v>74</v>
      </c>
      <c r="AY663" t="s">
        <v>74</v>
      </c>
      <c r="AZ663" t="s">
        <v>74</v>
      </c>
      <c r="BA663" t="s">
        <v>74</v>
      </c>
      <c r="BB663" t="s">
        <v>74</v>
      </c>
      <c r="BC663" t="s">
        <v>74</v>
      </c>
      <c r="BD663" t="s">
        <v>12436</v>
      </c>
      <c r="BE663" t="s">
        <v>12437</v>
      </c>
      <c r="BF663" t="str">
        <f>HYPERLINK("http://dx.doi.org/10.1093/conphys/cov049","http://dx.doi.org/10.1093/conphys/cov049")</f>
        <v>http://dx.doi.org/10.1093/conphys/cov049</v>
      </c>
      <c r="BG663" t="s">
        <v>74</v>
      </c>
      <c r="BH663" t="s">
        <v>74</v>
      </c>
      <c r="BI663">
        <v>12</v>
      </c>
      <c r="BJ663" t="s">
        <v>8438</v>
      </c>
      <c r="BK663" t="s">
        <v>264</v>
      </c>
      <c r="BL663" t="s">
        <v>8439</v>
      </c>
      <c r="BM663" t="s">
        <v>12438</v>
      </c>
      <c r="BN663">
        <v>27293733</v>
      </c>
      <c r="BO663" t="s">
        <v>12439</v>
      </c>
      <c r="BP663" t="s">
        <v>74</v>
      </c>
      <c r="BQ663" t="s">
        <v>74</v>
      </c>
      <c r="BR663" t="s">
        <v>100</v>
      </c>
      <c r="BS663" t="s">
        <v>12440</v>
      </c>
      <c r="BT663" t="str">
        <f>HYPERLINK("https%3A%2F%2Fwww.webofscience.com%2Fwos%2Fwoscc%2Ffull-record%2FWOS:000375201800001","View Full Record in Web of Science")</f>
        <v>View Full Record in Web of Science</v>
      </c>
    </row>
    <row r="664" spans="1:72" x14ac:dyDescent="0.15">
      <c r="A664" t="s">
        <v>72</v>
      </c>
      <c r="B664" t="s">
        <v>12441</v>
      </c>
      <c r="C664" t="s">
        <v>74</v>
      </c>
      <c r="D664" t="s">
        <v>74</v>
      </c>
      <c r="E664" t="s">
        <v>74</v>
      </c>
      <c r="F664" t="s">
        <v>12442</v>
      </c>
      <c r="G664" t="s">
        <v>74</v>
      </c>
      <c r="H664" t="s">
        <v>74</v>
      </c>
      <c r="I664" t="s">
        <v>12443</v>
      </c>
      <c r="J664" t="s">
        <v>12323</v>
      </c>
      <c r="K664" t="s">
        <v>74</v>
      </c>
      <c r="L664" t="s">
        <v>74</v>
      </c>
      <c r="M664" t="s">
        <v>200</v>
      </c>
      <c r="N664" t="s">
        <v>79</v>
      </c>
      <c r="O664" t="s">
        <v>74</v>
      </c>
      <c r="P664" t="s">
        <v>74</v>
      </c>
      <c r="Q664" t="s">
        <v>74</v>
      </c>
      <c r="R664" t="s">
        <v>74</v>
      </c>
      <c r="S664" t="s">
        <v>74</v>
      </c>
      <c r="T664" t="s">
        <v>74</v>
      </c>
      <c r="U664" t="s">
        <v>12444</v>
      </c>
      <c r="V664" t="s">
        <v>12445</v>
      </c>
      <c r="W664" t="s">
        <v>12446</v>
      </c>
      <c r="X664" t="s">
        <v>12447</v>
      </c>
      <c r="Y664" t="s">
        <v>12448</v>
      </c>
      <c r="Z664" t="s">
        <v>12449</v>
      </c>
      <c r="AA664" t="s">
        <v>12450</v>
      </c>
      <c r="AB664" t="s">
        <v>12451</v>
      </c>
      <c r="AC664" t="s">
        <v>12452</v>
      </c>
      <c r="AD664" t="s">
        <v>12453</v>
      </c>
      <c r="AE664" t="s">
        <v>12454</v>
      </c>
      <c r="AF664" t="s">
        <v>74</v>
      </c>
      <c r="AG664">
        <v>89</v>
      </c>
      <c r="AH664">
        <v>8</v>
      </c>
      <c r="AI664">
        <v>11</v>
      </c>
      <c r="AJ664">
        <v>0</v>
      </c>
      <c r="AK664">
        <v>4</v>
      </c>
      <c r="AL664" t="s">
        <v>12335</v>
      </c>
      <c r="AM664" t="s">
        <v>5664</v>
      </c>
      <c r="AN664" t="s">
        <v>12336</v>
      </c>
      <c r="AO664" t="s">
        <v>12337</v>
      </c>
      <c r="AP664" t="s">
        <v>74</v>
      </c>
      <c r="AQ664" t="s">
        <v>74</v>
      </c>
      <c r="AR664" t="s">
        <v>12323</v>
      </c>
      <c r="AS664" t="s">
        <v>12338</v>
      </c>
      <c r="AT664" t="s">
        <v>12455</v>
      </c>
      <c r="AU664">
        <v>2015</v>
      </c>
      <c r="AV664">
        <v>10</v>
      </c>
      <c r="AW664">
        <v>12</v>
      </c>
      <c r="AX664" t="s">
        <v>74</v>
      </c>
      <c r="AY664" t="s">
        <v>74</v>
      </c>
      <c r="AZ664" t="s">
        <v>74</v>
      </c>
      <c r="BA664" t="s">
        <v>74</v>
      </c>
      <c r="BB664" t="s">
        <v>74</v>
      </c>
      <c r="BC664" t="s">
        <v>74</v>
      </c>
      <c r="BD664" t="s">
        <v>12456</v>
      </c>
      <c r="BE664" t="s">
        <v>12457</v>
      </c>
      <c r="BF664" t="str">
        <f>HYPERLINK("http://dx.doi.org/10.1371/journal.pone.0144130","http://dx.doi.org/10.1371/journal.pone.0144130")</f>
        <v>http://dx.doi.org/10.1371/journal.pone.0144130</v>
      </c>
      <c r="BG664" t="s">
        <v>74</v>
      </c>
      <c r="BH664" t="s">
        <v>74</v>
      </c>
      <c r="BI664">
        <v>18</v>
      </c>
      <c r="BJ664" t="s">
        <v>3540</v>
      </c>
      <c r="BK664" t="s">
        <v>264</v>
      </c>
      <c r="BL664" t="s">
        <v>3541</v>
      </c>
      <c r="BM664" t="s">
        <v>12458</v>
      </c>
      <c r="BN664">
        <v>26641669</v>
      </c>
      <c r="BO664" t="s">
        <v>7447</v>
      </c>
      <c r="BP664" t="s">
        <v>74</v>
      </c>
      <c r="BQ664" t="s">
        <v>74</v>
      </c>
      <c r="BR664" t="s">
        <v>100</v>
      </c>
      <c r="BS664" t="s">
        <v>12459</v>
      </c>
      <c r="BT664" t="str">
        <f>HYPERLINK("https%3A%2F%2Fwww.webofscience.com%2Fwos%2Fwoscc%2Ffull-record%2FWOS:000366902700060","View Full Record in Web of Science")</f>
        <v>View Full Record in Web of Science</v>
      </c>
    </row>
    <row r="665" spans="1:72" x14ac:dyDescent="0.15">
      <c r="A665" t="s">
        <v>72</v>
      </c>
      <c r="B665" t="s">
        <v>12460</v>
      </c>
      <c r="C665" t="s">
        <v>74</v>
      </c>
      <c r="D665" t="s">
        <v>74</v>
      </c>
      <c r="E665" t="s">
        <v>74</v>
      </c>
      <c r="F665" t="s">
        <v>12461</v>
      </c>
      <c r="G665" t="s">
        <v>74</v>
      </c>
      <c r="H665" t="s">
        <v>74</v>
      </c>
      <c r="I665" t="s">
        <v>12462</v>
      </c>
      <c r="J665" t="s">
        <v>12463</v>
      </c>
      <c r="K665" t="s">
        <v>74</v>
      </c>
      <c r="L665" t="s">
        <v>74</v>
      </c>
      <c r="M665" t="s">
        <v>200</v>
      </c>
      <c r="N665" t="s">
        <v>79</v>
      </c>
      <c r="O665" t="s">
        <v>74</v>
      </c>
      <c r="P665" t="s">
        <v>74</v>
      </c>
      <c r="Q665" t="s">
        <v>74</v>
      </c>
      <c r="R665" t="s">
        <v>74</v>
      </c>
      <c r="S665" t="s">
        <v>74</v>
      </c>
      <c r="T665" t="s">
        <v>12464</v>
      </c>
      <c r="U665" t="s">
        <v>12465</v>
      </c>
      <c r="V665" t="s">
        <v>12466</v>
      </c>
      <c r="W665" t="s">
        <v>12467</v>
      </c>
      <c r="X665" t="s">
        <v>12468</v>
      </c>
      <c r="Y665" t="s">
        <v>12469</v>
      </c>
      <c r="Z665" t="s">
        <v>12470</v>
      </c>
      <c r="AA665" t="s">
        <v>12471</v>
      </c>
      <c r="AB665" t="s">
        <v>74</v>
      </c>
      <c r="AC665" t="s">
        <v>12472</v>
      </c>
      <c r="AD665" t="s">
        <v>12473</v>
      </c>
      <c r="AE665" t="s">
        <v>12474</v>
      </c>
      <c r="AF665" t="s">
        <v>74</v>
      </c>
      <c r="AG665">
        <v>97</v>
      </c>
      <c r="AH665">
        <v>5</v>
      </c>
      <c r="AI665">
        <v>7</v>
      </c>
      <c r="AJ665">
        <v>1</v>
      </c>
      <c r="AK665">
        <v>23</v>
      </c>
      <c r="AL665" t="s">
        <v>7137</v>
      </c>
      <c r="AM665" t="s">
        <v>209</v>
      </c>
      <c r="AN665" t="s">
        <v>7138</v>
      </c>
      <c r="AO665" t="s">
        <v>12475</v>
      </c>
      <c r="AP665" t="s">
        <v>12476</v>
      </c>
      <c r="AQ665" t="s">
        <v>74</v>
      </c>
      <c r="AR665" t="s">
        <v>12477</v>
      </c>
      <c r="AS665" t="s">
        <v>12478</v>
      </c>
      <c r="AT665" t="s">
        <v>12479</v>
      </c>
      <c r="AU665">
        <v>2015</v>
      </c>
      <c r="AV665">
        <v>417</v>
      </c>
      <c r="AW665" t="s">
        <v>74</v>
      </c>
      <c r="AX665" t="s">
        <v>74</v>
      </c>
      <c r="AY665" t="s">
        <v>74</v>
      </c>
      <c r="AZ665" t="s">
        <v>74</v>
      </c>
      <c r="BA665" t="s">
        <v>74</v>
      </c>
      <c r="BB665">
        <v>102</v>
      </c>
      <c r="BC665">
        <v>114</v>
      </c>
      <c r="BD665" t="s">
        <v>74</v>
      </c>
      <c r="BE665" t="s">
        <v>12480</v>
      </c>
      <c r="BF665" t="str">
        <f>HYPERLINK("http://dx.doi.org/10.1016/j.chemgeo.2015.10.002","http://dx.doi.org/10.1016/j.chemgeo.2015.10.002")</f>
        <v>http://dx.doi.org/10.1016/j.chemgeo.2015.10.002</v>
      </c>
      <c r="BG665" t="s">
        <v>74</v>
      </c>
      <c r="BH665" t="s">
        <v>74</v>
      </c>
      <c r="BI665">
        <v>13</v>
      </c>
      <c r="BJ665" t="s">
        <v>4474</v>
      </c>
      <c r="BK665" t="s">
        <v>264</v>
      </c>
      <c r="BL665" t="s">
        <v>4474</v>
      </c>
      <c r="BM665" t="s">
        <v>12481</v>
      </c>
      <c r="BN665" t="s">
        <v>74</v>
      </c>
      <c r="BO665" t="s">
        <v>74</v>
      </c>
      <c r="BP665" t="s">
        <v>74</v>
      </c>
      <c r="BQ665" t="s">
        <v>74</v>
      </c>
      <c r="BR665" t="s">
        <v>100</v>
      </c>
      <c r="BS665" t="s">
        <v>12482</v>
      </c>
      <c r="BT665" t="str">
        <f>HYPERLINK("https%3A%2F%2Fwww.webofscience.com%2Fwos%2Fwoscc%2Ffull-record%2FWOS:000365098800009","View Full Record in Web of Science")</f>
        <v>View Full Record in Web of Science</v>
      </c>
    </row>
    <row r="666" spans="1:72" x14ac:dyDescent="0.15">
      <c r="A666" t="s">
        <v>72</v>
      </c>
      <c r="B666" t="s">
        <v>12483</v>
      </c>
      <c r="C666" t="s">
        <v>74</v>
      </c>
      <c r="D666" t="s">
        <v>74</v>
      </c>
      <c r="E666" t="s">
        <v>74</v>
      </c>
      <c r="F666" t="s">
        <v>12484</v>
      </c>
      <c r="G666" t="s">
        <v>74</v>
      </c>
      <c r="H666" t="s">
        <v>74</v>
      </c>
      <c r="I666" t="s">
        <v>12485</v>
      </c>
      <c r="J666" t="s">
        <v>12486</v>
      </c>
      <c r="K666" t="s">
        <v>74</v>
      </c>
      <c r="L666" t="s">
        <v>74</v>
      </c>
      <c r="M666" t="s">
        <v>200</v>
      </c>
      <c r="N666" t="s">
        <v>5662</v>
      </c>
      <c r="O666" t="s">
        <v>74</v>
      </c>
      <c r="P666" t="s">
        <v>74</v>
      </c>
      <c r="Q666" t="s">
        <v>74</v>
      </c>
      <c r="R666" t="s">
        <v>74</v>
      </c>
      <c r="S666" t="s">
        <v>74</v>
      </c>
      <c r="T666" t="s">
        <v>74</v>
      </c>
      <c r="U666" t="s">
        <v>74</v>
      </c>
      <c r="V666" t="s">
        <v>74</v>
      </c>
      <c r="W666" t="s">
        <v>74</v>
      </c>
      <c r="X666" t="s">
        <v>74</v>
      </c>
      <c r="Y666" t="s">
        <v>74</v>
      </c>
      <c r="Z666" t="s">
        <v>74</v>
      </c>
      <c r="AA666" t="s">
        <v>74</v>
      </c>
      <c r="AB666" t="s">
        <v>74</v>
      </c>
      <c r="AC666" t="s">
        <v>74</v>
      </c>
      <c r="AD666" t="s">
        <v>74</v>
      </c>
      <c r="AE666" t="s">
        <v>74</v>
      </c>
      <c r="AF666" t="s">
        <v>74</v>
      </c>
      <c r="AG666">
        <v>0</v>
      </c>
      <c r="AH666">
        <v>0</v>
      </c>
      <c r="AI666">
        <v>0</v>
      </c>
      <c r="AJ666">
        <v>0</v>
      </c>
      <c r="AK666">
        <v>0</v>
      </c>
      <c r="AL666" t="s">
        <v>12487</v>
      </c>
      <c r="AM666" t="s">
        <v>12488</v>
      </c>
      <c r="AN666" t="s">
        <v>12489</v>
      </c>
      <c r="AO666" t="s">
        <v>12490</v>
      </c>
      <c r="AP666" t="s">
        <v>74</v>
      </c>
      <c r="AQ666" t="s">
        <v>74</v>
      </c>
      <c r="AR666" t="s">
        <v>12491</v>
      </c>
      <c r="AS666" t="s">
        <v>12492</v>
      </c>
      <c r="AT666" t="s">
        <v>12493</v>
      </c>
      <c r="AU666">
        <v>2015</v>
      </c>
      <c r="AV666">
        <v>228</v>
      </c>
      <c r="AW666">
        <v>3050</v>
      </c>
      <c r="AX666" t="s">
        <v>74</v>
      </c>
      <c r="AY666" t="s">
        <v>74</v>
      </c>
      <c r="AZ666" t="s">
        <v>74</v>
      </c>
      <c r="BA666" t="s">
        <v>74</v>
      </c>
      <c r="BB666">
        <v>11</v>
      </c>
      <c r="BC666">
        <v>11</v>
      </c>
      <c r="BD666" t="s">
        <v>74</v>
      </c>
      <c r="BE666" t="s">
        <v>74</v>
      </c>
      <c r="BF666" t="s">
        <v>74</v>
      </c>
      <c r="BG666" t="s">
        <v>74</v>
      </c>
      <c r="BH666" t="s">
        <v>74</v>
      </c>
      <c r="BI666">
        <v>1</v>
      </c>
      <c r="BJ666" t="s">
        <v>3540</v>
      </c>
      <c r="BK666" t="s">
        <v>264</v>
      </c>
      <c r="BL666" t="s">
        <v>3541</v>
      </c>
      <c r="BM666" t="s">
        <v>12494</v>
      </c>
      <c r="BN666" t="s">
        <v>74</v>
      </c>
      <c r="BO666" t="s">
        <v>74</v>
      </c>
      <c r="BP666" t="s">
        <v>74</v>
      </c>
      <c r="BQ666" t="s">
        <v>74</v>
      </c>
      <c r="BR666" t="s">
        <v>100</v>
      </c>
      <c r="BS666" t="s">
        <v>12495</v>
      </c>
      <c r="BT666" t="str">
        <f>HYPERLINK("https%3A%2F%2Fwww.webofscience.com%2Fwos%2Fwoscc%2Ffull-record%2FWOS:000365840900005","View Full Record in Web of Science")</f>
        <v>View Full Record in Web of Science</v>
      </c>
    </row>
    <row r="667" spans="1:72" x14ac:dyDescent="0.15">
      <c r="A667" t="s">
        <v>72</v>
      </c>
      <c r="B667" t="s">
        <v>12496</v>
      </c>
      <c r="C667" t="s">
        <v>74</v>
      </c>
      <c r="D667" t="s">
        <v>74</v>
      </c>
      <c r="E667" t="s">
        <v>74</v>
      </c>
      <c r="F667" t="s">
        <v>12497</v>
      </c>
      <c r="G667" t="s">
        <v>74</v>
      </c>
      <c r="H667" t="s">
        <v>74</v>
      </c>
      <c r="I667" t="s">
        <v>12498</v>
      </c>
      <c r="J667" t="s">
        <v>12499</v>
      </c>
      <c r="K667" t="s">
        <v>74</v>
      </c>
      <c r="L667" t="s">
        <v>74</v>
      </c>
      <c r="M667" t="s">
        <v>200</v>
      </c>
      <c r="N667" t="s">
        <v>79</v>
      </c>
      <c r="O667" t="s">
        <v>74</v>
      </c>
      <c r="P667" t="s">
        <v>74</v>
      </c>
      <c r="Q667" t="s">
        <v>74</v>
      </c>
      <c r="R667" t="s">
        <v>74</v>
      </c>
      <c r="S667" t="s">
        <v>74</v>
      </c>
      <c r="T667" t="s">
        <v>12500</v>
      </c>
      <c r="U667" t="s">
        <v>12501</v>
      </c>
      <c r="V667" t="s">
        <v>12502</v>
      </c>
      <c r="W667" t="s">
        <v>12503</v>
      </c>
      <c r="X667" t="s">
        <v>12504</v>
      </c>
      <c r="Y667" t="s">
        <v>12505</v>
      </c>
      <c r="Z667" t="s">
        <v>12506</v>
      </c>
      <c r="AA667" t="s">
        <v>12507</v>
      </c>
      <c r="AB667" t="s">
        <v>12508</v>
      </c>
      <c r="AC667" t="s">
        <v>74</v>
      </c>
      <c r="AD667" t="s">
        <v>74</v>
      </c>
      <c r="AE667" t="s">
        <v>74</v>
      </c>
      <c r="AF667" t="s">
        <v>74</v>
      </c>
      <c r="AG667">
        <v>48</v>
      </c>
      <c r="AH667">
        <v>5</v>
      </c>
      <c r="AI667">
        <v>5</v>
      </c>
      <c r="AJ667">
        <v>0</v>
      </c>
      <c r="AK667">
        <v>3</v>
      </c>
      <c r="AL667" t="s">
        <v>12509</v>
      </c>
      <c r="AM667" t="s">
        <v>12510</v>
      </c>
      <c r="AN667" t="s">
        <v>12511</v>
      </c>
      <c r="AO667" t="s">
        <v>12512</v>
      </c>
      <c r="AP667" t="s">
        <v>12513</v>
      </c>
      <c r="AQ667" t="s">
        <v>74</v>
      </c>
      <c r="AR667" t="s">
        <v>12499</v>
      </c>
      <c r="AS667" t="s">
        <v>12514</v>
      </c>
      <c r="AT667" t="s">
        <v>12515</v>
      </c>
      <c r="AU667">
        <v>2015</v>
      </c>
      <c r="AV667">
        <v>4052</v>
      </c>
      <c r="AW667">
        <v>4</v>
      </c>
      <c r="AX667" t="s">
        <v>74</v>
      </c>
      <c r="AY667" t="s">
        <v>74</v>
      </c>
      <c r="AZ667" t="s">
        <v>74</v>
      </c>
      <c r="BA667" t="s">
        <v>74</v>
      </c>
      <c r="BB667">
        <v>401</v>
      </c>
      <c r="BC667">
        <v>441</v>
      </c>
      <c r="BD667" t="s">
        <v>74</v>
      </c>
      <c r="BE667" t="s">
        <v>12516</v>
      </c>
      <c r="BF667" t="str">
        <f>HYPERLINK("http://dx.doi.org/10.11646/zootaxa.4052.4.1","http://dx.doi.org/10.11646/zootaxa.4052.4.1")</f>
        <v>http://dx.doi.org/10.11646/zootaxa.4052.4.1</v>
      </c>
      <c r="BG667" t="s">
        <v>74</v>
      </c>
      <c r="BH667" t="s">
        <v>74</v>
      </c>
      <c r="BI667">
        <v>41</v>
      </c>
      <c r="BJ667" t="s">
        <v>672</v>
      </c>
      <c r="BK667" t="s">
        <v>264</v>
      </c>
      <c r="BL667" t="s">
        <v>672</v>
      </c>
      <c r="BM667" t="s">
        <v>12517</v>
      </c>
      <c r="BN667">
        <v>26701440</v>
      </c>
      <c r="BO667" t="s">
        <v>74</v>
      </c>
      <c r="BP667" t="s">
        <v>74</v>
      </c>
      <c r="BQ667" t="s">
        <v>74</v>
      </c>
      <c r="BR667" t="s">
        <v>100</v>
      </c>
      <c r="BS667" t="s">
        <v>12518</v>
      </c>
      <c r="BT667" t="str">
        <f>HYPERLINK("https%3A%2F%2Fwww.webofscience.com%2Fwos%2Fwoscc%2Ffull-record%2FWOS:000365885200001","View Full Record in Web of Science")</f>
        <v>View Full Record in Web of Science</v>
      </c>
    </row>
    <row r="668" spans="1:72" x14ac:dyDescent="0.15">
      <c r="A668" t="s">
        <v>72</v>
      </c>
      <c r="B668" t="s">
        <v>12519</v>
      </c>
      <c r="C668" t="s">
        <v>74</v>
      </c>
      <c r="D668" t="s">
        <v>74</v>
      </c>
      <c r="E668" t="s">
        <v>74</v>
      </c>
      <c r="F668" t="s">
        <v>12520</v>
      </c>
      <c r="G668" t="s">
        <v>74</v>
      </c>
      <c r="H668" t="s">
        <v>74</v>
      </c>
      <c r="I668" t="s">
        <v>12521</v>
      </c>
      <c r="J668" t="s">
        <v>12522</v>
      </c>
      <c r="K668" t="s">
        <v>74</v>
      </c>
      <c r="L668" t="s">
        <v>74</v>
      </c>
      <c r="M668" t="s">
        <v>200</v>
      </c>
      <c r="N668" t="s">
        <v>79</v>
      </c>
      <c r="O668" t="s">
        <v>74</v>
      </c>
      <c r="P668" t="s">
        <v>74</v>
      </c>
      <c r="Q668" t="s">
        <v>74</v>
      </c>
      <c r="R668" t="s">
        <v>74</v>
      </c>
      <c r="S668" t="s">
        <v>74</v>
      </c>
      <c r="T668" t="s">
        <v>74</v>
      </c>
      <c r="U668" t="s">
        <v>12523</v>
      </c>
      <c r="V668" t="s">
        <v>12524</v>
      </c>
      <c r="W668" t="s">
        <v>12525</v>
      </c>
      <c r="X668" t="s">
        <v>12526</v>
      </c>
      <c r="Y668" t="s">
        <v>12527</v>
      </c>
      <c r="Z668" t="s">
        <v>12528</v>
      </c>
      <c r="AA668" t="s">
        <v>12529</v>
      </c>
      <c r="AB668" t="s">
        <v>12530</v>
      </c>
      <c r="AC668" t="s">
        <v>12531</v>
      </c>
      <c r="AD668" t="s">
        <v>12532</v>
      </c>
      <c r="AE668" t="s">
        <v>12533</v>
      </c>
      <c r="AF668" t="s">
        <v>74</v>
      </c>
      <c r="AG668">
        <v>44</v>
      </c>
      <c r="AH668">
        <v>140</v>
      </c>
      <c r="AI668">
        <v>150</v>
      </c>
      <c r="AJ668">
        <v>0</v>
      </c>
      <c r="AK668">
        <v>143</v>
      </c>
      <c r="AL668" t="s">
        <v>7256</v>
      </c>
      <c r="AM668" t="s">
        <v>2100</v>
      </c>
      <c r="AN668" t="s">
        <v>7257</v>
      </c>
      <c r="AO668" t="s">
        <v>12534</v>
      </c>
      <c r="AP668" t="s">
        <v>12535</v>
      </c>
      <c r="AQ668" t="s">
        <v>74</v>
      </c>
      <c r="AR668" t="s">
        <v>12522</v>
      </c>
      <c r="AS668" t="s">
        <v>12536</v>
      </c>
      <c r="AT668" t="s">
        <v>12537</v>
      </c>
      <c r="AU668">
        <v>2015</v>
      </c>
      <c r="AV668">
        <v>528</v>
      </c>
      <c r="AW668">
        <v>7580</v>
      </c>
      <c r="AX668" t="s">
        <v>74</v>
      </c>
      <c r="AY668" t="s">
        <v>74</v>
      </c>
      <c r="AZ668" t="s">
        <v>74</v>
      </c>
      <c r="BA668" t="s">
        <v>74</v>
      </c>
      <c r="BB668">
        <v>88</v>
      </c>
      <c r="BC668" t="s">
        <v>7262</v>
      </c>
      <c r="BD668" t="s">
        <v>74</v>
      </c>
      <c r="BE668" t="s">
        <v>12538</v>
      </c>
      <c r="BF668" t="str">
        <f>HYPERLINK("http://dx.doi.org/10.1038/nature16144","http://dx.doi.org/10.1038/nature16144")</f>
        <v>http://dx.doi.org/10.1038/nature16144</v>
      </c>
      <c r="BG668" t="s">
        <v>74</v>
      </c>
      <c r="BH668" t="s">
        <v>74</v>
      </c>
      <c r="BI668">
        <v>17</v>
      </c>
      <c r="BJ668" t="s">
        <v>3540</v>
      </c>
      <c r="BK668" t="s">
        <v>264</v>
      </c>
      <c r="BL668" t="s">
        <v>3541</v>
      </c>
      <c r="BM668" t="s">
        <v>12539</v>
      </c>
      <c r="BN668">
        <v>26560025</v>
      </c>
      <c r="BO668" t="s">
        <v>74</v>
      </c>
      <c r="BP668" t="s">
        <v>74</v>
      </c>
      <c r="BQ668" t="s">
        <v>74</v>
      </c>
      <c r="BR668" t="s">
        <v>100</v>
      </c>
      <c r="BS668" t="s">
        <v>12540</v>
      </c>
      <c r="BT668" t="str">
        <f>HYPERLINK("https%3A%2F%2Fwww.webofscience.com%2Fwos%2Fwoscc%2Ffull-record%2FWOS:000365606000053","View Full Record in Web of Science")</f>
        <v>View Full Record in Web of Science</v>
      </c>
    </row>
    <row r="669" spans="1:72" x14ac:dyDescent="0.15">
      <c r="A669" t="s">
        <v>72</v>
      </c>
      <c r="B669" t="s">
        <v>12541</v>
      </c>
      <c r="C669" t="s">
        <v>74</v>
      </c>
      <c r="D669" t="s">
        <v>74</v>
      </c>
      <c r="E669" t="s">
        <v>74</v>
      </c>
      <c r="F669" t="s">
        <v>12542</v>
      </c>
      <c r="G669" t="s">
        <v>74</v>
      </c>
      <c r="H669" t="s">
        <v>74</v>
      </c>
      <c r="I669" t="s">
        <v>12543</v>
      </c>
      <c r="J669" t="s">
        <v>12522</v>
      </c>
      <c r="K669" t="s">
        <v>74</v>
      </c>
      <c r="L669" t="s">
        <v>74</v>
      </c>
      <c r="M669" t="s">
        <v>200</v>
      </c>
      <c r="N669" t="s">
        <v>79</v>
      </c>
      <c r="O669" t="s">
        <v>74</v>
      </c>
      <c r="P669" t="s">
        <v>74</v>
      </c>
      <c r="Q669" t="s">
        <v>74</v>
      </c>
      <c r="R669" t="s">
        <v>74</v>
      </c>
      <c r="S669" t="s">
        <v>74</v>
      </c>
      <c r="T669" t="s">
        <v>74</v>
      </c>
      <c r="U669" t="s">
        <v>12544</v>
      </c>
      <c r="V669" t="s">
        <v>12545</v>
      </c>
      <c r="W669" t="s">
        <v>12546</v>
      </c>
      <c r="X669" t="s">
        <v>12547</v>
      </c>
      <c r="Y669" t="s">
        <v>12548</v>
      </c>
      <c r="Z669" t="s">
        <v>12549</v>
      </c>
      <c r="AA669" t="s">
        <v>12550</v>
      </c>
      <c r="AB669" t="s">
        <v>12551</v>
      </c>
      <c r="AC669" t="s">
        <v>12552</v>
      </c>
      <c r="AD669" t="s">
        <v>12553</v>
      </c>
      <c r="AE669" t="s">
        <v>12554</v>
      </c>
      <c r="AF669" t="s">
        <v>74</v>
      </c>
      <c r="AG669">
        <v>24</v>
      </c>
      <c r="AH669">
        <v>258</v>
      </c>
      <c r="AI669">
        <v>274</v>
      </c>
      <c r="AJ669">
        <v>2</v>
      </c>
      <c r="AK669">
        <v>128</v>
      </c>
      <c r="AL669" t="s">
        <v>7256</v>
      </c>
      <c r="AM669" t="s">
        <v>2100</v>
      </c>
      <c r="AN669" t="s">
        <v>7257</v>
      </c>
      <c r="AO669" t="s">
        <v>12534</v>
      </c>
      <c r="AP669" t="s">
        <v>12535</v>
      </c>
      <c r="AQ669" t="s">
        <v>74</v>
      </c>
      <c r="AR669" t="s">
        <v>12522</v>
      </c>
      <c r="AS669" t="s">
        <v>12536</v>
      </c>
      <c r="AT669" t="s">
        <v>12537</v>
      </c>
      <c r="AU669">
        <v>2015</v>
      </c>
      <c r="AV669">
        <v>528</v>
      </c>
      <c r="AW669">
        <v>7580</v>
      </c>
      <c r="AX669" t="s">
        <v>74</v>
      </c>
      <c r="AY669" t="s">
        <v>74</v>
      </c>
      <c r="AZ669" t="s">
        <v>74</v>
      </c>
      <c r="BA669" t="s">
        <v>74</v>
      </c>
      <c r="BB669">
        <v>115</v>
      </c>
      <c r="BC669" t="s">
        <v>7262</v>
      </c>
      <c r="BD669" t="s">
        <v>74</v>
      </c>
      <c r="BE669" t="s">
        <v>12555</v>
      </c>
      <c r="BF669" t="str">
        <f>HYPERLINK("http://dx.doi.org/10.1038/nature16147","http://dx.doi.org/10.1038/nature16147")</f>
        <v>http://dx.doi.org/10.1038/nature16147</v>
      </c>
      <c r="BG669" t="s">
        <v>74</v>
      </c>
      <c r="BH669" t="s">
        <v>74</v>
      </c>
      <c r="BI669">
        <v>14</v>
      </c>
      <c r="BJ669" t="s">
        <v>3540</v>
      </c>
      <c r="BK669" t="s">
        <v>264</v>
      </c>
      <c r="BL669" t="s">
        <v>3541</v>
      </c>
      <c r="BM669" t="s">
        <v>12539</v>
      </c>
      <c r="BN669">
        <v>26580020</v>
      </c>
      <c r="BO669" t="s">
        <v>10698</v>
      </c>
      <c r="BP669" t="s">
        <v>7861</v>
      </c>
      <c r="BQ669" t="s">
        <v>7862</v>
      </c>
      <c r="BR669" t="s">
        <v>100</v>
      </c>
      <c r="BS669" t="s">
        <v>12556</v>
      </c>
      <c r="BT669" t="str">
        <f>HYPERLINK("https%3A%2F%2Fwww.webofscience.com%2Fwos%2Fwoscc%2Ffull-record%2FWOS:000365606000059","View Full Record in Web of Science")</f>
        <v>View Full Record in Web of Science</v>
      </c>
    </row>
    <row r="670" spans="1:72" x14ac:dyDescent="0.15">
      <c r="A670" t="s">
        <v>72</v>
      </c>
      <c r="B670" t="s">
        <v>12557</v>
      </c>
      <c r="C670" t="s">
        <v>74</v>
      </c>
      <c r="D670" t="s">
        <v>74</v>
      </c>
      <c r="E670" t="s">
        <v>74</v>
      </c>
      <c r="F670" t="s">
        <v>12558</v>
      </c>
      <c r="G670" t="s">
        <v>74</v>
      </c>
      <c r="H670" t="s">
        <v>74</v>
      </c>
      <c r="I670" t="s">
        <v>12559</v>
      </c>
      <c r="J670" t="s">
        <v>12560</v>
      </c>
      <c r="K670" t="s">
        <v>74</v>
      </c>
      <c r="L670" t="s">
        <v>74</v>
      </c>
      <c r="M670" t="s">
        <v>200</v>
      </c>
      <c r="N670" t="s">
        <v>79</v>
      </c>
      <c r="O670" t="s">
        <v>74</v>
      </c>
      <c r="P670" t="s">
        <v>74</v>
      </c>
      <c r="Q670" t="s">
        <v>74</v>
      </c>
      <c r="R670" t="s">
        <v>74</v>
      </c>
      <c r="S670" t="s">
        <v>74</v>
      </c>
      <c r="T670" t="s">
        <v>12561</v>
      </c>
      <c r="U670" t="s">
        <v>12562</v>
      </c>
      <c r="V670" t="s">
        <v>12563</v>
      </c>
      <c r="W670" t="s">
        <v>12564</v>
      </c>
      <c r="X670" t="s">
        <v>12565</v>
      </c>
      <c r="Y670" t="s">
        <v>12566</v>
      </c>
      <c r="Z670" t="s">
        <v>12567</v>
      </c>
      <c r="AA670" t="s">
        <v>12568</v>
      </c>
      <c r="AB670" t="s">
        <v>12569</v>
      </c>
      <c r="AC670" t="s">
        <v>12570</v>
      </c>
      <c r="AD670" t="s">
        <v>12571</v>
      </c>
      <c r="AE670" t="s">
        <v>74</v>
      </c>
      <c r="AF670" t="s">
        <v>74</v>
      </c>
      <c r="AG670">
        <v>158</v>
      </c>
      <c r="AH670">
        <v>13</v>
      </c>
      <c r="AI670">
        <v>13</v>
      </c>
      <c r="AJ670">
        <v>1</v>
      </c>
      <c r="AK670">
        <v>20</v>
      </c>
      <c r="AL670" t="s">
        <v>7218</v>
      </c>
      <c r="AM670" t="s">
        <v>1386</v>
      </c>
      <c r="AN670" t="s">
        <v>7219</v>
      </c>
      <c r="AO670" t="s">
        <v>12572</v>
      </c>
      <c r="AP670" t="s">
        <v>74</v>
      </c>
      <c r="AQ670" t="s">
        <v>74</v>
      </c>
      <c r="AR670" t="s">
        <v>12560</v>
      </c>
      <c r="AS670" t="s">
        <v>12573</v>
      </c>
      <c r="AT670" t="s">
        <v>12574</v>
      </c>
      <c r="AU670">
        <v>2015</v>
      </c>
      <c r="AV670">
        <v>12</v>
      </c>
      <c r="AW670" t="s">
        <v>74</v>
      </c>
      <c r="AX670" t="s">
        <v>74</v>
      </c>
      <c r="AY670" t="s">
        <v>74</v>
      </c>
      <c r="AZ670" t="s">
        <v>74</v>
      </c>
      <c r="BA670" t="s">
        <v>74</v>
      </c>
      <c r="BB670">
        <v>54</v>
      </c>
      <c r="BC670">
        <v>68</v>
      </c>
      <c r="BD670" t="s">
        <v>74</v>
      </c>
      <c r="BE670" t="s">
        <v>12575</v>
      </c>
      <c r="BF670" t="str">
        <f>HYPERLINK("http://dx.doi.org/10.1016/j.ancene.2015.11.001","http://dx.doi.org/10.1016/j.ancene.2015.11.001")</f>
        <v>http://dx.doi.org/10.1016/j.ancene.2015.11.001</v>
      </c>
      <c r="BG670" t="s">
        <v>74</v>
      </c>
      <c r="BH670" t="s">
        <v>74</v>
      </c>
      <c r="BI670">
        <v>15</v>
      </c>
      <c r="BJ670" t="s">
        <v>12576</v>
      </c>
      <c r="BK670" t="s">
        <v>96</v>
      </c>
      <c r="BL670" t="s">
        <v>12577</v>
      </c>
      <c r="BM670" t="s">
        <v>12578</v>
      </c>
      <c r="BN670" t="s">
        <v>74</v>
      </c>
      <c r="BO670" t="s">
        <v>12579</v>
      </c>
      <c r="BP670" t="s">
        <v>74</v>
      </c>
      <c r="BQ670" t="s">
        <v>74</v>
      </c>
      <c r="BR670" t="s">
        <v>100</v>
      </c>
      <c r="BS670" t="s">
        <v>12580</v>
      </c>
      <c r="BT670" t="str">
        <f>HYPERLINK("https%3A%2F%2Fwww.webofscience.com%2Fwos%2Fwoscc%2Ffull-record%2FWOS:000381903600006","View Full Record in Web of Science")</f>
        <v>View Full Record in Web of Science</v>
      </c>
    </row>
    <row r="671" spans="1:72" x14ac:dyDescent="0.15">
      <c r="A671" t="s">
        <v>72</v>
      </c>
      <c r="B671" t="s">
        <v>12581</v>
      </c>
      <c r="C671" t="s">
        <v>74</v>
      </c>
      <c r="D671" t="s">
        <v>74</v>
      </c>
      <c r="E671" t="s">
        <v>74</v>
      </c>
      <c r="F671" t="s">
        <v>12582</v>
      </c>
      <c r="G671" t="s">
        <v>74</v>
      </c>
      <c r="H671" t="s">
        <v>74</v>
      </c>
      <c r="I671" t="s">
        <v>12583</v>
      </c>
      <c r="J671" t="s">
        <v>12584</v>
      </c>
      <c r="K671" t="s">
        <v>74</v>
      </c>
      <c r="L671" t="s">
        <v>74</v>
      </c>
      <c r="M671" t="s">
        <v>200</v>
      </c>
      <c r="N671" t="s">
        <v>79</v>
      </c>
      <c r="O671" t="s">
        <v>74</v>
      </c>
      <c r="P671" t="s">
        <v>74</v>
      </c>
      <c r="Q671" t="s">
        <v>74</v>
      </c>
      <c r="R671" t="s">
        <v>74</v>
      </c>
      <c r="S671" t="s">
        <v>74</v>
      </c>
      <c r="T671" t="s">
        <v>74</v>
      </c>
      <c r="U671" t="s">
        <v>12585</v>
      </c>
      <c r="V671" t="s">
        <v>12586</v>
      </c>
      <c r="W671" t="s">
        <v>12587</v>
      </c>
      <c r="X671" t="s">
        <v>12588</v>
      </c>
      <c r="Y671" t="s">
        <v>12589</v>
      </c>
      <c r="Z671" t="s">
        <v>74</v>
      </c>
      <c r="AA671" t="s">
        <v>74</v>
      </c>
      <c r="AB671" t="s">
        <v>12590</v>
      </c>
      <c r="AC671" t="s">
        <v>74</v>
      </c>
      <c r="AD671" t="s">
        <v>74</v>
      </c>
      <c r="AE671" t="s">
        <v>74</v>
      </c>
      <c r="AF671" t="s">
        <v>74</v>
      </c>
      <c r="AG671">
        <v>62</v>
      </c>
      <c r="AH671">
        <v>11</v>
      </c>
      <c r="AI671">
        <v>11</v>
      </c>
      <c r="AJ671">
        <v>0</v>
      </c>
      <c r="AK671">
        <v>10</v>
      </c>
      <c r="AL671" t="s">
        <v>12591</v>
      </c>
      <c r="AM671" t="s">
        <v>1225</v>
      </c>
      <c r="AN671" t="s">
        <v>12592</v>
      </c>
      <c r="AO671" t="s">
        <v>12593</v>
      </c>
      <c r="AP671" t="s">
        <v>12594</v>
      </c>
      <c r="AQ671" t="s">
        <v>74</v>
      </c>
      <c r="AR671" t="s">
        <v>12595</v>
      </c>
      <c r="AS671" t="s">
        <v>12596</v>
      </c>
      <c r="AT671" t="s">
        <v>12574</v>
      </c>
      <c r="AU671">
        <v>2015</v>
      </c>
      <c r="AV671">
        <v>16</v>
      </c>
      <c r="AW671">
        <v>2</v>
      </c>
      <c r="AX671" t="s">
        <v>74</v>
      </c>
      <c r="AY671" t="s">
        <v>74</v>
      </c>
      <c r="AZ671" t="s">
        <v>74</v>
      </c>
      <c r="BA671" t="s">
        <v>74</v>
      </c>
      <c r="BB671" t="s">
        <v>74</v>
      </c>
      <c r="BC671" t="s">
        <v>74</v>
      </c>
      <c r="BD671" t="s">
        <v>74</v>
      </c>
      <c r="BE671" t="s">
        <v>74</v>
      </c>
      <c r="BF671" t="s">
        <v>74</v>
      </c>
      <c r="BG671" t="s">
        <v>74</v>
      </c>
      <c r="BH671" t="s">
        <v>74</v>
      </c>
      <c r="BI671">
        <v>33</v>
      </c>
      <c r="BJ671" t="s">
        <v>334</v>
      </c>
      <c r="BK671" t="s">
        <v>96</v>
      </c>
      <c r="BL671" t="s">
        <v>335</v>
      </c>
      <c r="BM671" t="s">
        <v>12597</v>
      </c>
      <c r="BN671" t="s">
        <v>74</v>
      </c>
      <c r="BO671" t="s">
        <v>74</v>
      </c>
      <c r="BP671" t="s">
        <v>74</v>
      </c>
      <c r="BQ671" t="s">
        <v>74</v>
      </c>
      <c r="BR671" t="s">
        <v>100</v>
      </c>
      <c r="BS671" t="s">
        <v>12598</v>
      </c>
      <c r="BT671" t="str">
        <f>HYPERLINK("https%3A%2F%2Fwww.webofscience.com%2Fwos%2Fwoscc%2Ffull-record%2FWOS:000375108600002","View Full Record in Web of Science")</f>
        <v>View Full Record in Web of Science</v>
      </c>
    </row>
    <row r="672" spans="1:72" x14ac:dyDescent="0.15">
      <c r="A672" t="s">
        <v>72</v>
      </c>
      <c r="B672" t="s">
        <v>12599</v>
      </c>
      <c r="C672" t="s">
        <v>74</v>
      </c>
      <c r="D672" t="s">
        <v>74</v>
      </c>
      <c r="E672" t="s">
        <v>74</v>
      </c>
      <c r="F672" t="s">
        <v>12600</v>
      </c>
      <c r="G672" t="s">
        <v>74</v>
      </c>
      <c r="H672" t="s">
        <v>74</v>
      </c>
      <c r="I672" t="s">
        <v>12601</v>
      </c>
      <c r="J672" t="s">
        <v>12602</v>
      </c>
      <c r="K672" t="s">
        <v>74</v>
      </c>
      <c r="L672" t="s">
        <v>74</v>
      </c>
      <c r="M672" t="s">
        <v>200</v>
      </c>
      <c r="N672" t="s">
        <v>79</v>
      </c>
      <c r="O672" t="s">
        <v>74</v>
      </c>
      <c r="P672" t="s">
        <v>74</v>
      </c>
      <c r="Q672" t="s">
        <v>74</v>
      </c>
      <c r="R672" t="s">
        <v>74</v>
      </c>
      <c r="S672" t="s">
        <v>74</v>
      </c>
      <c r="T672" t="s">
        <v>74</v>
      </c>
      <c r="U672" t="s">
        <v>12603</v>
      </c>
      <c r="V672" t="s">
        <v>12604</v>
      </c>
      <c r="W672" t="s">
        <v>12605</v>
      </c>
      <c r="X672" t="s">
        <v>12606</v>
      </c>
      <c r="Y672" t="s">
        <v>12607</v>
      </c>
      <c r="Z672" t="s">
        <v>12608</v>
      </c>
      <c r="AA672" t="s">
        <v>12609</v>
      </c>
      <c r="AB672" t="s">
        <v>12610</v>
      </c>
      <c r="AC672" t="s">
        <v>12611</v>
      </c>
      <c r="AD672" t="s">
        <v>12612</v>
      </c>
      <c r="AE672" t="s">
        <v>12613</v>
      </c>
      <c r="AF672" t="s">
        <v>74</v>
      </c>
      <c r="AG672">
        <v>102</v>
      </c>
      <c r="AH672">
        <v>46</v>
      </c>
      <c r="AI672">
        <v>51</v>
      </c>
      <c r="AJ672">
        <v>0</v>
      </c>
      <c r="AK672">
        <v>13</v>
      </c>
      <c r="AL672" t="s">
        <v>2410</v>
      </c>
      <c r="AM672" t="s">
        <v>1559</v>
      </c>
      <c r="AN672" t="s">
        <v>2411</v>
      </c>
      <c r="AO672" t="s">
        <v>12614</v>
      </c>
      <c r="AP672" t="s">
        <v>12615</v>
      </c>
      <c r="AQ672" t="s">
        <v>74</v>
      </c>
      <c r="AR672" t="s">
        <v>12616</v>
      </c>
      <c r="AS672" t="s">
        <v>12617</v>
      </c>
      <c r="AT672" t="s">
        <v>12574</v>
      </c>
      <c r="AU672">
        <v>2015</v>
      </c>
      <c r="AV672">
        <v>120</v>
      </c>
      <c r="AW672">
        <v>12</v>
      </c>
      <c r="AX672" t="s">
        <v>74</v>
      </c>
      <c r="AY672" t="s">
        <v>74</v>
      </c>
      <c r="AZ672" t="s">
        <v>74</v>
      </c>
      <c r="BA672" t="s">
        <v>74</v>
      </c>
      <c r="BB672">
        <v>8439</v>
      </c>
      <c r="BC672">
        <v>8460</v>
      </c>
      <c r="BD672" t="s">
        <v>74</v>
      </c>
      <c r="BE672" t="s">
        <v>12618</v>
      </c>
      <c r="BF672" t="str">
        <f>HYPERLINK("http://dx.doi.org/10.1002/2015JB012455","http://dx.doi.org/10.1002/2015JB012455")</f>
        <v>http://dx.doi.org/10.1002/2015JB012455</v>
      </c>
      <c r="BG672" t="s">
        <v>74</v>
      </c>
      <c r="BH672" t="s">
        <v>74</v>
      </c>
      <c r="BI672">
        <v>22</v>
      </c>
      <c r="BJ672" t="s">
        <v>4474</v>
      </c>
      <c r="BK672" t="s">
        <v>264</v>
      </c>
      <c r="BL672" t="s">
        <v>4474</v>
      </c>
      <c r="BM672" t="s">
        <v>12619</v>
      </c>
      <c r="BN672" t="s">
        <v>74</v>
      </c>
      <c r="BO672" t="s">
        <v>486</v>
      </c>
      <c r="BP672" t="s">
        <v>74</v>
      </c>
      <c r="BQ672" t="s">
        <v>74</v>
      </c>
      <c r="BR672" t="s">
        <v>100</v>
      </c>
      <c r="BS672" t="s">
        <v>12620</v>
      </c>
      <c r="BT672" t="str">
        <f>HYPERLINK("https%3A%2F%2Fwww.webofscience.com%2Fwos%2Fwoscc%2Ffull-record%2FWOS:000372204600026","View Full Record in Web of Science")</f>
        <v>View Full Record in Web of Science</v>
      </c>
    </row>
    <row r="673" spans="1:72" x14ac:dyDescent="0.15">
      <c r="A673" t="s">
        <v>72</v>
      </c>
      <c r="B673" t="s">
        <v>12621</v>
      </c>
      <c r="C673" t="s">
        <v>74</v>
      </c>
      <c r="D673" t="s">
        <v>74</v>
      </c>
      <c r="E673" t="s">
        <v>74</v>
      </c>
      <c r="F673" t="s">
        <v>12622</v>
      </c>
      <c r="G673" t="s">
        <v>74</v>
      </c>
      <c r="H673" t="s">
        <v>74</v>
      </c>
      <c r="I673" t="s">
        <v>12623</v>
      </c>
      <c r="J673" t="s">
        <v>5787</v>
      </c>
      <c r="K673" t="s">
        <v>74</v>
      </c>
      <c r="L673" t="s">
        <v>74</v>
      </c>
      <c r="M673" t="s">
        <v>200</v>
      </c>
      <c r="N673" t="s">
        <v>79</v>
      </c>
      <c r="O673" t="s">
        <v>74</v>
      </c>
      <c r="P673" t="s">
        <v>74</v>
      </c>
      <c r="Q673" t="s">
        <v>74</v>
      </c>
      <c r="R673" t="s">
        <v>74</v>
      </c>
      <c r="S673" t="s">
        <v>74</v>
      </c>
      <c r="T673" t="s">
        <v>12624</v>
      </c>
      <c r="U673" t="s">
        <v>12625</v>
      </c>
      <c r="V673" t="s">
        <v>12626</v>
      </c>
      <c r="W673" t="s">
        <v>12627</v>
      </c>
      <c r="X673" t="s">
        <v>12628</v>
      </c>
      <c r="Y673" t="s">
        <v>12629</v>
      </c>
      <c r="Z673" t="s">
        <v>12630</v>
      </c>
      <c r="AA673" t="s">
        <v>12631</v>
      </c>
      <c r="AB673" t="s">
        <v>12632</v>
      </c>
      <c r="AC673" t="s">
        <v>12633</v>
      </c>
      <c r="AD673" t="s">
        <v>12634</v>
      </c>
      <c r="AE673" t="s">
        <v>12635</v>
      </c>
      <c r="AF673" t="s">
        <v>74</v>
      </c>
      <c r="AG673">
        <v>24</v>
      </c>
      <c r="AH673">
        <v>34</v>
      </c>
      <c r="AI673">
        <v>38</v>
      </c>
      <c r="AJ673">
        <v>1</v>
      </c>
      <c r="AK673">
        <v>8</v>
      </c>
      <c r="AL673" t="s">
        <v>2410</v>
      </c>
      <c r="AM673" t="s">
        <v>1559</v>
      </c>
      <c r="AN673" t="s">
        <v>2411</v>
      </c>
      <c r="AO673" t="s">
        <v>5798</v>
      </c>
      <c r="AP673" t="s">
        <v>5799</v>
      </c>
      <c r="AQ673" t="s">
        <v>74</v>
      </c>
      <c r="AR673" t="s">
        <v>5800</v>
      </c>
      <c r="AS673" t="s">
        <v>5801</v>
      </c>
      <c r="AT673" t="s">
        <v>12574</v>
      </c>
      <c r="AU673">
        <v>2015</v>
      </c>
      <c r="AV673">
        <v>120</v>
      </c>
      <c r="AW673">
        <v>12</v>
      </c>
      <c r="AX673" t="s">
        <v>74</v>
      </c>
      <c r="AY673" t="s">
        <v>74</v>
      </c>
      <c r="AZ673" t="s">
        <v>74</v>
      </c>
      <c r="BA673" t="s">
        <v>74</v>
      </c>
      <c r="BB673">
        <v>7919</v>
      </c>
      <c r="BC673">
        <v>7933</v>
      </c>
      <c r="BD673" t="s">
        <v>74</v>
      </c>
      <c r="BE673" t="s">
        <v>12636</v>
      </c>
      <c r="BF673" t="str">
        <f>HYPERLINK("http://dx.doi.org/10.1002/2015JC011143","http://dx.doi.org/10.1002/2015JC011143")</f>
        <v>http://dx.doi.org/10.1002/2015JC011143</v>
      </c>
      <c r="BG673" t="s">
        <v>74</v>
      </c>
      <c r="BH673" t="s">
        <v>74</v>
      </c>
      <c r="BI673">
        <v>15</v>
      </c>
      <c r="BJ673" t="s">
        <v>5339</v>
      </c>
      <c r="BK673" t="s">
        <v>264</v>
      </c>
      <c r="BL673" t="s">
        <v>5339</v>
      </c>
      <c r="BM673" t="s">
        <v>12637</v>
      </c>
      <c r="BN673" t="s">
        <v>74</v>
      </c>
      <c r="BO673" t="s">
        <v>486</v>
      </c>
      <c r="BP673" t="s">
        <v>74</v>
      </c>
      <c r="BQ673" t="s">
        <v>74</v>
      </c>
      <c r="BR673" t="s">
        <v>100</v>
      </c>
      <c r="BS673" t="s">
        <v>12638</v>
      </c>
      <c r="BT673" t="str">
        <f>HYPERLINK("https%3A%2F%2Fwww.webofscience.com%2Fwos%2Fwoscc%2Ffull-record%2FWOS:000369153200012","View Full Record in Web of Science")</f>
        <v>View Full Record in Web of Science</v>
      </c>
    </row>
    <row r="674" spans="1:72" x14ac:dyDescent="0.15">
      <c r="A674" t="s">
        <v>72</v>
      </c>
      <c r="B674" t="s">
        <v>12639</v>
      </c>
      <c r="C674" t="s">
        <v>74</v>
      </c>
      <c r="D674" t="s">
        <v>74</v>
      </c>
      <c r="E674" t="s">
        <v>74</v>
      </c>
      <c r="F674" t="s">
        <v>12640</v>
      </c>
      <c r="G674" t="s">
        <v>74</v>
      </c>
      <c r="H674" t="s">
        <v>74</v>
      </c>
      <c r="I674" t="s">
        <v>12641</v>
      </c>
      <c r="J674" t="s">
        <v>5787</v>
      </c>
      <c r="K674" t="s">
        <v>74</v>
      </c>
      <c r="L674" t="s">
        <v>74</v>
      </c>
      <c r="M674" t="s">
        <v>200</v>
      </c>
      <c r="N674" t="s">
        <v>79</v>
      </c>
      <c r="O674" t="s">
        <v>74</v>
      </c>
      <c r="P674" t="s">
        <v>74</v>
      </c>
      <c r="Q674" t="s">
        <v>74</v>
      </c>
      <c r="R674" t="s">
        <v>74</v>
      </c>
      <c r="S674" t="s">
        <v>74</v>
      </c>
      <c r="T674" t="s">
        <v>12642</v>
      </c>
      <c r="U674" t="s">
        <v>12643</v>
      </c>
      <c r="V674" t="s">
        <v>12644</v>
      </c>
      <c r="W674" t="s">
        <v>12645</v>
      </c>
      <c r="X674" t="s">
        <v>12646</v>
      </c>
      <c r="Y674" t="s">
        <v>12647</v>
      </c>
      <c r="Z674" t="s">
        <v>12648</v>
      </c>
      <c r="AA674" t="s">
        <v>12649</v>
      </c>
      <c r="AB674" t="s">
        <v>12650</v>
      </c>
      <c r="AC674" t="s">
        <v>12651</v>
      </c>
      <c r="AD674" t="s">
        <v>12652</v>
      </c>
      <c r="AE674" t="s">
        <v>12653</v>
      </c>
      <c r="AF674" t="s">
        <v>74</v>
      </c>
      <c r="AG674">
        <v>50</v>
      </c>
      <c r="AH674">
        <v>19</v>
      </c>
      <c r="AI674">
        <v>19</v>
      </c>
      <c r="AJ674">
        <v>1</v>
      </c>
      <c r="AK674">
        <v>20</v>
      </c>
      <c r="AL674" t="s">
        <v>2410</v>
      </c>
      <c r="AM674" t="s">
        <v>1559</v>
      </c>
      <c r="AN674" t="s">
        <v>2411</v>
      </c>
      <c r="AO674" t="s">
        <v>5798</v>
      </c>
      <c r="AP674" t="s">
        <v>5799</v>
      </c>
      <c r="AQ674" t="s">
        <v>74</v>
      </c>
      <c r="AR674" t="s">
        <v>5800</v>
      </c>
      <c r="AS674" t="s">
        <v>5801</v>
      </c>
      <c r="AT674" t="s">
        <v>12574</v>
      </c>
      <c r="AU674">
        <v>2015</v>
      </c>
      <c r="AV674">
        <v>120</v>
      </c>
      <c r="AW674">
        <v>12</v>
      </c>
      <c r="AX674" t="s">
        <v>74</v>
      </c>
      <c r="AY674" t="s">
        <v>74</v>
      </c>
      <c r="AZ674" t="s">
        <v>74</v>
      </c>
      <c r="BA674" t="s">
        <v>74</v>
      </c>
      <c r="BB674">
        <v>8099</v>
      </c>
      <c r="BC674">
        <v>8114</v>
      </c>
      <c r="BD674" t="s">
        <v>74</v>
      </c>
      <c r="BE674" t="s">
        <v>12654</v>
      </c>
      <c r="BF674" t="str">
        <f>HYPERLINK("http://dx.doi.org/10.1002/2015JC011026","http://dx.doi.org/10.1002/2015JC011026")</f>
        <v>http://dx.doi.org/10.1002/2015JC011026</v>
      </c>
      <c r="BG674" t="s">
        <v>74</v>
      </c>
      <c r="BH674" t="s">
        <v>74</v>
      </c>
      <c r="BI674">
        <v>16</v>
      </c>
      <c r="BJ674" t="s">
        <v>5339</v>
      </c>
      <c r="BK674" t="s">
        <v>264</v>
      </c>
      <c r="BL674" t="s">
        <v>5339</v>
      </c>
      <c r="BM674" t="s">
        <v>12637</v>
      </c>
      <c r="BN674" t="s">
        <v>74</v>
      </c>
      <c r="BO674" t="s">
        <v>12655</v>
      </c>
      <c r="BP674" t="s">
        <v>74</v>
      </c>
      <c r="BQ674" t="s">
        <v>74</v>
      </c>
      <c r="BR674" t="s">
        <v>100</v>
      </c>
      <c r="BS674" t="s">
        <v>12656</v>
      </c>
      <c r="BT674" t="str">
        <f>HYPERLINK("https%3A%2F%2Fwww.webofscience.com%2Fwos%2Fwoscc%2Ffull-record%2FWOS:000369153200021","View Full Record in Web of Science")</f>
        <v>View Full Record in Web of Science</v>
      </c>
    </row>
    <row r="675" spans="1:72" x14ac:dyDescent="0.15">
      <c r="A675" t="s">
        <v>72</v>
      </c>
      <c r="B675" t="s">
        <v>12657</v>
      </c>
      <c r="C675" t="s">
        <v>74</v>
      </c>
      <c r="D675" t="s">
        <v>74</v>
      </c>
      <c r="E675" t="s">
        <v>74</v>
      </c>
      <c r="F675" t="s">
        <v>12658</v>
      </c>
      <c r="G675" t="s">
        <v>74</v>
      </c>
      <c r="H675" t="s">
        <v>74</v>
      </c>
      <c r="I675" t="s">
        <v>12659</v>
      </c>
      <c r="J675" t="s">
        <v>5787</v>
      </c>
      <c r="K675" t="s">
        <v>74</v>
      </c>
      <c r="L675" t="s">
        <v>74</v>
      </c>
      <c r="M675" t="s">
        <v>200</v>
      </c>
      <c r="N675" t="s">
        <v>79</v>
      </c>
      <c r="O675" t="s">
        <v>74</v>
      </c>
      <c r="P675" t="s">
        <v>74</v>
      </c>
      <c r="Q675" t="s">
        <v>74</v>
      </c>
      <c r="R675" t="s">
        <v>74</v>
      </c>
      <c r="S675" t="s">
        <v>74</v>
      </c>
      <c r="T675" t="s">
        <v>12660</v>
      </c>
      <c r="U675" t="s">
        <v>12661</v>
      </c>
      <c r="V675" t="s">
        <v>12662</v>
      </c>
      <c r="W675" t="s">
        <v>12663</v>
      </c>
      <c r="X675" t="s">
        <v>12664</v>
      </c>
      <c r="Y675" t="s">
        <v>12665</v>
      </c>
      <c r="Z675" t="s">
        <v>7150</v>
      </c>
      <c r="AA675" t="s">
        <v>74</v>
      </c>
      <c r="AB675" t="s">
        <v>74</v>
      </c>
      <c r="AC675" t="s">
        <v>12666</v>
      </c>
      <c r="AD675" t="s">
        <v>12667</v>
      </c>
      <c r="AE675" t="s">
        <v>12668</v>
      </c>
      <c r="AF675" t="s">
        <v>74</v>
      </c>
      <c r="AG675">
        <v>63</v>
      </c>
      <c r="AH675">
        <v>20</v>
      </c>
      <c r="AI675">
        <v>23</v>
      </c>
      <c r="AJ675">
        <v>1</v>
      </c>
      <c r="AK675">
        <v>34</v>
      </c>
      <c r="AL675" t="s">
        <v>2410</v>
      </c>
      <c r="AM675" t="s">
        <v>1559</v>
      </c>
      <c r="AN675" t="s">
        <v>2411</v>
      </c>
      <c r="AO675" t="s">
        <v>5798</v>
      </c>
      <c r="AP675" t="s">
        <v>5799</v>
      </c>
      <c r="AQ675" t="s">
        <v>74</v>
      </c>
      <c r="AR675" t="s">
        <v>5800</v>
      </c>
      <c r="AS675" t="s">
        <v>5801</v>
      </c>
      <c r="AT675" t="s">
        <v>12574</v>
      </c>
      <c r="AU675">
        <v>2015</v>
      </c>
      <c r="AV675">
        <v>120</v>
      </c>
      <c r="AW675">
        <v>12</v>
      </c>
      <c r="AX675" t="s">
        <v>74</v>
      </c>
      <c r="AY675" t="s">
        <v>74</v>
      </c>
      <c r="AZ675" t="s">
        <v>74</v>
      </c>
      <c r="BA675" t="s">
        <v>74</v>
      </c>
      <c r="BB675">
        <v>8392</v>
      </c>
      <c r="BC675">
        <v>8401</v>
      </c>
      <c r="BD675" t="s">
        <v>74</v>
      </c>
      <c r="BE675" t="s">
        <v>12669</v>
      </c>
      <c r="BF675" t="str">
        <f>HYPERLINK("http://dx.doi.org/10.1002/2015JC011245","http://dx.doi.org/10.1002/2015JC011245")</f>
        <v>http://dx.doi.org/10.1002/2015JC011245</v>
      </c>
      <c r="BG675" t="s">
        <v>74</v>
      </c>
      <c r="BH675" t="s">
        <v>74</v>
      </c>
      <c r="BI675">
        <v>10</v>
      </c>
      <c r="BJ675" t="s">
        <v>5339</v>
      </c>
      <c r="BK675" t="s">
        <v>264</v>
      </c>
      <c r="BL675" t="s">
        <v>5339</v>
      </c>
      <c r="BM675" t="s">
        <v>12637</v>
      </c>
      <c r="BN675" t="s">
        <v>74</v>
      </c>
      <c r="BO675" t="s">
        <v>486</v>
      </c>
      <c r="BP675" t="s">
        <v>74</v>
      </c>
      <c r="BQ675" t="s">
        <v>74</v>
      </c>
      <c r="BR675" t="s">
        <v>100</v>
      </c>
      <c r="BS675" t="s">
        <v>12670</v>
      </c>
      <c r="BT675" t="str">
        <f>HYPERLINK("https%3A%2F%2Fwww.webofscience.com%2Fwos%2Fwoscc%2Ffull-record%2FWOS:000369153200038","View Full Record in Web of Science")</f>
        <v>View Full Record in Web of Science</v>
      </c>
    </row>
    <row r="676" spans="1:72" x14ac:dyDescent="0.15">
      <c r="A676" t="s">
        <v>72</v>
      </c>
      <c r="B676" t="s">
        <v>12671</v>
      </c>
      <c r="C676" t="s">
        <v>74</v>
      </c>
      <c r="D676" t="s">
        <v>74</v>
      </c>
      <c r="E676" t="s">
        <v>74</v>
      </c>
      <c r="F676" t="s">
        <v>12672</v>
      </c>
      <c r="G676" t="s">
        <v>74</v>
      </c>
      <c r="H676" t="s">
        <v>74</v>
      </c>
      <c r="I676" t="s">
        <v>12673</v>
      </c>
      <c r="J676" t="s">
        <v>9936</v>
      </c>
      <c r="K676" t="s">
        <v>74</v>
      </c>
      <c r="L676" t="s">
        <v>74</v>
      </c>
      <c r="M676" t="s">
        <v>200</v>
      </c>
      <c r="N676" t="s">
        <v>79</v>
      </c>
      <c r="O676" t="s">
        <v>74</v>
      </c>
      <c r="P676" t="s">
        <v>74</v>
      </c>
      <c r="Q676" t="s">
        <v>74</v>
      </c>
      <c r="R676" t="s">
        <v>74</v>
      </c>
      <c r="S676" t="s">
        <v>74</v>
      </c>
      <c r="T676" t="s">
        <v>74</v>
      </c>
      <c r="U676" t="s">
        <v>12674</v>
      </c>
      <c r="V676" t="s">
        <v>12675</v>
      </c>
      <c r="W676" t="s">
        <v>12676</v>
      </c>
      <c r="X676" t="s">
        <v>12677</v>
      </c>
      <c r="Y676" t="s">
        <v>12678</v>
      </c>
      <c r="Z676" t="s">
        <v>12679</v>
      </c>
      <c r="AA676" t="s">
        <v>74</v>
      </c>
      <c r="AB676" t="s">
        <v>74</v>
      </c>
      <c r="AC676" t="s">
        <v>12680</v>
      </c>
      <c r="AD676" t="s">
        <v>4422</v>
      </c>
      <c r="AE676" t="s">
        <v>12681</v>
      </c>
      <c r="AF676" t="s">
        <v>74</v>
      </c>
      <c r="AG676">
        <v>35</v>
      </c>
      <c r="AH676">
        <v>32</v>
      </c>
      <c r="AI676">
        <v>32</v>
      </c>
      <c r="AJ676">
        <v>0</v>
      </c>
      <c r="AK676">
        <v>10</v>
      </c>
      <c r="AL676" t="s">
        <v>2410</v>
      </c>
      <c r="AM676" t="s">
        <v>1559</v>
      </c>
      <c r="AN676" t="s">
        <v>2411</v>
      </c>
      <c r="AO676" t="s">
        <v>9949</v>
      </c>
      <c r="AP676" t="s">
        <v>9950</v>
      </c>
      <c r="AQ676" t="s">
        <v>74</v>
      </c>
      <c r="AR676" t="s">
        <v>9951</v>
      </c>
      <c r="AS676" t="s">
        <v>9952</v>
      </c>
      <c r="AT676" t="s">
        <v>12574</v>
      </c>
      <c r="AU676">
        <v>2015</v>
      </c>
      <c r="AV676">
        <v>120</v>
      </c>
      <c r="AW676">
        <v>12</v>
      </c>
      <c r="AX676" t="s">
        <v>74</v>
      </c>
      <c r="AY676" t="s">
        <v>74</v>
      </c>
      <c r="AZ676" t="s">
        <v>74</v>
      </c>
      <c r="BA676" t="s">
        <v>74</v>
      </c>
      <c r="BB676">
        <v>10897</v>
      </c>
      <c r="BC676">
        <v>10912</v>
      </c>
      <c r="BD676" t="s">
        <v>74</v>
      </c>
      <c r="BE676" t="s">
        <v>12682</v>
      </c>
      <c r="BF676" t="str">
        <f>HYPERLINK("http://dx.doi.org/10.1002/2015JA021894","http://dx.doi.org/10.1002/2015JA021894")</f>
        <v>http://dx.doi.org/10.1002/2015JA021894</v>
      </c>
      <c r="BG676" t="s">
        <v>74</v>
      </c>
      <c r="BH676" t="s">
        <v>74</v>
      </c>
      <c r="BI676">
        <v>16</v>
      </c>
      <c r="BJ676" t="s">
        <v>1168</v>
      </c>
      <c r="BK676" t="s">
        <v>264</v>
      </c>
      <c r="BL676" t="s">
        <v>1168</v>
      </c>
      <c r="BM676" t="s">
        <v>12683</v>
      </c>
      <c r="BN676" t="s">
        <v>74</v>
      </c>
      <c r="BO676" t="s">
        <v>486</v>
      </c>
      <c r="BP676" t="s">
        <v>74</v>
      </c>
      <c r="BQ676" t="s">
        <v>74</v>
      </c>
      <c r="BR676" t="s">
        <v>100</v>
      </c>
      <c r="BS676" t="s">
        <v>12684</v>
      </c>
      <c r="BT676" t="str">
        <f>HYPERLINK("https%3A%2F%2Fwww.webofscience.com%2Fwos%2Fwoscc%2Ffull-record%2FWOS:000369180200050","View Full Record in Web of Science")</f>
        <v>View Full Record in Web of Science</v>
      </c>
    </row>
    <row r="677" spans="1:72" x14ac:dyDescent="0.15">
      <c r="A677" t="s">
        <v>72</v>
      </c>
      <c r="B677" t="s">
        <v>12685</v>
      </c>
      <c r="C677" t="s">
        <v>74</v>
      </c>
      <c r="D677" t="s">
        <v>74</v>
      </c>
      <c r="E677" t="s">
        <v>74</v>
      </c>
      <c r="F677" t="s">
        <v>12686</v>
      </c>
      <c r="G677" t="s">
        <v>74</v>
      </c>
      <c r="H677" t="s">
        <v>74</v>
      </c>
      <c r="I677" t="s">
        <v>12687</v>
      </c>
      <c r="J677" t="s">
        <v>9936</v>
      </c>
      <c r="K677" t="s">
        <v>74</v>
      </c>
      <c r="L677" t="s">
        <v>74</v>
      </c>
      <c r="M677" t="s">
        <v>200</v>
      </c>
      <c r="N677" t="s">
        <v>79</v>
      </c>
      <c r="O677" t="s">
        <v>74</v>
      </c>
      <c r="P677" t="s">
        <v>74</v>
      </c>
      <c r="Q677" t="s">
        <v>74</v>
      </c>
      <c r="R677" t="s">
        <v>74</v>
      </c>
      <c r="S677" t="s">
        <v>74</v>
      </c>
      <c r="T677" t="s">
        <v>74</v>
      </c>
      <c r="U677" t="s">
        <v>12688</v>
      </c>
      <c r="V677" t="s">
        <v>12689</v>
      </c>
      <c r="W677" t="s">
        <v>12690</v>
      </c>
      <c r="X677" t="s">
        <v>12691</v>
      </c>
      <c r="Y677" t="s">
        <v>12692</v>
      </c>
      <c r="Z677" t="s">
        <v>12693</v>
      </c>
      <c r="AA677" t="s">
        <v>12694</v>
      </c>
      <c r="AB677" t="s">
        <v>74</v>
      </c>
      <c r="AC677" t="s">
        <v>12695</v>
      </c>
      <c r="AD677" t="s">
        <v>12696</v>
      </c>
      <c r="AE677" t="s">
        <v>12697</v>
      </c>
      <c r="AF677" t="s">
        <v>74</v>
      </c>
      <c r="AG677">
        <v>76</v>
      </c>
      <c r="AH677">
        <v>6</v>
      </c>
      <c r="AI677">
        <v>6</v>
      </c>
      <c r="AJ677">
        <v>2</v>
      </c>
      <c r="AK677">
        <v>27</v>
      </c>
      <c r="AL677" t="s">
        <v>2410</v>
      </c>
      <c r="AM677" t="s">
        <v>1559</v>
      </c>
      <c r="AN677" t="s">
        <v>2411</v>
      </c>
      <c r="AO677" t="s">
        <v>9949</v>
      </c>
      <c r="AP677" t="s">
        <v>9950</v>
      </c>
      <c r="AQ677" t="s">
        <v>74</v>
      </c>
      <c r="AR677" t="s">
        <v>9951</v>
      </c>
      <c r="AS677" t="s">
        <v>9952</v>
      </c>
      <c r="AT677" t="s">
        <v>12574</v>
      </c>
      <c r="AU677">
        <v>2015</v>
      </c>
      <c r="AV677">
        <v>120</v>
      </c>
      <c r="AW677">
        <v>12</v>
      </c>
      <c r="AX677" t="s">
        <v>74</v>
      </c>
      <c r="AY677" t="s">
        <v>74</v>
      </c>
      <c r="AZ677" t="s">
        <v>74</v>
      </c>
      <c r="BA677" t="s">
        <v>74</v>
      </c>
      <c r="BB677">
        <v>11032</v>
      </c>
      <c r="BC677">
        <v>11047</v>
      </c>
      <c r="BD677" t="s">
        <v>74</v>
      </c>
      <c r="BE677" t="s">
        <v>12698</v>
      </c>
      <c r="BF677" t="str">
        <f>HYPERLINK("http://dx.doi.org/10.1002/2015JA021855","http://dx.doi.org/10.1002/2015JA021855")</f>
        <v>http://dx.doi.org/10.1002/2015JA021855</v>
      </c>
      <c r="BG677" t="s">
        <v>74</v>
      </c>
      <c r="BH677" t="s">
        <v>74</v>
      </c>
      <c r="BI677">
        <v>16</v>
      </c>
      <c r="BJ677" t="s">
        <v>1168</v>
      </c>
      <c r="BK677" t="s">
        <v>264</v>
      </c>
      <c r="BL677" t="s">
        <v>1168</v>
      </c>
      <c r="BM677" t="s">
        <v>12683</v>
      </c>
      <c r="BN677" t="s">
        <v>74</v>
      </c>
      <c r="BO677" t="s">
        <v>486</v>
      </c>
      <c r="BP677" t="s">
        <v>74</v>
      </c>
      <c r="BQ677" t="s">
        <v>74</v>
      </c>
      <c r="BR677" t="s">
        <v>100</v>
      </c>
      <c r="BS677" t="s">
        <v>12699</v>
      </c>
      <c r="BT677" t="str">
        <f>HYPERLINK("https%3A%2F%2Fwww.webofscience.com%2Fwos%2Fwoscc%2Ffull-record%2FWOS:000369180200059","View Full Record in Web of Science")</f>
        <v>View Full Record in Web of Science</v>
      </c>
    </row>
    <row r="678" spans="1:72" x14ac:dyDescent="0.15">
      <c r="A678" t="s">
        <v>72</v>
      </c>
      <c r="B678" t="s">
        <v>12700</v>
      </c>
      <c r="C678" t="s">
        <v>74</v>
      </c>
      <c r="D678" t="s">
        <v>74</v>
      </c>
      <c r="E678" t="s">
        <v>74</v>
      </c>
      <c r="F678" t="s">
        <v>12701</v>
      </c>
      <c r="G678" t="s">
        <v>74</v>
      </c>
      <c r="H678" t="s">
        <v>74</v>
      </c>
      <c r="I678" t="s">
        <v>12702</v>
      </c>
      <c r="J678" t="s">
        <v>6171</v>
      </c>
      <c r="K678" t="s">
        <v>74</v>
      </c>
      <c r="L678" t="s">
        <v>74</v>
      </c>
      <c r="M678" t="s">
        <v>200</v>
      </c>
      <c r="N678" t="s">
        <v>79</v>
      </c>
      <c r="O678" t="s">
        <v>74</v>
      </c>
      <c r="P678" t="s">
        <v>74</v>
      </c>
      <c r="Q678" t="s">
        <v>74</v>
      </c>
      <c r="R678" t="s">
        <v>74</v>
      </c>
      <c r="S678" t="s">
        <v>74</v>
      </c>
      <c r="T678" t="s">
        <v>74</v>
      </c>
      <c r="U678" t="s">
        <v>12703</v>
      </c>
      <c r="V678" t="s">
        <v>12704</v>
      </c>
      <c r="W678" t="s">
        <v>12705</v>
      </c>
      <c r="X678" t="s">
        <v>12706</v>
      </c>
      <c r="Y678" t="s">
        <v>12707</v>
      </c>
      <c r="Z678" t="s">
        <v>12708</v>
      </c>
      <c r="AA678" t="s">
        <v>12709</v>
      </c>
      <c r="AB678" t="s">
        <v>12710</v>
      </c>
      <c r="AC678" t="s">
        <v>12711</v>
      </c>
      <c r="AD678" t="s">
        <v>12712</v>
      </c>
      <c r="AE678" t="s">
        <v>12713</v>
      </c>
      <c r="AF678" t="s">
        <v>74</v>
      </c>
      <c r="AG678">
        <v>118</v>
      </c>
      <c r="AH678">
        <v>42</v>
      </c>
      <c r="AI678">
        <v>46</v>
      </c>
      <c r="AJ678">
        <v>2</v>
      </c>
      <c r="AK678">
        <v>47</v>
      </c>
      <c r="AL678" t="s">
        <v>2410</v>
      </c>
      <c r="AM678" t="s">
        <v>1559</v>
      </c>
      <c r="AN678" t="s">
        <v>2411</v>
      </c>
      <c r="AO678" t="s">
        <v>6184</v>
      </c>
      <c r="AP678" t="s">
        <v>6185</v>
      </c>
      <c r="AQ678" t="s">
        <v>74</v>
      </c>
      <c r="AR678" t="s">
        <v>6171</v>
      </c>
      <c r="AS678" t="s">
        <v>6186</v>
      </c>
      <c r="AT678" t="s">
        <v>12574</v>
      </c>
      <c r="AU678">
        <v>2015</v>
      </c>
      <c r="AV678">
        <v>30</v>
      </c>
      <c r="AW678">
        <v>12</v>
      </c>
      <c r="AX678" t="s">
        <v>74</v>
      </c>
      <c r="AY678" t="s">
        <v>74</v>
      </c>
      <c r="AZ678" t="s">
        <v>74</v>
      </c>
      <c r="BA678" t="s">
        <v>74</v>
      </c>
      <c r="BB678">
        <v>1595</v>
      </c>
      <c r="BC678">
        <v>1612</v>
      </c>
      <c r="BD678" t="s">
        <v>74</v>
      </c>
      <c r="BE678" t="s">
        <v>12714</v>
      </c>
      <c r="BF678" t="str">
        <f>HYPERLINK("http://dx.doi.org/10.1002/2015PA002795","http://dx.doi.org/10.1002/2015PA002795")</f>
        <v>http://dx.doi.org/10.1002/2015PA002795</v>
      </c>
      <c r="BG678" t="s">
        <v>74</v>
      </c>
      <c r="BH678" t="s">
        <v>74</v>
      </c>
      <c r="BI678">
        <v>18</v>
      </c>
      <c r="BJ678" t="s">
        <v>6188</v>
      </c>
      <c r="BK678" t="s">
        <v>264</v>
      </c>
      <c r="BL678" t="s">
        <v>6189</v>
      </c>
      <c r="BM678" t="s">
        <v>12715</v>
      </c>
      <c r="BN678" t="s">
        <v>74</v>
      </c>
      <c r="BO678" t="s">
        <v>486</v>
      </c>
      <c r="BP678" t="s">
        <v>74</v>
      </c>
      <c r="BQ678" t="s">
        <v>74</v>
      </c>
      <c r="BR678" t="s">
        <v>100</v>
      </c>
      <c r="BS678" t="s">
        <v>12716</v>
      </c>
      <c r="BT678" t="str">
        <f>HYPERLINK("https%3A%2F%2Fwww.webofscience.com%2Fwos%2Fwoscc%2Ffull-record%2FWOS:000368909400001","View Full Record in Web of Science")</f>
        <v>View Full Record in Web of Science</v>
      </c>
    </row>
    <row r="679" spans="1:72" x14ac:dyDescent="0.15">
      <c r="A679" t="s">
        <v>72</v>
      </c>
      <c r="B679" t="s">
        <v>12717</v>
      </c>
      <c r="C679" t="s">
        <v>74</v>
      </c>
      <c r="D679" t="s">
        <v>74</v>
      </c>
      <c r="E679" t="s">
        <v>74</v>
      </c>
      <c r="F679" t="s">
        <v>12718</v>
      </c>
      <c r="G679" t="s">
        <v>74</v>
      </c>
      <c r="H679" t="s">
        <v>74</v>
      </c>
      <c r="I679" t="s">
        <v>12719</v>
      </c>
      <c r="J679" t="s">
        <v>9421</v>
      </c>
      <c r="K679" t="s">
        <v>74</v>
      </c>
      <c r="L679" t="s">
        <v>74</v>
      </c>
      <c r="M679" t="s">
        <v>200</v>
      </c>
      <c r="N679" t="s">
        <v>79</v>
      </c>
      <c r="O679" t="s">
        <v>74</v>
      </c>
      <c r="P679" t="s">
        <v>74</v>
      </c>
      <c r="Q679" t="s">
        <v>74</v>
      </c>
      <c r="R679" t="s">
        <v>74</v>
      </c>
      <c r="S679" t="s">
        <v>74</v>
      </c>
      <c r="T679" t="s">
        <v>12720</v>
      </c>
      <c r="U679" t="s">
        <v>12721</v>
      </c>
      <c r="V679" t="s">
        <v>12722</v>
      </c>
      <c r="W679" t="s">
        <v>12723</v>
      </c>
      <c r="X679" t="s">
        <v>12724</v>
      </c>
      <c r="Y679" t="s">
        <v>12725</v>
      </c>
      <c r="Z679" t="s">
        <v>12726</v>
      </c>
      <c r="AA679" t="s">
        <v>12727</v>
      </c>
      <c r="AB679" t="s">
        <v>12728</v>
      </c>
      <c r="AC679" t="s">
        <v>12729</v>
      </c>
      <c r="AD679" t="s">
        <v>12730</v>
      </c>
      <c r="AE679" t="s">
        <v>12731</v>
      </c>
      <c r="AF679" t="s">
        <v>74</v>
      </c>
      <c r="AG679">
        <v>62</v>
      </c>
      <c r="AH679">
        <v>27</v>
      </c>
      <c r="AI679">
        <v>28</v>
      </c>
      <c r="AJ679">
        <v>1</v>
      </c>
      <c r="AK679">
        <v>15</v>
      </c>
      <c r="AL679" t="s">
        <v>1385</v>
      </c>
      <c r="AM679" t="s">
        <v>1386</v>
      </c>
      <c r="AN679" t="s">
        <v>1387</v>
      </c>
      <c r="AO679" t="s">
        <v>9434</v>
      </c>
      <c r="AP679" t="s">
        <v>9435</v>
      </c>
      <c r="AQ679" t="s">
        <v>74</v>
      </c>
      <c r="AR679" t="s">
        <v>9436</v>
      </c>
      <c r="AS679" t="s">
        <v>9437</v>
      </c>
      <c r="AT679" t="s">
        <v>12574</v>
      </c>
      <c r="AU679">
        <v>2015</v>
      </c>
      <c r="AV679">
        <v>203</v>
      </c>
      <c r="AW679">
        <v>3</v>
      </c>
      <c r="AX679" t="s">
        <v>74</v>
      </c>
      <c r="AY679" t="s">
        <v>74</v>
      </c>
      <c r="AZ679" t="s">
        <v>74</v>
      </c>
      <c r="BA679" t="s">
        <v>74</v>
      </c>
      <c r="BB679">
        <v>1495</v>
      </c>
      <c r="BC679">
        <v>1527</v>
      </c>
      <c r="BD679" t="s">
        <v>74</v>
      </c>
      <c r="BE679" t="s">
        <v>12732</v>
      </c>
      <c r="BF679" t="str">
        <f>HYPERLINK("http://dx.doi.org/10.1093/gji/ggv366","http://dx.doi.org/10.1093/gji/ggv366")</f>
        <v>http://dx.doi.org/10.1093/gji/ggv366</v>
      </c>
      <c r="BG679" t="s">
        <v>74</v>
      </c>
      <c r="BH679" t="s">
        <v>74</v>
      </c>
      <c r="BI679">
        <v>33</v>
      </c>
      <c r="BJ679" t="s">
        <v>4474</v>
      </c>
      <c r="BK679" t="s">
        <v>264</v>
      </c>
      <c r="BL679" t="s">
        <v>4474</v>
      </c>
      <c r="BM679" t="s">
        <v>12733</v>
      </c>
      <c r="BN679" t="s">
        <v>74</v>
      </c>
      <c r="BO679" t="s">
        <v>2987</v>
      </c>
      <c r="BP679" t="s">
        <v>74</v>
      </c>
      <c r="BQ679" t="s">
        <v>74</v>
      </c>
      <c r="BR679" t="s">
        <v>100</v>
      </c>
      <c r="BS679" t="s">
        <v>12734</v>
      </c>
      <c r="BT679" t="str">
        <f>HYPERLINK("https%3A%2F%2Fwww.webofscience.com%2Fwos%2Fwoscc%2Ffull-record%2FWOS:000368426800004","View Full Record in Web of Science")</f>
        <v>View Full Record in Web of Science</v>
      </c>
    </row>
    <row r="680" spans="1:72" x14ac:dyDescent="0.15">
      <c r="A680" t="s">
        <v>72</v>
      </c>
      <c r="B680" t="s">
        <v>12735</v>
      </c>
      <c r="C680" t="s">
        <v>74</v>
      </c>
      <c r="D680" t="s">
        <v>74</v>
      </c>
      <c r="E680" t="s">
        <v>74</v>
      </c>
      <c r="F680" t="s">
        <v>12736</v>
      </c>
      <c r="G680" t="s">
        <v>74</v>
      </c>
      <c r="H680" t="s">
        <v>74</v>
      </c>
      <c r="I680" t="s">
        <v>12737</v>
      </c>
      <c r="J680" t="s">
        <v>12738</v>
      </c>
      <c r="K680" t="s">
        <v>74</v>
      </c>
      <c r="L680" t="s">
        <v>74</v>
      </c>
      <c r="M680" t="s">
        <v>200</v>
      </c>
      <c r="N680" t="s">
        <v>79</v>
      </c>
      <c r="O680" t="s">
        <v>74</v>
      </c>
      <c r="P680" t="s">
        <v>74</v>
      </c>
      <c r="Q680" t="s">
        <v>74</v>
      </c>
      <c r="R680" t="s">
        <v>74</v>
      </c>
      <c r="S680" t="s">
        <v>74</v>
      </c>
      <c r="T680" t="s">
        <v>12739</v>
      </c>
      <c r="U680" t="s">
        <v>12740</v>
      </c>
      <c r="V680" t="s">
        <v>12741</v>
      </c>
      <c r="W680" t="s">
        <v>12742</v>
      </c>
      <c r="X680" t="s">
        <v>12743</v>
      </c>
      <c r="Y680" t="s">
        <v>12744</v>
      </c>
      <c r="Z680" t="s">
        <v>12745</v>
      </c>
      <c r="AA680" t="s">
        <v>74</v>
      </c>
      <c r="AB680" t="s">
        <v>74</v>
      </c>
      <c r="AC680" t="s">
        <v>12746</v>
      </c>
      <c r="AD680" t="s">
        <v>12747</v>
      </c>
      <c r="AE680" t="s">
        <v>12748</v>
      </c>
      <c r="AF680" t="s">
        <v>74</v>
      </c>
      <c r="AG680">
        <v>54</v>
      </c>
      <c r="AH680">
        <v>3</v>
      </c>
      <c r="AI680">
        <v>4</v>
      </c>
      <c r="AJ680">
        <v>0</v>
      </c>
      <c r="AK680">
        <v>20</v>
      </c>
      <c r="AL680" t="s">
        <v>6373</v>
      </c>
      <c r="AM680" t="s">
        <v>6374</v>
      </c>
      <c r="AN680" t="s">
        <v>6375</v>
      </c>
      <c r="AO680" t="s">
        <v>12749</v>
      </c>
      <c r="AP680" t="s">
        <v>12750</v>
      </c>
      <c r="AQ680" t="s">
        <v>74</v>
      </c>
      <c r="AR680" t="s">
        <v>12751</v>
      </c>
      <c r="AS680" t="s">
        <v>12752</v>
      </c>
      <c r="AT680" t="s">
        <v>12574</v>
      </c>
      <c r="AU680">
        <v>2015</v>
      </c>
      <c r="AV680">
        <v>29</v>
      </c>
      <c r="AW680">
        <v>6</v>
      </c>
      <c r="AX680" t="s">
        <v>74</v>
      </c>
      <c r="AY680" t="s">
        <v>74</v>
      </c>
      <c r="AZ680" t="s">
        <v>74</v>
      </c>
      <c r="BA680" t="s">
        <v>74</v>
      </c>
      <c r="BB680">
        <v>917</v>
      </c>
      <c r="BC680">
        <v>934</v>
      </c>
      <c r="BD680" t="s">
        <v>74</v>
      </c>
      <c r="BE680" t="s">
        <v>12753</v>
      </c>
      <c r="BF680" t="str">
        <f>HYPERLINK("http://dx.doi.org/10.1007/s13351-015-5095-6","http://dx.doi.org/10.1007/s13351-015-5095-6")</f>
        <v>http://dx.doi.org/10.1007/s13351-015-5095-6</v>
      </c>
      <c r="BG680" t="s">
        <v>74</v>
      </c>
      <c r="BH680" t="s">
        <v>74</v>
      </c>
      <c r="BI680">
        <v>18</v>
      </c>
      <c r="BJ680" t="s">
        <v>1721</v>
      </c>
      <c r="BK680" t="s">
        <v>264</v>
      </c>
      <c r="BL680" t="s">
        <v>1721</v>
      </c>
      <c r="BM680" t="s">
        <v>12754</v>
      </c>
      <c r="BN680" t="s">
        <v>74</v>
      </c>
      <c r="BO680" t="s">
        <v>5581</v>
      </c>
      <c r="BP680" t="s">
        <v>74</v>
      </c>
      <c r="BQ680" t="s">
        <v>74</v>
      </c>
      <c r="BR680" t="s">
        <v>100</v>
      </c>
      <c r="BS680" t="s">
        <v>12755</v>
      </c>
      <c r="BT680" t="str">
        <f>HYPERLINK("https%3A%2F%2Fwww.webofscience.com%2Fwos%2Fwoscc%2Ffull-record%2FWOS:000368611300004","View Full Record in Web of Science")</f>
        <v>View Full Record in Web of Science</v>
      </c>
    </row>
    <row r="681" spans="1:72" x14ac:dyDescent="0.15">
      <c r="A681" t="s">
        <v>72</v>
      </c>
      <c r="B681" t="s">
        <v>12756</v>
      </c>
      <c r="C681" t="s">
        <v>74</v>
      </c>
      <c r="D681" t="s">
        <v>74</v>
      </c>
      <c r="E681" t="s">
        <v>74</v>
      </c>
      <c r="F681" t="s">
        <v>12757</v>
      </c>
      <c r="G681" t="s">
        <v>74</v>
      </c>
      <c r="H681" t="s">
        <v>74</v>
      </c>
      <c r="I681" t="s">
        <v>12758</v>
      </c>
      <c r="J681" t="s">
        <v>12759</v>
      </c>
      <c r="K681" t="s">
        <v>74</v>
      </c>
      <c r="L681" t="s">
        <v>74</v>
      </c>
      <c r="M681" t="s">
        <v>200</v>
      </c>
      <c r="N681" t="s">
        <v>79</v>
      </c>
      <c r="O681" t="s">
        <v>74</v>
      </c>
      <c r="P681" t="s">
        <v>74</v>
      </c>
      <c r="Q681" t="s">
        <v>74</v>
      </c>
      <c r="R681" t="s">
        <v>74</v>
      </c>
      <c r="S681" t="s">
        <v>74</v>
      </c>
      <c r="T681" t="s">
        <v>74</v>
      </c>
      <c r="U681" t="s">
        <v>12760</v>
      </c>
      <c r="V681" t="s">
        <v>12761</v>
      </c>
      <c r="W681" t="s">
        <v>12762</v>
      </c>
      <c r="X681" t="s">
        <v>12763</v>
      </c>
      <c r="Y681" t="s">
        <v>12764</v>
      </c>
      <c r="Z681" t="s">
        <v>12765</v>
      </c>
      <c r="AA681" t="s">
        <v>12766</v>
      </c>
      <c r="AB681" t="s">
        <v>12767</v>
      </c>
      <c r="AC681" t="s">
        <v>12768</v>
      </c>
      <c r="AD681" t="s">
        <v>12769</v>
      </c>
      <c r="AE681" t="s">
        <v>12770</v>
      </c>
      <c r="AF681" t="s">
        <v>74</v>
      </c>
      <c r="AG681">
        <v>48</v>
      </c>
      <c r="AH681">
        <v>33</v>
      </c>
      <c r="AI681">
        <v>34</v>
      </c>
      <c r="AJ681">
        <v>3</v>
      </c>
      <c r="AK681">
        <v>29</v>
      </c>
      <c r="AL681" t="s">
        <v>12771</v>
      </c>
      <c r="AM681" t="s">
        <v>12772</v>
      </c>
      <c r="AN681" t="s">
        <v>12773</v>
      </c>
      <c r="AO681" t="s">
        <v>12774</v>
      </c>
      <c r="AP681" t="s">
        <v>74</v>
      </c>
      <c r="AQ681" t="s">
        <v>74</v>
      </c>
      <c r="AR681" t="s">
        <v>12759</v>
      </c>
      <c r="AS681" t="s">
        <v>5339</v>
      </c>
      <c r="AT681" t="s">
        <v>12574</v>
      </c>
      <c r="AU681">
        <v>2015</v>
      </c>
      <c r="AV681">
        <v>28</v>
      </c>
      <c r="AW681">
        <v>4</v>
      </c>
      <c r="AX681" t="s">
        <v>74</v>
      </c>
      <c r="AY681" t="s">
        <v>74</v>
      </c>
      <c r="AZ681" t="s">
        <v>2540</v>
      </c>
      <c r="BA681" t="s">
        <v>74</v>
      </c>
      <c r="BB681">
        <v>34</v>
      </c>
      <c r="BC681">
        <v>45</v>
      </c>
      <c r="BD681" t="s">
        <v>74</v>
      </c>
      <c r="BE681" t="s">
        <v>12775</v>
      </c>
      <c r="BF681" t="str">
        <f>HYPERLINK("http://dx.doi.org/10.5670/oceanog.2015.79","http://dx.doi.org/10.5670/oceanog.2015.79")</f>
        <v>http://dx.doi.org/10.5670/oceanog.2015.79</v>
      </c>
      <c r="BG681" t="s">
        <v>74</v>
      </c>
      <c r="BH681" t="s">
        <v>74</v>
      </c>
      <c r="BI681">
        <v>12</v>
      </c>
      <c r="BJ681" t="s">
        <v>5339</v>
      </c>
      <c r="BK681" t="s">
        <v>264</v>
      </c>
      <c r="BL681" t="s">
        <v>5339</v>
      </c>
      <c r="BM681" t="s">
        <v>12776</v>
      </c>
      <c r="BN681" t="s">
        <v>74</v>
      </c>
      <c r="BO681" t="s">
        <v>99</v>
      </c>
      <c r="BP681" t="s">
        <v>74</v>
      </c>
      <c r="BQ681" t="s">
        <v>74</v>
      </c>
      <c r="BR681" t="s">
        <v>100</v>
      </c>
      <c r="BS681" t="s">
        <v>12777</v>
      </c>
      <c r="BT681" t="str">
        <f>HYPERLINK("https%3A%2F%2Fwww.webofscience.com%2Fwos%2Fwoscc%2Ffull-record%2FWOS:000368447000006","View Full Record in Web of Science")</f>
        <v>View Full Record in Web of Science</v>
      </c>
    </row>
    <row r="682" spans="1:72" x14ac:dyDescent="0.15">
      <c r="A682" t="s">
        <v>72</v>
      </c>
      <c r="B682" t="s">
        <v>12778</v>
      </c>
      <c r="C682" t="s">
        <v>74</v>
      </c>
      <c r="D682" t="s">
        <v>74</v>
      </c>
      <c r="E682" t="s">
        <v>74</v>
      </c>
      <c r="F682" t="s">
        <v>12779</v>
      </c>
      <c r="G682" t="s">
        <v>74</v>
      </c>
      <c r="H682" t="s">
        <v>74</v>
      </c>
      <c r="I682" t="s">
        <v>12780</v>
      </c>
      <c r="J682" t="s">
        <v>12781</v>
      </c>
      <c r="K682" t="s">
        <v>74</v>
      </c>
      <c r="L682" t="s">
        <v>74</v>
      </c>
      <c r="M682" t="s">
        <v>200</v>
      </c>
      <c r="N682" t="s">
        <v>717</v>
      </c>
      <c r="O682" t="s">
        <v>74</v>
      </c>
      <c r="P682" t="s">
        <v>74</v>
      </c>
      <c r="Q682" t="s">
        <v>74</v>
      </c>
      <c r="R682" t="s">
        <v>74</v>
      </c>
      <c r="S682" t="s">
        <v>74</v>
      </c>
      <c r="T682" t="s">
        <v>12782</v>
      </c>
      <c r="U682" t="s">
        <v>12783</v>
      </c>
      <c r="V682" t="s">
        <v>12784</v>
      </c>
      <c r="W682" t="s">
        <v>12785</v>
      </c>
      <c r="X682" t="s">
        <v>12786</v>
      </c>
      <c r="Y682" t="s">
        <v>12787</v>
      </c>
      <c r="Z682" t="s">
        <v>12788</v>
      </c>
      <c r="AA682" t="s">
        <v>12789</v>
      </c>
      <c r="AB682" t="s">
        <v>12790</v>
      </c>
      <c r="AC682" t="s">
        <v>12791</v>
      </c>
      <c r="AD682" t="s">
        <v>12792</v>
      </c>
      <c r="AE682" t="s">
        <v>12793</v>
      </c>
      <c r="AF682" t="s">
        <v>74</v>
      </c>
      <c r="AG682">
        <v>197</v>
      </c>
      <c r="AH682">
        <v>33</v>
      </c>
      <c r="AI682">
        <v>33</v>
      </c>
      <c r="AJ682">
        <v>1</v>
      </c>
      <c r="AK682">
        <v>28</v>
      </c>
      <c r="AL682" t="s">
        <v>5464</v>
      </c>
      <c r="AM682" t="s">
        <v>5465</v>
      </c>
      <c r="AN682" t="s">
        <v>5466</v>
      </c>
      <c r="AO682" t="s">
        <v>12794</v>
      </c>
      <c r="AP682" t="s">
        <v>12795</v>
      </c>
      <c r="AQ682" t="s">
        <v>74</v>
      </c>
      <c r="AR682" t="s">
        <v>12796</v>
      </c>
      <c r="AS682" t="s">
        <v>12797</v>
      </c>
      <c r="AT682" t="s">
        <v>12574</v>
      </c>
      <c r="AU682">
        <v>2015</v>
      </c>
      <c r="AV682">
        <v>7</v>
      </c>
      <c r="AW682">
        <v>4</v>
      </c>
      <c r="AX682" t="s">
        <v>74</v>
      </c>
      <c r="AY682" t="s">
        <v>74</v>
      </c>
      <c r="AZ682" t="s">
        <v>74</v>
      </c>
      <c r="BA682" t="s">
        <v>74</v>
      </c>
      <c r="BB682">
        <v>243</v>
      </c>
      <c r="BC682">
        <v>261</v>
      </c>
      <c r="BD682" t="s">
        <v>74</v>
      </c>
      <c r="BE682" t="s">
        <v>12798</v>
      </c>
      <c r="BF682" t="str">
        <f>HYPERLINK("http://dx.doi.org/10.1111/raq.12066","http://dx.doi.org/10.1111/raq.12066")</f>
        <v>http://dx.doi.org/10.1111/raq.12066</v>
      </c>
      <c r="BG682" t="s">
        <v>74</v>
      </c>
      <c r="BH682" t="s">
        <v>74</v>
      </c>
      <c r="BI682">
        <v>19</v>
      </c>
      <c r="BJ682" t="s">
        <v>263</v>
      </c>
      <c r="BK682" t="s">
        <v>264</v>
      </c>
      <c r="BL682" t="s">
        <v>263</v>
      </c>
      <c r="BM682" t="s">
        <v>12799</v>
      </c>
      <c r="BN682" t="s">
        <v>74</v>
      </c>
      <c r="BO682" t="s">
        <v>74</v>
      </c>
      <c r="BP682" t="s">
        <v>74</v>
      </c>
      <c r="BQ682" t="s">
        <v>74</v>
      </c>
      <c r="BR682" t="s">
        <v>100</v>
      </c>
      <c r="BS682" t="s">
        <v>12800</v>
      </c>
      <c r="BT682" t="str">
        <f>HYPERLINK("https%3A%2F%2Fwww.webofscience.com%2Fwos%2Fwoscc%2Ffull-record%2FWOS:000368516400002","View Full Record in Web of Science")</f>
        <v>View Full Record in Web of Science</v>
      </c>
    </row>
    <row r="683" spans="1:72" x14ac:dyDescent="0.15">
      <c r="A683" t="s">
        <v>72</v>
      </c>
      <c r="B683" t="s">
        <v>12801</v>
      </c>
      <c r="C683" t="s">
        <v>74</v>
      </c>
      <c r="D683" t="s">
        <v>74</v>
      </c>
      <c r="E683" t="s">
        <v>74</v>
      </c>
      <c r="F683" t="s">
        <v>12802</v>
      </c>
      <c r="G683" t="s">
        <v>74</v>
      </c>
      <c r="H683" t="s">
        <v>74</v>
      </c>
      <c r="I683" t="s">
        <v>12803</v>
      </c>
      <c r="J683" t="s">
        <v>12804</v>
      </c>
      <c r="K683" t="s">
        <v>74</v>
      </c>
      <c r="L683" t="s">
        <v>74</v>
      </c>
      <c r="M683" t="s">
        <v>200</v>
      </c>
      <c r="N683" t="s">
        <v>79</v>
      </c>
      <c r="O683" t="s">
        <v>74</v>
      </c>
      <c r="P683" t="s">
        <v>74</v>
      </c>
      <c r="Q683" t="s">
        <v>74</v>
      </c>
      <c r="R683" t="s">
        <v>74</v>
      </c>
      <c r="S683" t="s">
        <v>74</v>
      </c>
      <c r="T683" t="s">
        <v>74</v>
      </c>
      <c r="U683" t="s">
        <v>12805</v>
      </c>
      <c r="V683" t="s">
        <v>12806</v>
      </c>
      <c r="W683" t="s">
        <v>12807</v>
      </c>
      <c r="X683" t="s">
        <v>12808</v>
      </c>
      <c r="Y683" t="s">
        <v>12809</v>
      </c>
      <c r="Z683" t="s">
        <v>12810</v>
      </c>
      <c r="AA683" t="s">
        <v>12811</v>
      </c>
      <c r="AB683" t="s">
        <v>12812</v>
      </c>
      <c r="AC683" t="s">
        <v>6901</v>
      </c>
      <c r="AD683" t="s">
        <v>6901</v>
      </c>
      <c r="AE683" t="s">
        <v>12813</v>
      </c>
      <c r="AF683" t="s">
        <v>74</v>
      </c>
      <c r="AG683">
        <v>76</v>
      </c>
      <c r="AH683">
        <v>3</v>
      </c>
      <c r="AI683">
        <v>3</v>
      </c>
      <c r="AJ683">
        <v>0</v>
      </c>
      <c r="AK683">
        <v>10</v>
      </c>
      <c r="AL683" t="s">
        <v>2410</v>
      </c>
      <c r="AM683" t="s">
        <v>1559</v>
      </c>
      <c r="AN683" t="s">
        <v>2411</v>
      </c>
      <c r="AO683" t="s">
        <v>12814</v>
      </c>
      <c r="AP683" t="s">
        <v>12815</v>
      </c>
      <c r="AQ683" t="s">
        <v>74</v>
      </c>
      <c r="AR683" t="s">
        <v>12804</v>
      </c>
      <c r="AS683" t="s">
        <v>12816</v>
      </c>
      <c r="AT683" t="s">
        <v>12574</v>
      </c>
      <c r="AU683">
        <v>2015</v>
      </c>
      <c r="AV683">
        <v>34</v>
      </c>
      <c r="AW683">
        <v>12</v>
      </c>
      <c r="AX683" t="s">
        <v>74</v>
      </c>
      <c r="AY683" t="s">
        <v>74</v>
      </c>
      <c r="AZ683" t="s">
        <v>74</v>
      </c>
      <c r="BA683" t="s">
        <v>74</v>
      </c>
      <c r="BB683">
        <v>2451</v>
      </c>
      <c r="BC683">
        <v>2464</v>
      </c>
      <c r="BD683" t="s">
        <v>74</v>
      </c>
      <c r="BE683" t="s">
        <v>12817</v>
      </c>
      <c r="BF683" t="str">
        <f>HYPERLINK("http://dx.doi.org/10.1002/2015TC004041","http://dx.doi.org/10.1002/2015TC004041")</f>
        <v>http://dx.doi.org/10.1002/2015TC004041</v>
      </c>
      <c r="BG683" t="s">
        <v>74</v>
      </c>
      <c r="BH683" t="s">
        <v>74</v>
      </c>
      <c r="BI683">
        <v>14</v>
      </c>
      <c r="BJ683" t="s">
        <v>4474</v>
      </c>
      <c r="BK683" t="s">
        <v>264</v>
      </c>
      <c r="BL683" t="s">
        <v>4474</v>
      </c>
      <c r="BM683" t="s">
        <v>12818</v>
      </c>
      <c r="BN683" t="s">
        <v>74</v>
      </c>
      <c r="BO683" t="s">
        <v>486</v>
      </c>
      <c r="BP683" t="s">
        <v>74</v>
      </c>
      <c r="BQ683" t="s">
        <v>74</v>
      </c>
      <c r="BR683" t="s">
        <v>100</v>
      </c>
      <c r="BS683" t="s">
        <v>12819</v>
      </c>
      <c r="BT683" t="str">
        <f>HYPERLINK("https%3A%2F%2Fwww.webofscience.com%2Fwos%2Fwoscc%2Ffull-record%2FWOS:000368669900006","View Full Record in Web of Science")</f>
        <v>View Full Record in Web of Science</v>
      </c>
    </row>
    <row r="684" spans="1:72" x14ac:dyDescent="0.15">
      <c r="A684" t="s">
        <v>72</v>
      </c>
      <c r="B684" t="s">
        <v>12820</v>
      </c>
      <c r="C684" t="s">
        <v>74</v>
      </c>
      <c r="D684" t="s">
        <v>74</v>
      </c>
      <c r="E684" t="s">
        <v>74</v>
      </c>
      <c r="F684" t="s">
        <v>12821</v>
      </c>
      <c r="G684" t="s">
        <v>74</v>
      </c>
      <c r="H684" t="s">
        <v>74</v>
      </c>
      <c r="I684" t="s">
        <v>12822</v>
      </c>
      <c r="J684" t="s">
        <v>12823</v>
      </c>
      <c r="K684" t="s">
        <v>74</v>
      </c>
      <c r="L684" t="s">
        <v>74</v>
      </c>
      <c r="M684" t="s">
        <v>200</v>
      </c>
      <c r="N684" t="s">
        <v>79</v>
      </c>
      <c r="O684" t="s">
        <v>74</v>
      </c>
      <c r="P684" t="s">
        <v>74</v>
      </c>
      <c r="Q684" t="s">
        <v>74</v>
      </c>
      <c r="R684" t="s">
        <v>74</v>
      </c>
      <c r="S684" t="s">
        <v>74</v>
      </c>
      <c r="T684" t="s">
        <v>12824</v>
      </c>
      <c r="U684" t="s">
        <v>12825</v>
      </c>
      <c r="V684" t="s">
        <v>12826</v>
      </c>
      <c r="W684" t="s">
        <v>12827</v>
      </c>
      <c r="X684" t="s">
        <v>12828</v>
      </c>
      <c r="Y684" t="s">
        <v>12829</v>
      </c>
      <c r="Z684" t="s">
        <v>12830</v>
      </c>
      <c r="AA684" t="s">
        <v>12831</v>
      </c>
      <c r="AB684" t="s">
        <v>12832</v>
      </c>
      <c r="AC684" t="s">
        <v>12833</v>
      </c>
      <c r="AD684" t="s">
        <v>12833</v>
      </c>
      <c r="AE684" t="s">
        <v>12834</v>
      </c>
      <c r="AF684" t="s">
        <v>74</v>
      </c>
      <c r="AG684">
        <v>51</v>
      </c>
      <c r="AH684">
        <v>10</v>
      </c>
      <c r="AI684">
        <v>10</v>
      </c>
      <c r="AJ684">
        <v>0</v>
      </c>
      <c r="AK684">
        <v>26</v>
      </c>
      <c r="AL684" t="s">
        <v>5464</v>
      </c>
      <c r="AM684" t="s">
        <v>5465</v>
      </c>
      <c r="AN684" t="s">
        <v>5466</v>
      </c>
      <c r="AO684" t="s">
        <v>12835</v>
      </c>
      <c r="AP684" t="s">
        <v>12836</v>
      </c>
      <c r="AQ684" t="s">
        <v>74</v>
      </c>
      <c r="AR684" t="s">
        <v>12837</v>
      </c>
      <c r="AS684" t="s">
        <v>12838</v>
      </c>
      <c r="AT684" t="s">
        <v>12574</v>
      </c>
      <c r="AU684">
        <v>2015</v>
      </c>
      <c r="AV684">
        <v>40</v>
      </c>
      <c r="AW684">
        <v>15</v>
      </c>
      <c r="AX684" t="s">
        <v>74</v>
      </c>
      <c r="AY684" t="s">
        <v>74</v>
      </c>
      <c r="AZ684" t="s">
        <v>74</v>
      </c>
      <c r="BA684" t="s">
        <v>74</v>
      </c>
      <c r="BB684">
        <v>2013</v>
      </c>
      <c r="BC684">
        <v>2025</v>
      </c>
      <c r="BD684" t="s">
        <v>74</v>
      </c>
      <c r="BE684" t="s">
        <v>12839</v>
      </c>
      <c r="BF684" t="str">
        <f>HYPERLINK("http://dx.doi.org/10.1002/esp.3776","http://dx.doi.org/10.1002/esp.3776")</f>
        <v>http://dx.doi.org/10.1002/esp.3776</v>
      </c>
      <c r="BG684" t="s">
        <v>74</v>
      </c>
      <c r="BH684" t="s">
        <v>74</v>
      </c>
      <c r="BI684">
        <v>13</v>
      </c>
      <c r="BJ684" t="s">
        <v>2247</v>
      </c>
      <c r="BK684" t="s">
        <v>264</v>
      </c>
      <c r="BL684" t="s">
        <v>2248</v>
      </c>
      <c r="BM684" t="s">
        <v>12840</v>
      </c>
      <c r="BN684" t="s">
        <v>74</v>
      </c>
      <c r="BO684" t="s">
        <v>74</v>
      </c>
      <c r="BP684" t="s">
        <v>74</v>
      </c>
      <c r="BQ684" t="s">
        <v>74</v>
      </c>
      <c r="BR684" t="s">
        <v>100</v>
      </c>
      <c r="BS684" t="s">
        <v>12841</v>
      </c>
      <c r="BT684" t="str">
        <f>HYPERLINK("https%3A%2F%2Fwww.webofscience.com%2Fwos%2Fwoscc%2Ffull-record%2FWOS:000368004400003","View Full Record in Web of Science")</f>
        <v>View Full Record in Web of Science</v>
      </c>
    </row>
    <row r="685" spans="1:72" x14ac:dyDescent="0.15">
      <c r="A685" t="s">
        <v>72</v>
      </c>
      <c r="B685" t="s">
        <v>12842</v>
      </c>
      <c r="C685" t="s">
        <v>74</v>
      </c>
      <c r="D685" t="s">
        <v>74</v>
      </c>
      <c r="E685" t="s">
        <v>74</v>
      </c>
      <c r="F685" t="s">
        <v>12843</v>
      </c>
      <c r="G685" t="s">
        <v>74</v>
      </c>
      <c r="H685" t="s">
        <v>74</v>
      </c>
      <c r="I685" t="s">
        <v>12844</v>
      </c>
      <c r="J685" t="s">
        <v>12845</v>
      </c>
      <c r="K685" t="s">
        <v>74</v>
      </c>
      <c r="L685" t="s">
        <v>74</v>
      </c>
      <c r="M685" t="s">
        <v>200</v>
      </c>
      <c r="N685" t="s">
        <v>79</v>
      </c>
      <c r="O685" t="s">
        <v>74</v>
      </c>
      <c r="P685" t="s">
        <v>74</v>
      </c>
      <c r="Q685" t="s">
        <v>74</v>
      </c>
      <c r="R685" t="s">
        <v>74</v>
      </c>
      <c r="S685" t="s">
        <v>74</v>
      </c>
      <c r="T685" t="s">
        <v>12846</v>
      </c>
      <c r="U685" t="s">
        <v>12847</v>
      </c>
      <c r="V685" t="s">
        <v>12848</v>
      </c>
      <c r="W685" t="s">
        <v>12849</v>
      </c>
      <c r="X685" t="s">
        <v>12850</v>
      </c>
      <c r="Y685" t="s">
        <v>12851</v>
      </c>
      <c r="Z685" t="s">
        <v>12852</v>
      </c>
      <c r="AA685" t="s">
        <v>12853</v>
      </c>
      <c r="AB685" t="s">
        <v>12854</v>
      </c>
      <c r="AC685" t="s">
        <v>74</v>
      </c>
      <c r="AD685" t="s">
        <v>74</v>
      </c>
      <c r="AE685" t="s">
        <v>74</v>
      </c>
      <c r="AF685" t="s">
        <v>74</v>
      </c>
      <c r="AG685">
        <v>51</v>
      </c>
      <c r="AH685">
        <v>10</v>
      </c>
      <c r="AI685">
        <v>11</v>
      </c>
      <c r="AJ685">
        <v>0</v>
      </c>
      <c r="AK685">
        <v>20</v>
      </c>
      <c r="AL685" t="s">
        <v>5464</v>
      </c>
      <c r="AM685" t="s">
        <v>5465</v>
      </c>
      <c r="AN685" t="s">
        <v>5466</v>
      </c>
      <c r="AO685" t="s">
        <v>12855</v>
      </c>
      <c r="AP685" t="s">
        <v>12856</v>
      </c>
      <c r="AQ685" t="s">
        <v>74</v>
      </c>
      <c r="AR685" t="s">
        <v>12857</v>
      </c>
      <c r="AS685" t="s">
        <v>12858</v>
      </c>
      <c r="AT685" t="s">
        <v>12574</v>
      </c>
      <c r="AU685">
        <v>2015</v>
      </c>
      <c r="AV685">
        <v>297</v>
      </c>
      <c r="AW685">
        <v>4</v>
      </c>
      <c r="AX685" t="s">
        <v>74</v>
      </c>
      <c r="AY685" t="s">
        <v>74</v>
      </c>
      <c r="AZ685" t="s">
        <v>74</v>
      </c>
      <c r="BA685" t="s">
        <v>74</v>
      </c>
      <c r="BB685">
        <v>301</v>
      </c>
      <c r="BC685">
        <v>308</v>
      </c>
      <c r="BD685" t="s">
        <v>74</v>
      </c>
      <c r="BE685" t="s">
        <v>12859</v>
      </c>
      <c r="BF685" t="str">
        <f>HYPERLINK("http://dx.doi.org/10.1111/jzo.12279","http://dx.doi.org/10.1111/jzo.12279")</f>
        <v>http://dx.doi.org/10.1111/jzo.12279</v>
      </c>
      <c r="BG685" t="s">
        <v>74</v>
      </c>
      <c r="BH685" t="s">
        <v>74</v>
      </c>
      <c r="BI685">
        <v>8</v>
      </c>
      <c r="BJ685" t="s">
        <v>672</v>
      </c>
      <c r="BK685" t="s">
        <v>264</v>
      </c>
      <c r="BL685" t="s">
        <v>672</v>
      </c>
      <c r="BM685" t="s">
        <v>12860</v>
      </c>
      <c r="BN685" t="s">
        <v>74</v>
      </c>
      <c r="BO685" t="s">
        <v>74</v>
      </c>
      <c r="BP685" t="s">
        <v>74</v>
      </c>
      <c r="BQ685" t="s">
        <v>74</v>
      </c>
      <c r="BR685" t="s">
        <v>100</v>
      </c>
      <c r="BS685" t="s">
        <v>12861</v>
      </c>
      <c r="BT685" t="str">
        <f>HYPERLINK("https%3A%2F%2Fwww.webofscience.com%2Fwos%2Fwoscc%2Ffull-record%2FWOS:000368278600007","View Full Record in Web of Science")</f>
        <v>View Full Record in Web of Science</v>
      </c>
    </row>
    <row r="686" spans="1:72" x14ac:dyDescent="0.15">
      <c r="A686" t="s">
        <v>72</v>
      </c>
      <c r="B686" t="s">
        <v>12862</v>
      </c>
      <c r="C686" t="s">
        <v>74</v>
      </c>
      <c r="D686" t="s">
        <v>74</v>
      </c>
      <c r="E686" t="s">
        <v>74</v>
      </c>
      <c r="F686" t="s">
        <v>12863</v>
      </c>
      <c r="G686" t="s">
        <v>74</v>
      </c>
      <c r="H686" t="s">
        <v>74</v>
      </c>
      <c r="I686" t="s">
        <v>12864</v>
      </c>
      <c r="J686" t="s">
        <v>12865</v>
      </c>
      <c r="K686" t="s">
        <v>74</v>
      </c>
      <c r="L686" t="s">
        <v>74</v>
      </c>
      <c r="M686" t="s">
        <v>200</v>
      </c>
      <c r="N686" t="s">
        <v>79</v>
      </c>
      <c r="O686" t="s">
        <v>74</v>
      </c>
      <c r="P686" t="s">
        <v>74</v>
      </c>
      <c r="Q686" t="s">
        <v>74</v>
      </c>
      <c r="R686" t="s">
        <v>74</v>
      </c>
      <c r="S686" t="s">
        <v>74</v>
      </c>
      <c r="T686" t="s">
        <v>74</v>
      </c>
      <c r="U686" t="s">
        <v>12866</v>
      </c>
      <c r="V686" t="s">
        <v>12867</v>
      </c>
      <c r="W686" t="s">
        <v>12868</v>
      </c>
      <c r="X686" t="s">
        <v>12869</v>
      </c>
      <c r="Y686" t="s">
        <v>12870</v>
      </c>
      <c r="Z686" t="s">
        <v>12871</v>
      </c>
      <c r="AA686" t="s">
        <v>74</v>
      </c>
      <c r="AB686" t="s">
        <v>12872</v>
      </c>
      <c r="AC686" t="s">
        <v>12873</v>
      </c>
      <c r="AD686" t="s">
        <v>12874</v>
      </c>
      <c r="AE686" t="s">
        <v>12875</v>
      </c>
      <c r="AF686" t="s">
        <v>74</v>
      </c>
      <c r="AG686">
        <v>47</v>
      </c>
      <c r="AH686">
        <v>31</v>
      </c>
      <c r="AI686">
        <v>33</v>
      </c>
      <c r="AJ686">
        <v>1</v>
      </c>
      <c r="AK686">
        <v>20</v>
      </c>
      <c r="AL686" t="s">
        <v>5464</v>
      </c>
      <c r="AM686" t="s">
        <v>5465</v>
      </c>
      <c r="AN686" t="s">
        <v>5466</v>
      </c>
      <c r="AO686" t="s">
        <v>12876</v>
      </c>
      <c r="AP686" t="s">
        <v>12877</v>
      </c>
      <c r="AQ686" t="s">
        <v>74</v>
      </c>
      <c r="AR686" t="s">
        <v>12878</v>
      </c>
      <c r="AS686" t="s">
        <v>12879</v>
      </c>
      <c r="AT686" t="s">
        <v>12574</v>
      </c>
      <c r="AU686">
        <v>2015</v>
      </c>
      <c r="AV686">
        <v>50</v>
      </c>
      <c r="AW686">
        <v>12</v>
      </c>
      <c r="AX686" t="s">
        <v>74</v>
      </c>
      <c r="AY686" t="s">
        <v>74</v>
      </c>
      <c r="AZ686" t="s">
        <v>74</v>
      </c>
      <c r="BA686" t="s">
        <v>74</v>
      </c>
      <c r="BB686">
        <v>2121</v>
      </c>
      <c r="BC686">
        <v>2136</v>
      </c>
      <c r="BD686" t="s">
        <v>74</v>
      </c>
      <c r="BE686" t="s">
        <v>12880</v>
      </c>
      <c r="BF686" t="str">
        <f>HYPERLINK("http://dx.doi.org/10.1111/maps.12563","http://dx.doi.org/10.1111/maps.12563")</f>
        <v>http://dx.doi.org/10.1111/maps.12563</v>
      </c>
      <c r="BG686" t="s">
        <v>74</v>
      </c>
      <c r="BH686" t="s">
        <v>74</v>
      </c>
      <c r="BI686">
        <v>16</v>
      </c>
      <c r="BJ686" t="s">
        <v>4474</v>
      </c>
      <c r="BK686" t="s">
        <v>264</v>
      </c>
      <c r="BL686" t="s">
        <v>4474</v>
      </c>
      <c r="BM686" t="s">
        <v>12881</v>
      </c>
      <c r="BN686" t="s">
        <v>74</v>
      </c>
      <c r="BO686" t="s">
        <v>486</v>
      </c>
      <c r="BP686" t="s">
        <v>74</v>
      </c>
      <c r="BQ686" t="s">
        <v>74</v>
      </c>
      <c r="BR686" t="s">
        <v>100</v>
      </c>
      <c r="BS686" t="s">
        <v>12882</v>
      </c>
      <c r="BT686" t="str">
        <f>HYPERLINK("https%3A%2F%2Fwww.webofscience.com%2Fwos%2Fwoscc%2Ffull-record%2FWOS:000368018600010","View Full Record in Web of Science")</f>
        <v>View Full Record in Web of Science</v>
      </c>
    </row>
    <row r="687" spans="1:72" x14ac:dyDescent="0.15">
      <c r="A687" t="s">
        <v>72</v>
      </c>
      <c r="B687" t="s">
        <v>12883</v>
      </c>
      <c r="C687" t="s">
        <v>74</v>
      </c>
      <c r="D687" t="s">
        <v>74</v>
      </c>
      <c r="E687" t="s">
        <v>74</v>
      </c>
      <c r="F687" t="s">
        <v>12884</v>
      </c>
      <c r="G687" t="s">
        <v>74</v>
      </c>
      <c r="H687" t="s">
        <v>74</v>
      </c>
      <c r="I687" t="s">
        <v>12885</v>
      </c>
      <c r="J687" t="s">
        <v>12886</v>
      </c>
      <c r="K687" t="s">
        <v>74</v>
      </c>
      <c r="L687" t="s">
        <v>74</v>
      </c>
      <c r="M687" t="s">
        <v>200</v>
      </c>
      <c r="N687" t="s">
        <v>79</v>
      </c>
      <c r="O687" t="s">
        <v>74</v>
      </c>
      <c r="P687" t="s">
        <v>74</v>
      </c>
      <c r="Q687" t="s">
        <v>74</v>
      </c>
      <c r="R687" t="s">
        <v>74</v>
      </c>
      <c r="S687" t="s">
        <v>74</v>
      </c>
      <c r="T687" t="s">
        <v>12887</v>
      </c>
      <c r="U687" t="s">
        <v>12888</v>
      </c>
      <c r="V687" t="s">
        <v>12889</v>
      </c>
      <c r="W687" t="s">
        <v>12890</v>
      </c>
      <c r="X687" t="s">
        <v>12891</v>
      </c>
      <c r="Y687" t="s">
        <v>12892</v>
      </c>
      <c r="Z687" t="s">
        <v>12893</v>
      </c>
      <c r="AA687" t="s">
        <v>12894</v>
      </c>
      <c r="AB687" t="s">
        <v>12895</v>
      </c>
      <c r="AC687" t="s">
        <v>12896</v>
      </c>
      <c r="AD687" t="s">
        <v>12897</v>
      </c>
      <c r="AE687" t="s">
        <v>12898</v>
      </c>
      <c r="AF687" t="s">
        <v>74</v>
      </c>
      <c r="AG687">
        <v>40</v>
      </c>
      <c r="AH687">
        <v>14</v>
      </c>
      <c r="AI687">
        <v>14</v>
      </c>
      <c r="AJ687">
        <v>1</v>
      </c>
      <c r="AK687">
        <v>23</v>
      </c>
      <c r="AL687" t="s">
        <v>2239</v>
      </c>
      <c r="AM687" t="s">
        <v>289</v>
      </c>
      <c r="AN687" t="s">
        <v>7089</v>
      </c>
      <c r="AO687" t="s">
        <v>12899</v>
      </c>
      <c r="AP687" t="s">
        <v>12900</v>
      </c>
      <c r="AQ687" t="s">
        <v>74</v>
      </c>
      <c r="AR687" t="s">
        <v>12901</v>
      </c>
      <c r="AS687" t="s">
        <v>12902</v>
      </c>
      <c r="AT687" t="s">
        <v>12574</v>
      </c>
      <c r="AU687">
        <v>2015</v>
      </c>
      <c r="AV687">
        <v>27</v>
      </c>
      <c r="AW687">
        <v>6</v>
      </c>
      <c r="AX687" t="s">
        <v>74</v>
      </c>
      <c r="AY687" t="s">
        <v>74</v>
      </c>
      <c r="AZ687" t="s">
        <v>74</v>
      </c>
      <c r="BA687" t="s">
        <v>74</v>
      </c>
      <c r="BB687">
        <v>527</v>
      </c>
      <c r="BC687">
        <v>534</v>
      </c>
      <c r="BD687" t="s">
        <v>74</v>
      </c>
      <c r="BE687" t="s">
        <v>12903</v>
      </c>
      <c r="BF687" t="str">
        <f>HYPERLINK("http://dx.doi.org/10.1017/S0954102015000255","http://dx.doi.org/10.1017/S0954102015000255")</f>
        <v>http://dx.doi.org/10.1017/S0954102015000255</v>
      </c>
      <c r="BG687" t="s">
        <v>74</v>
      </c>
      <c r="BH687" t="s">
        <v>74</v>
      </c>
      <c r="BI687">
        <v>8</v>
      </c>
      <c r="BJ687" t="s">
        <v>12576</v>
      </c>
      <c r="BK687" t="s">
        <v>264</v>
      </c>
      <c r="BL687" t="s">
        <v>12577</v>
      </c>
      <c r="BM687" t="s">
        <v>12904</v>
      </c>
      <c r="BN687" t="s">
        <v>74</v>
      </c>
      <c r="BO687" t="s">
        <v>74</v>
      </c>
      <c r="BP687" t="s">
        <v>74</v>
      </c>
      <c r="BQ687" t="s">
        <v>74</v>
      </c>
      <c r="BR687" t="s">
        <v>100</v>
      </c>
      <c r="BS687" t="s">
        <v>12905</v>
      </c>
      <c r="BT687" t="str">
        <f>HYPERLINK("https%3A%2F%2Fwww.webofscience.com%2Fwos%2Fwoscc%2Ffull-record%2FWOS:000367904800002","View Full Record in Web of Science")</f>
        <v>View Full Record in Web of Science</v>
      </c>
    </row>
    <row r="688" spans="1:72" x14ac:dyDescent="0.15">
      <c r="A688" t="s">
        <v>72</v>
      </c>
      <c r="B688" t="s">
        <v>12906</v>
      </c>
      <c r="C688" t="s">
        <v>74</v>
      </c>
      <c r="D688" t="s">
        <v>74</v>
      </c>
      <c r="E688" t="s">
        <v>74</v>
      </c>
      <c r="F688" t="s">
        <v>12907</v>
      </c>
      <c r="G688" t="s">
        <v>74</v>
      </c>
      <c r="H688" t="s">
        <v>74</v>
      </c>
      <c r="I688" t="s">
        <v>12908</v>
      </c>
      <c r="J688" t="s">
        <v>12886</v>
      </c>
      <c r="K688" t="s">
        <v>74</v>
      </c>
      <c r="L688" t="s">
        <v>74</v>
      </c>
      <c r="M688" t="s">
        <v>200</v>
      </c>
      <c r="N688" t="s">
        <v>79</v>
      </c>
      <c r="O688" t="s">
        <v>74</v>
      </c>
      <c r="P688" t="s">
        <v>74</v>
      </c>
      <c r="Q688" t="s">
        <v>74</v>
      </c>
      <c r="R688" t="s">
        <v>74</v>
      </c>
      <c r="S688" t="s">
        <v>74</v>
      </c>
      <c r="T688" t="s">
        <v>12909</v>
      </c>
      <c r="U688" t="s">
        <v>12910</v>
      </c>
      <c r="V688" t="s">
        <v>12911</v>
      </c>
      <c r="W688" t="s">
        <v>12912</v>
      </c>
      <c r="X688" t="s">
        <v>12913</v>
      </c>
      <c r="Y688" t="s">
        <v>12914</v>
      </c>
      <c r="Z688" t="s">
        <v>6552</v>
      </c>
      <c r="AA688" t="s">
        <v>12915</v>
      </c>
      <c r="AB688" t="s">
        <v>74</v>
      </c>
      <c r="AC688" t="s">
        <v>12916</v>
      </c>
      <c r="AD688" t="s">
        <v>12917</v>
      </c>
      <c r="AE688" t="s">
        <v>12918</v>
      </c>
      <c r="AF688" t="s">
        <v>74</v>
      </c>
      <c r="AG688">
        <v>39</v>
      </c>
      <c r="AH688">
        <v>1</v>
      </c>
      <c r="AI688">
        <v>1</v>
      </c>
      <c r="AJ688">
        <v>1</v>
      </c>
      <c r="AK688">
        <v>16</v>
      </c>
      <c r="AL688" t="s">
        <v>2239</v>
      </c>
      <c r="AM688" t="s">
        <v>289</v>
      </c>
      <c r="AN688" t="s">
        <v>7089</v>
      </c>
      <c r="AO688" t="s">
        <v>12899</v>
      </c>
      <c r="AP688" t="s">
        <v>12900</v>
      </c>
      <c r="AQ688" t="s">
        <v>74</v>
      </c>
      <c r="AR688" t="s">
        <v>12901</v>
      </c>
      <c r="AS688" t="s">
        <v>12902</v>
      </c>
      <c r="AT688" t="s">
        <v>12574</v>
      </c>
      <c r="AU688">
        <v>2015</v>
      </c>
      <c r="AV688">
        <v>27</v>
      </c>
      <c r="AW688">
        <v>6</v>
      </c>
      <c r="AX688" t="s">
        <v>74</v>
      </c>
      <c r="AY688" t="s">
        <v>74</v>
      </c>
      <c r="AZ688" t="s">
        <v>74</v>
      </c>
      <c r="BA688" t="s">
        <v>74</v>
      </c>
      <c r="BB688">
        <v>535</v>
      </c>
      <c r="BC688">
        <v>542</v>
      </c>
      <c r="BD688" t="s">
        <v>74</v>
      </c>
      <c r="BE688" t="s">
        <v>12919</v>
      </c>
      <c r="BF688" t="str">
        <f>HYPERLINK("http://dx.doi.org/10.1017/S0954102015000280","http://dx.doi.org/10.1017/S0954102015000280")</f>
        <v>http://dx.doi.org/10.1017/S0954102015000280</v>
      </c>
      <c r="BG688" t="s">
        <v>74</v>
      </c>
      <c r="BH688" t="s">
        <v>74</v>
      </c>
      <c r="BI688">
        <v>8</v>
      </c>
      <c r="BJ688" t="s">
        <v>12576</v>
      </c>
      <c r="BK688" t="s">
        <v>264</v>
      </c>
      <c r="BL688" t="s">
        <v>12577</v>
      </c>
      <c r="BM688" t="s">
        <v>12904</v>
      </c>
      <c r="BN688" t="s">
        <v>74</v>
      </c>
      <c r="BO688" t="s">
        <v>74</v>
      </c>
      <c r="BP688" t="s">
        <v>74</v>
      </c>
      <c r="BQ688" t="s">
        <v>74</v>
      </c>
      <c r="BR688" t="s">
        <v>100</v>
      </c>
      <c r="BS688" t="s">
        <v>12920</v>
      </c>
      <c r="BT688" t="str">
        <f>HYPERLINK("https%3A%2F%2Fwww.webofscience.com%2Fwos%2Fwoscc%2Ffull-record%2FWOS:000367904800003","View Full Record in Web of Science")</f>
        <v>View Full Record in Web of Science</v>
      </c>
    </row>
    <row r="689" spans="1:72" x14ac:dyDescent="0.15">
      <c r="A689" t="s">
        <v>72</v>
      </c>
      <c r="B689" t="s">
        <v>12921</v>
      </c>
      <c r="C689" t="s">
        <v>74</v>
      </c>
      <c r="D689" t="s">
        <v>74</v>
      </c>
      <c r="E689" t="s">
        <v>74</v>
      </c>
      <c r="F689" t="s">
        <v>12922</v>
      </c>
      <c r="G689" t="s">
        <v>74</v>
      </c>
      <c r="H689" t="s">
        <v>74</v>
      </c>
      <c r="I689" t="s">
        <v>12923</v>
      </c>
      <c r="J689" t="s">
        <v>12886</v>
      </c>
      <c r="K689" t="s">
        <v>74</v>
      </c>
      <c r="L689" t="s">
        <v>74</v>
      </c>
      <c r="M689" t="s">
        <v>200</v>
      </c>
      <c r="N689" t="s">
        <v>79</v>
      </c>
      <c r="O689" t="s">
        <v>74</v>
      </c>
      <c r="P689" t="s">
        <v>74</v>
      </c>
      <c r="Q689" t="s">
        <v>74</v>
      </c>
      <c r="R689" t="s">
        <v>74</v>
      </c>
      <c r="S689" t="s">
        <v>74</v>
      </c>
      <c r="T689" t="s">
        <v>12924</v>
      </c>
      <c r="U689" t="s">
        <v>12925</v>
      </c>
      <c r="V689" t="s">
        <v>12926</v>
      </c>
      <c r="W689" t="s">
        <v>12927</v>
      </c>
      <c r="X689" t="s">
        <v>12928</v>
      </c>
      <c r="Y689" t="s">
        <v>12929</v>
      </c>
      <c r="Z689" t="s">
        <v>12930</v>
      </c>
      <c r="AA689" t="s">
        <v>1245</v>
      </c>
      <c r="AB689" t="s">
        <v>1246</v>
      </c>
      <c r="AC689" t="s">
        <v>12931</v>
      </c>
      <c r="AD689" t="s">
        <v>12931</v>
      </c>
      <c r="AE689" t="s">
        <v>12932</v>
      </c>
      <c r="AF689" t="s">
        <v>74</v>
      </c>
      <c r="AG689">
        <v>45</v>
      </c>
      <c r="AH689">
        <v>42</v>
      </c>
      <c r="AI689">
        <v>47</v>
      </c>
      <c r="AJ689">
        <v>0</v>
      </c>
      <c r="AK689">
        <v>35</v>
      </c>
      <c r="AL689" t="s">
        <v>2239</v>
      </c>
      <c r="AM689" t="s">
        <v>289</v>
      </c>
      <c r="AN689" t="s">
        <v>7089</v>
      </c>
      <c r="AO689" t="s">
        <v>12899</v>
      </c>
      <c r="AP689" t="s">
        <v>12900</v>
      </c>
      <c r="AQ689" t="s">
        <v>74</v>
      </c>
      <c r="AR689" t="s">
        <v>12901</v>
      </c>
      <c r="AS689" t="s">
        <v>12902</v>
      </c>
      <c r="AT689" t="s">
        <v>12574</v>
      </c>
      <c r="AU689">
        <v>2015</v>
      </c>
      <c r="AV689">
        <v>27</v>
      </c>
      <c r="AW689">
        <v>6</v>
      </c>
      <c r="AX689" t="s">
        <v>74</v>
      </c>
      <c r="AY689" t="s">
        <v>74</v>
      </c>
      <c r="AZ689" t="s">
        <v>74</v>
      </c>
      <c r="BA689" t="s">
        <v>74</v>
      </c>
      <c r="BB689">
        <v>543</v>
      </c>
      <c r="BC689">
        <v>553</v>
      </c>
      <c r="BD689" t="s">
        <v>74</v>
      </c>
      <c r="BE689" t="s">
        <v>12933</v>
      </c>
      <c r="BF689" t="str">
        <f>HYPERLINK("http://dx.doi.org/10.1017/S0954102015000279","http://dx.doi.org/10.1017/S0954102015000279")</f>
        <v>http://dx.doi.org/10.1017/S0954102015000279</v>
      </c>
      <c r="BG689" t="s">
        <v>74</v>
      </c>
      <c r="BH689" t="s">
        <v>74</v>
      </c>
      <c r="BI689">
        <v>11</v>
      </c>
      <c r="BJ689" t="s">
        <v>12576</v>
      </c>
      <c r="BK689" t="s">
        <v>264</v>
      </c>
      <c r="BL689" t="s">
        <v>12577</v>
      </c>
      <c r="BM689" t="s">
        <v>12904</v>
      </c>
      <c r="BN689" t="s">
        <v>74</v>
      </c>
      <c r="BO689" t="s">
        <v>74</v>
      </c>
      <c r="BP689" t="s">
        <v>74</v>
      </c>
      <c r="BQ689" t="s">
        <v>74</v>
      </c>
      <c r="BR689" t="s">
        <v>100</v>
      </c>
      <c r="BS689" t="s">
        <v>12934</v>
      </c>
      <c r="BT689" t="str">
        <f>HYPERLINK("https%3A%2F%2Fwww.webofscience.com%2Fwos%2Fwoscc%2Ffull-record%2FWOS:000367904800004","View Full Record in Web of Science")</f>
        <v>View Full Record in Web of Science</v>
      </c>
    </row>
    <row r="690" spans="1:72" x14ac:dyDescent="0.15">
      <c r="A690" t="s">
        <v>72</v>
      </c>
      <c r="B690" t="s">
        <v>12935</v>
      </c>
      <c r="C690" t="s">
        <v>74</v>
      </c>
      <c r="D690" t="s">
        <v>74</v>
      </c>
      <c r="E690" t="s">
        <v>74</v>
      </c>
      <c r="F690" t="s">
        <v>12936</v>
      </c>
      <c r="G690" t="s">
        <v>74</v>
      </c>
      <c r="H690" t="s">
        <v>74</v>
      </c>
      <c r="I690" t="s">
        <v>12937</v>
      </c>
      <c r="J690" t="s">
        <v>12886</v>
      </c>
      <c r="K690" t="s">
        <v>74</v>
      </c>
      <c r="L690" t="s">
        <v>74</v>
      </c>
      <c r="M690" t="s">
        <v>200</v>
      </c>
      <c r="N690" t="s">
        <v>79</v>
      </c>
      <c r="O690" t="s">
        <v>74</v>
      </c>
      <c r="P690" t="s">
        <v>74</v>
      </c>
      <c r="Q690" t="s">
        <v>74</v>
      </c>
      <c r="R690" t="s">
        <v>74</v>
      </c>
      <c r="S690" t="s">
        <v>74</v>
      </c>
      <c r="T690" t="s">
        <v>74</v>
      </c>
      <c r="U690" t="s">
        <v>12938</v>
      </c>
      <c r="V690" t="s">
        <v>74</v>
      </c>
      <c r="W690" t="s">
        <v>12939</v>
      </c>
      <c r="X690" t="s">
        <v>12940</v>
      </c>
      <c r="Y690" t="s">
        <v>12941</v>
      </c>
      <c r="Z690" t="s">
        <v>12942</v>
      </c>
      <c r="AA690" t="s">
        <v>12943</v>
      </c>
      <c r="AB690" t="s">
        <v>12944</v>
      </c>
      <c r="AC690" t="s">
        <v>12945</v>
      </c>
      <c r="AD690" t="s">
        <v>12946</v>
      </c>
      <c r="AE690" t="s">
        <v>12947</v>
      </c>
      <c r="AF690" t="s">
        <v>74</v>
      </c>
      <c r="AG690">
        <v>7</v>
      </c>
      <c r="AH690">
        <v>1</v>
      </c>
      <c r="AI690">
        <v>1</v>
      </c>
      <c r="AJ690">
        <v>0</v>
      </c>
      <c r="AK690">
        <v>4</v>
      </c>
      <c r="AL690" t="s">
        <v>2239</v>
      </c>
      <c r="AM690" t="s">
        <v>289</v>
      </c>
      <c r="AN690" t="s">
        <v>7089</v>
      </c>
      <c r="AO690" t="s">
        <v>12899</v>
      </c>
      <c r="AP690" t="s">
        <v>12900</v>
      </c>
      <c r="AQ690" t="s">
        <v>74</v>
      </c>
      <c r="AR690" t="s">
        <v>12901</v>
      </c>
      <c r="AS690" t="s">
        <v>12902</v>
      </c>
      <c r="AT690" t="s">
        <v>12574</v>
      </c>
      <c r="AU690">
        <v>2015</v>
      </c>
      <c r="AV690">
        <v>27</v>
      </c>
      <c r="AW690">
        <v>6</v>
      </c>
      <c r="AX690" t="s">
        <v>74</v>
      </c>
      <c r="AY690" t="s">
        <v>74</v>
      </c>
      <c r="AZ690" t="s">
        <v>74</v>
      </c>
      <c r="BA690" t="s">
        <v>74</v>
      </c>
      <c r="BB690">
        <v>554</v>
      </c>
      <c r="BC690">
        <v>555</v>
      </c>
      <c r="BD690" t="s">
        <v>74</v>
      </c>
      <c r="BE690" t="s">
        <v>12948</v>
      </c>
      <c r="BF690" t="str">
        <f>HYPERLINK("http://dx.doi.org/10.1017/S0954102015000267","http://dx.doi.org/10.1017/S0954102015000267")</f>
        <v>http://dx.doi.org/10.1017/S0954102015000267</v>
      </c>
      <c r="BG690" t="s">
        <v>74</v>
      </c>
      <c r="BH690" t="s">
        <v>74</v>
      </c>
      <c r="BI690">
        <v>2</v>
      </c>
      <c r="BJ690" t="s">
        <v>12576</v>
      </c>
      <c r="BK690" t="s">
        <v>264</v>
      </c>
      <c r="BL690" t="s">
        <v>12577</v>
      </c>
      <c r="BM690" t="s">
        <v>12904</v>
      </c>
      <c r="BN690" t="s">
        <v>74</v>
      </c>
      <c r="BO690" t="s">
        <v>74</v>
      </c>
      <c r="BP690" t="s">
        <v>74</v>
      </c>
      <c r="BQ690" t="s">
        <v>74</v>
      </c>
      <c r="BR690" t="s">
        <v>100</v>
      </c>
      <c r="BS690" t="s">
        <v>12949</v>
      </c>
      <c r="BT690" t="str">
        <f>HYPERLINK("https%3A%2F%2Fwww.webofscience.com%2Fwos%2Fwoscc%2Ffull-record%2FWOS:000367904800005","View Full Record in Web of Science")</f>
        <v>View Full Record in Web of Science</v>
      </c>
    </row>
    <row r="691" spans="1:72" x14ac:dyDescent="0.15">
      <c r="A691" t="s">
        <v>72</v>
      </c>
      <c r="B691" t="s">
        <v>12950</v>
      </c>
      <c r="C691" t="s">
        <v>74</v>
      </c>
      <c r="D691" t="s">
        <v>74</v>
      </c>
      <c r="E691" t="s">
        <v>74</v>
      </c>
      <c r="F691" t="s">
        <v>12951</v>
      </c>
      <c r="G691" t="s">
        <v>74</v>
      </c>
      <c r="H691" t="s">
        <v>74</v>
      </c>
      <c r="I691" t="s">
        <v>12952</v>
      </c>
      <c r="J691" t="s">
        <v>12886</v>
      </c>
      <c r="K691" t="s">
        <v>74</v>
      </c>
      <c r="L691" t="s">
        <v>74</v>
      </c>
      <c r="M691" t="s">
        <v>200</v>
      </c>
      <c r="N691" t="s">
        <v>79</v>
      </c>
      <c r="O691" t="s">
        <v>74</v>
      </c>
      <c r="P691" t="s">
        <v>74</v>
      </c>
      <c r="Q691" t="s">
        <v>74</v>
      </c>
      <c r="R691" t="s">
        <v>74</v>
      </c>
      <c r="S691" t="s">
        <v>74</v>
      </c>
      <c r="T691" t="s">
        <v>12953</v>
      </c>
      <c r="U691" t="s">
        <v>12954</v>
      </c>
      <c r="V691" t="s">
        <v>12955</v>
      </c>
      <c r="W691" t="s">
        <v>12956</v>
      </c>
      <c r="X691" t="s">
        <v>12957</v>
      </c>
      <c r="Y691" t="s">
        <v>12958</v>
      </c>
      <c r="Z691" t="s">
        <v>12959</v>
      </c>
      <c r="AA691" t="s">
        <v>12960</v>
      </c>
      <c r="AB691" t="s">
        <v>12961</v>
      </c>
      <c r="AC691" t="s">
        <v>12962</v>
      </c>
      <c r="AD691" t="s">
        <v>12963</v>
      </c>
      <c r="AE691" t="s">
        <v>12964</v>
      </c>
      <c r="AF691" t="s">
        <v>74</v>
      </c>
      <c r="AG691">
        <v>37</v>
      </c>
      <c r="AH691">
        <v>7</v>
      </c>
      <c r="AI691">
        <v>7</v>
      </c>
      <c r="AJ691">
        <v>0</v>
      </c>
      <c r="AK691">
        <v>4</v>
      </c>
      <c r="AL691" t="s">
        <v>2239</v>
      </c>
      <c r="AM691" t="s">
        <v>289</v>
      </c>
      <c r="AN691" t="s">
        <v>7089</v>
      </c>
      <c r="AO691" t="s">
        <v>12899</v>
      </c>
      <c r="AP691" t="s">
        <v>12900</v>
      </c>
      <c r="AQ691" t="s">
        <v>74</v>
      </c>
      <c r="AR691" t="s">
        <v>12901</v>
      </c>
      <c r="AS691" t="s">
        <v>12902</v>
      </c>
      <c r="AT691" t="s">
        <v>12574</v>
      </c>
      <c r="AU691">
        <v>2015</v>
      </c>
      <c r="AV691">
        <v>27</v>
      </c>
      <c r="AW691">
        <v>6</v>
      </c>
      <c r="AX691" t="s">
        <v>74</v>
      </c>
      <c r="AY691" t="s">
        <v>74</v>
      </c>
      <c r="AZ691" t="s">
        <v>74</v>
      </c>
      <c r="BA691" t="s">
        <v>74</v>
      </c>
      <c r="BB691">
        <v>557</v>
      </c>
      <c r="BC691">
        <v>565</v>
      </c>
      <c r="BD691" t="s">
        <v>74</v>
      </c>
      <c r="BE691" t="s">
        <v>12965</v>
      </c>
      <c r="BF691" t="str">
        <f>HYPERLINK("http://dx.doi.org/10.1017/S0954102015000346","http://dx.doi.org/10.1017/S0954102015000346")</f>
        <v>http://dx.doi.org/10.1017/S0954102015000346</v>
      </c>
      <c r="BG691" t="s">
        <v>74</v>
      </c>
      <c r="BH691" t="s">
        <v>74</v>
      </c>
      <c r="BI691">
        <v>9</v>
      </c>
      <c r="BJ691" t="s">
        <v>12576</v>
      </c>
      <c r="BK691" t="s">
        <v>264</v>
      </c>
      <c r="BL691" t="s">
        <v>12577</v>
      </c>
      <c r="BM691" t="s">
        <v>12904</v>
      </c>
      <c r="BN691" t="s">
        <v>74</v>
      </c>
      <c r="BO691" t="s">
        <v>74</v>
      </c>
      <c r="BP691" t="s">
        <v>74</v>
      </c>
      <c r="BQ691" t="s">
        <v>74</v>
      </c>
      <c r="BR691" t="s">
        <v>100</v>
      </c>
      <c r="BS691" t="s">
        <v>12966</v>
      </c>
      <c r="BT691" t="str">
        <f>HYPERLINK("https%3A%2F%2Fwww.webofscience.com%2Fwos%2Fwoscc%2Ffull-record%2FWOS:000367904800006","View Full Record in Web of Science")</f>
        <v>View Full Record in Web of Science</v>
      </c>
    </row>
    <row r="692" spans="1:72" x14ac:dyDescent="0.15">
      <c r="A692" t="s">
        <v>72</v>
      </c>
      <c r="B692" t="s">
        <v>12967</v>
      </c>
      <c r="C692" t="s">
        <v>74</v>
      </c>
      <c r="D692" t="s">
        <v>74</v>
      </c>
      <c r="E692" t="s">
        <v>74</v>
      </c>
      <c r="F692" t="s">
        <v>12968</v>
      </c>
      <c r="G692" t="s">
        <v>74</v>
      </c>
      <c r="H692" t="s">
        <v>74</v>
      </c>
      <c r="I692" t="s">
        <v>12969</v>
      </c>
      <c r="J692" t="s">
        <v>12886</v>
      </c>
      <c r="K692" t="s">
        <v>74</v>
      </c>
      <c r="L692" t="s">
        <v>74</v>
      </c>
      <c r="M692" t="s">
        <v>200</v>
      </c>
      <c r="N692" t="s">
        <v>79</v>
      </c>
      <c r="O692" t="s">
        <v>74</v>
      </c>
      <c r="P692" t="s">
        <v>74</v>
      </c>
      <c r="Q692" t="s">
        <v>74</v>
      </c>
      <c r="R692" t="s">
        <v>74</v>
      </c>
      <c r="S692" t="s">
        <v>74</v>
      </c>
      <c r="T692" t="s">
        <v>12970</v>
      </c>
      <c r="U692" t="s">
        <v>12971</v>
      </c>
      <c r="V692" t="s">
        <v>12972</v>
      </c>
      <c r="W692" t="s">
        <v>12973</v>
      </c>
      <c r="X692" t="s">
        <v>12974</v>
      </c>
      <c r="Y692" t="s">
        <v>12975</v>
      </c>
      <c r="Z692" t="s">
        <v>12976</v>
      </c>
      <c r="AA692" t="s">
        <v>12977</v>
      </c>
      <c r="AB692" t="s">
        <v>12978</v>
      </c>
      <c r="AC692" t="s">
        <v>12979</v>
      </c>
      <c r="AD692" t="s">
        <v>12980</v>
      </c>
      <c r="AE692" t="s">
        <v>12981</v>
      </c>
      <c r="AF692" t="s">
        <v>74</v>
      </c>
      <c r="AG692">
        <v>48</v>
      </c>
      <c r="AH692">
        <v>9</v>
      </c>
      <c r="AI692">
        <v>9</v>
      </c>
      <c r="AJ692">
        <v>0</v>
      </c>
      <c r="AK692">
        <v>22</v>
      </c>
      <c r="AL692" t="s">
        <v>2239</v>
      </c>
      <c r="AM692" t="s">
        <v>289</v>
      </c>
      <c r="AN692" t="s">
        <v>7089</v>
      </c>
      <c r="AO692" t="s">
        <v>12899</v>
      </c>
      <c r="AP692" t="s">
        <v>12900</v>
      </c>
      <c r="AQ692" t="s">
        <v>74</v>
      </c>
      <c r="AR692" t="s">
        <v>12901</v>
      </c>
      <c r="AS692" t="s">
        <v>12902</v>
      </c>
      <c r="AT692" t="s">
        <v>12574</v>
      </c>
      <c r="AU692">
        <v>2015</v>
      </c>
      <c r="AV692">
        <v>27</v>
      </c>
      <c r="AW692">
        <v>6</v>
      </c>
      <c r="AX692" t="s">
        <v>74</v>
      </c>
      <c r="AY692" t="s">
        <v>74</v>
      </c>
      <c r="AZ692" t="s">
        <v>74</v>
      </c>
      <c r="BA692" t="s">
        <v>74</v>
      </c>
      <c r="BB692">
        <v>566</v>
      </c>
      <c r="BC692">
        <v>586</v>
      </c>
      <c r="BD692" t="s">
        <v>74</v>
      </c>
      <c r="BE692" t="s">
        <v>12982</v>
      </c>
      <c r="BF692" t="str">
        <f>HYPERLINK("http://dx.doi.org/10.1017/S0954102015000371","http://dx.doi.org/10.1017/S0954102015000371")</f>
        <v>http://dx.doi.org/10.1017/S0954102015000371</v>
      </c>
      <c r="BG692" t="s">
        <v>74</v>
      </c>
      <c r="BH692" t="s">
        <v>74</v>
      </c>
      <c r="BI692">
        <v>21</v>
      </c>
      <c r="BJ692" t="s">
        <v>12576</v>
      </c>
      <c r="BK692" t="s">
        <v>264</v>
      </c>
      <c r="BL692" t="s">
        <v>12577</v>
      </c>
      <c r="BM692" t="s">
        <v>12904</v>
      </c>
      <c r="BN692" t="s">
        <v>74</v>
      </c>
      <c r="BO692" t="s">
        <v>74</v>
      </c>
      <c r="BP692" t="s">
        <v>74</v>
      </c>
      <c r="BQ692" t="s">
        <v>74</v>
      </c>
      <c r="BR692" t="s">
        <v>100</v>
      </c>
      <c r="BS692" t="s">
        <v>12983</v>
      </c>
      <c r="BT692" t="str">
        <f>HYPERLINK("https%3A%2F%2Fwww.webofscience.com%2Fwos%2Fwoscc%2Ffull-record%2FWOS:000367904800007","View Full Record in Web of Science")</f>
        <v>View Full Record in Web of Science</v>
      </c>
    </row>
    <row r="693" spans="1:72" x14ac:dyDescent="0.15">
      <c r="A693" t="s">
        <v>72</v>
      </c>
      <c r="B693" t="s">
        <v>12984</v>
      </c>
      <c r="C693" t="s">
        <v>74</v>
      </c>
      <c r="D693" t="s">
        <v>74</v>
      </c>
      <c r="E693" t="s">
        <v>74</v>
      </c>
      <c r="F693" t="s">
        <v>12985</v>
      </c>
      <c r="G693" t="s">
        <v>74</v>
      </c>
      <c r="H693" t="s">
        <v>74</v>
      </c>
      <c r="I693" t="s">
        <v>12986</v>
      </c>
      <c r="J693" t="s">
        <v>12886</v>
      </c>
      <c r="K693" t="s">
        <v>74</v>
      </c>
      <c r="L693" t="s">
        <v>74</v>
      </c>
      <c r="M693" t="s">
        <v>200</v>
      </c>
      <c r="N693" t="s">
        <v>79</v>
      </c>
      <c r="O693" t="s">
        <v>74</v>
      </c>
      <c r="P693" t="s">
        <v>74</v>
      </c>
      <c r="Q693" t="s">
        <v>74</v>
      </c>
      <c r="R693" t="s">
        <v>74</v>
      </c>
      <c r="S693" t="s">
        <v>74</v>
      </c>
      <c r="T693" t="s">
        <v>12987</v>
      </c>
      <c r="U693" t="s">
        <v>12988</v>
      </c>
      <c r="V693" t="s">
        <v>12989</v>
      </c>
      <c r="W693" t="s">
        <v>12990</v>
      </c>
      <c r="X693" t="s">
        <v>12991</v>
      </c>
      <c r="Y693" t="s">
        <v>12992</v>
      </c>
      <c r="Z693" t="s">
        <v>12993</v>
      </c>
      <c r="AA693" t="s">
        <v>12994</v>
      </c>
      <c r="AB693" t="s">
        <v>12995</v>
      </c>
      <c r="AC693" t="s">
        <v>12996</v>
      </c>
      <c r="AD693" t="s">
        <v>12996</v>
      </c>
      <c r="AE693" t="s">
        <v>12997</v>
      </c>
      <c r="AF693" t="s">
        <v>74</v>
      </c>
      <c r="AG693">
        <v>40</v>
      </c>
      <c r="AH693">
        <v>38</v>
      </c>
      <c r="AI693">
        <v>45</v>
      </c>
      <c r="AJ693">
        <v>1</v>
      </c>
      <c r="AK693">
        <v>20</v>
      </c>
      <c r="AL693" t="s">
        <v>2239</v>
      </c>
      <c r="AM693" t="s">
        <v>289</v>
      </c>
      <c r="AN693" t="s">
        <v>7089</v>
      </c>
      <c r="AO693" t="s">
        <v>12899</v>
      </c>
      <c r="AP693" t="s">
        <v>12900</v>
      </c>
      <c r="AQ693" t="s">
        <v>74</v>
      </c>
      <c r="AR693" t="s">
        <v>12901</v>
      </c>
      <c r="AS693" t="s">
        <v>12902</v>
      </c>
      <c r="AT693" t="s">
        <v>12574</v>
      </c>
      <c r="AU693">
        <v>2015</v>
      </c>
      <c r="AV693">
        <v>27</v>
      </c>
      <c r="AW693">
        <v>6</v>
      </c>
      <c r="AX693" t="s">
        <v>74</v>
      </c>
      <c r="AY693" t="s">
        <v>74</v>
      </c>
      <c r="AZ693" t="s">
        <v>74</v>
      </c>
      <c r="BA693" t="s">
        <v>74</v>
      </c>
      <c r="BB693">
        <v>587</v>
      </c>
      <c r="BC693">
        <v>597</v>
      </c>
      <c r="BD693" t="s">
        <v>74</v>
      </c>
      <c r="BE693" t="s">
        <v>12998</v>
      </c>
      <c r="BF693" t="str">
        <f>HYPERLINK("http://dx.doi.org/10.1017/S0954102015000292","http://dx.doi.org/10.1017/S0954102015000292")</f>
        <v>http://dx.doi.org/10.1017/S0954102015000292</v>
      </c>
      <c r="BG693" t="s">
        <v>74</v>
      </c>
      <c r="BH693" t="s">
        <v>74</v>
      </c>
      <c r="BI693">
        <v>11</v>
      </c>
      <c r="BJ693" t="s">
        <v>12576</v>
      </c>
      <c r="BK693" t="s">
        <v>264</v>
      </c>
      <c r="BL693" t="s">
        <v>12577</v>
      </c>
      <c r="BM693" t="s">
        <v>12904</v>
      </c>
      <c r="BN693" t="s">
        <v>74</v>
      </c>
      <c r="BO693" t="s">
        <v>431</v>
      </c>
      <c r="BP693" t="s">
        <v>74</v>
      </c>
      <c r="BQ693" t="s">
        <v>74</v>
      </c>
      <c r="BR693" t="s">
        <v>100</v>
      </c>
      <c r="BS693" t="s">
        <v>12999</v>
      </c>
      <c r="BT693" t="str">
        <f>HYPERLINK("https%3A%2F%2Fwww.webofscience.com%2Fwos%2Fwoscc%2Ffull-record%2FWOS:000367904800008","View Full Record in Web of Science")</f>
        <v>View Full Record in Web of Science</v>
      </c>
    </row>
    <row r="694" spans="1:72" x14ac:dyDescent="0.15">
      <c r="A694" t="s">
        <v>72</v>
      </c>
      <c r="B694" t="s">
        <v>13000</v>
      </c>
      <c r="C694" t="s">
        <v>74</v>
      </c>
      <c r="D694" t="s">
        <v>74</v>
      </c>
      <c r="E694" t="s">
        <v>74</v>
      </c>
      <c r="F694" t="s">
        <v>13001</v>
      </c>
      <c r="G694" t="s">
        <v>74</v>
      </c>
      <c r="H694" t="s">
        <v>74</v>
      </c>
      <c r="I694" t="s">
        <v>13002</v>
      </c>
      <c r="J694" t="s">
        <v>12886</v>
      </c>
      <c r="K694" t="s">
        <v>74</v>
      </c>
      <c r="L694" t="s">
        <v>74</v>
      </c>
      <c r="M694" t="s">
        <v>200</v>
      </c>
      <c r="N694" t="s">
        <v>717</v>
      </c>
      <c r="O694" t="s">
        <v>74</v>
      </c>
      <c r="P694" t="s">
        <v>74</v>
      </c>
      <c r="Q694" t="s">
        <v>74</v>
      </c>
      <c r="R694" t="s">
        <v>74</v>
      </c>
      <c r="S694" t="s">
        <v>74</v>
      </c>
      <c r="T694" t="s">
        <v>13003</v>
      </c>
      <c r="U694" t="s">
        <v>13004</v>
      </c>
      <c r="V694" t="s">
        <v>13005</v>
      </c>
      <c r="W694" t="s">
        <v>13006</v>
      </c>
      <c r="X694" t="s">
        <v>13007</v>
      </c>
      <c r="Y694" t="s">
        <v>13008</v>
      </c>
      <c r="Z694" t="s">
        <v>13009</v>
      </c>
      <c r="AA694" t="s">
        <v>13010</v>
      </c>
      <c r="AB694" t="s">
        <v>13011</v>
      </c>
      <c r="AC694" t="s">
        <v>13012</v>
      </c>
      <c r="AD694" t="s">
        <v>13013</v>
      </c>
      <c r="AE694" t="s">
        <v>13014</v>
      </c>
      <c r="AF694" t="s">
        <v>74</v>
      </c>
      <c r="AG694">
        <v>27</v>
      </c>
      <c r="AH694">
        <v>17</v>
      </c>
      <c r="AI694">
        <v>17</v>
      </c>
      <c r="AJ694">
        <v>0</v>
      </c>
      <c r="AK694">
        <v>8</v>
      </c>
      <c r="AL694" t="s">
        <v>2239</v>
      </c>
      <c r="AM694" t="s">
        <v>289</v>
      </c>
      <c r="AN694" t="s">
        <v>7089</v>
      </c>
      <c r="AO694" t="s">
        <v>12899</v>
      </c>
      <c r="AP694" t="s">
        <v>12900</v>
      </c>
      <c r="AQ694" t="s">
        <v>74</v>
      </c>
      <c r="AR694" t="s">
        <v>12901</v>
      </c>
      <c r="AS694" t="s">
        <v>12902</v>
      </c>
      <c r="AT694" t="s">
        <v>12574</v>
      </c>
      <c r="AU694">
        <v>2015</v>
      </c>
      <c r="AV694">
        <v>27</v>
      </c>
      <c r="AW694">
        <v>6</v>
      </c>
      <c r="AX694" t="s">
        <v>74</v>
      </c>
      <c r="AY694" t="s">
        <v>74</v>
      </c>
      <c r="AZ694" t="s">
        <v>74</v>
      </c>
      <c r="BA694" t="s">
        <v>74</v>
      </c>
      <c r="BB694">
        <v>598</v>
      </c>
      <c r="BC694">
        <v>616</v>
      </c>
      <c r="BD694" t="s">
        <v>74</v>
      </c>
      <c r="BE694" t="s">
        <v>13015</v>
      </c>
      <c r="BF694" t="str">
        <f>HYPERLINK("http://dx.doi.org/10.1017/S0954102015000334","http://dx.doi.org/10.1017/S0954102015000334")</f>
        <v>http://dx.doi.org/10.1017/S0954102015000334</v>
      </c>
      <c r="BG694" t="s">
        <v>74</v>
      </c>
      <c r="BH694" t="s">
        <v>74</v>
      </c>
      <c r="BI694">
        <v>19</v>
      </c>
      <c r="BJ694" t="s">
        <v>12576</v>
      </c>
      <c r="BK694" t="s">
        <v>264</v>
      </c>
      <c r="BL694" t="s">
        <v>12577</v>
      </c>
      <c r="BM694" t="s">
        <v>12904</v>
      </c>
      <c r="BN694" t="s">
        <v>74</v>
      </c>
      <c r="BO694" t="s">
        <v>5473</v>
      </c>
      <c r="BP694" t="s">
        <v>74</v>
      </c>
      <c r="BQ694" t="s">
        <v>74</v>
      </c>
      <c r="BR694" t="s">
        <v>100</v>
      </c>
      <c r="BS694" t="s">
        <v>13016</v>
      </c>
      <c r="BT694" t="str">
        <f>HYPERLINK("https%3A%2F%2Fwww.webofscience.com%2Fwos%2Fwoscc%2Ffull-record%2FWOS:000367904800009","View Full Record in Web of Science")</f>
        <v>View Full Record in Web of Science</v>
      </c>
    </row>
    <row r="695" spans="1:72" x14ac:dyDescent="0.15">
      <c r="A695" t="s">
        <v>72</v>
      </c>
      <c r="B695" t="s">
        <v>13017</v>
      </c>
      <c r="C695" t="s">
        <v>74</v>
      </c>
      <c r="D695" t="s">
        <v>74</v>
      </c>
      <c r="E695" t="s">
        <v>74</v>
      </c>
      <c r="F695" t="s">
        <v>13018</v>
      </c>
      <c r="G695" t="s">
        <v>74</v>
      </c>
      <c r="H695" t="s">
        <v>74</v>
      </c>
      <c r="I695" t="s">
        <v>13019</v>
      </c>
      <c r="J695" t="s">
        <v>6890</v>
      </c>
      <c r="K695" t="s">
        <v>74</v>
      </c>
      <c r="L695" t="s">
        <v>74</v>
      </c>
      <c r="M695" t="s">
        <v>200</v>
      </c>
      <c r="N695" t="s">
        <v>79</v>
      </c>
      <c r="O695" t="s">
        <v>74</v>
      </c>
      <c r="P695" t="s">
        <v>74</v>
      </c>
      <c r="Q695" t="s">
        <v>74</v>
      </c>
      <c r="R695" t="s">
        <v>74</v>
      </c>
      <c r="S695" t="s">
        <v>74</v>
      </c>
      <c r="T695" t="s">
        <v>13020</v>
      </c>
      <c r="U695" t="s">
        <v>13021</v>
      </c>
      <c r="V695" t="s">
        <v>13022</v>
      </c>
      <c r="W695" t="s">
        <v>13023</v>
      </c>
      <c r="X695" t="s">
        <v>13024</v>
      </c>
      <c r="Y695" t="s">
        <v>13025</v>
      </c>
      <c r="Z695" t="s">
        <v>13026</v>
      </c>
      <c r="AA695" t="s">
        <v>13027</v>
      </c>
      <c r="AB695" t="s">
        <v>13028</v>
      </c>
      <c r="AC695" t="s">
        <v>74</v>
      </c>
      <c r="AD695" t="s">
        <v>74</v>
      </c>
      <c r="AE695" t="s">
        <v>74</v>
      </c>
      <c r="AF695" t="s">
        <v>74</v>
      </c>
      <c r="AG695">
        <v>38</v>
      </c>
      <c r="AH695">
        <v>12</v>
      </c>
      <c r="AI695">
        <v>14</v>
      </c>
      <c r="AJ695">
        <v>5</v>
      </c>
      <c r="AK695">
        <v>46</v>
      </c>
      <c r="AL695" t="s">
        <v>5888</v>
      </c>
      <c r="AM695" t="s">
        <v>1386</v>
      </c>
      <c r="AN695" t="s">
        <v>5889</v>
      </c>
      <c r="AO695" t="s">
        <v>6903</v>
      </c>
      <c r="AP695" t="s">
        <v>6904</v>
      </c>
      <c r="AQ695" t="s">
        <v>74</v>
      </c>
      <c r="AR695" t="s">
        <v>6905</v>
      </c>
      <c r="AS695" t="s">
        <v>6906</v>
      </c>
      <c r="AT695" t="s">
        <v>12574</v>
      </c>
      <c r="AU695">
        <v>2015</v>
      </c>
      <c r="AV695">
        <v>122</v>
      </c>
      <c r="AW695" t="s">
        <v>74</v>
      </c>
      <c r="AX695" t="s">
        <v>74</v>
      </c>
      <c r="AY695" t="s">
        <v>74</v>
      </c>
      <c r="AZ695" t="s">
        <v>74</v>
      </c>
      <c r="BA695" t="s">
        <v>74</v>
      </c>
      <c r="BB695">
        <v>393</v>
      </c>
      <c r="BC695">
        <v>399</v>
      </c>
      <c r="BD695" t="s">
        <v>74</v>
      </c>
      <c r="BE695" t="s">
        <v>13029</v>
      </c>
      <c r="BF695" t="str">
        <f>HYPERLINK("http://dx.doi.org/10.1016/j.atmosenv.2015.10.005","http://dx.doi.org/10.1016/j.atmosenv.2015.10.005")</f>
        <v>http://dx.doi.org/10.1016/j.atmosenv.2015.10.005</v>
      </c>
      <c r="BG695" t="s">
        <v>74</v>
      </c>
      <c r="BH695" t="s">
        <v>74</v>
      </c>
      <c r="BI695">
        <v>7</v>
      </c>
      <c r="BJ695" t="s">
        <v>3244</v>
      </c>
      <c r="BK695" t="s">
        <v>264</v>
      </c>
      <c r="BL695" t="s">
        <v>3245</v>
      </c>
      <c r="BM695" t="s">
        <v>13030</v>
      </c>
      <c r="BN695" t="s">
        <v>74</v>
      </c>
      <c r="BO695" t="s">
        <v>5581</v>
      </c>
      <c r="BP695" t="s">
        <v>74</v>
      </c>
      <c r="BQ695" t="s">
        <v>74</v>
      </c>
      <c r="BR695" t="s">
        <v>100</v>
      </c>
      <c r="BS695" t="s">
        <v>13031</v>
      </c>
      <c r="BT695" t="str">
        <f>HYPERLINK("https%3A%2F%2Fwww.webofscience.com%2Fwos%2Fwoscc%2Ffull-record%2FWOS:000367413600040","View Full Record in Web of Science")</f>
        <v>View Full Record in Web of Science</v>
      </c>
    </row>
    <row r="696" spans="1:72" x14ac:dyDescent="0.15">
      <c r="A696" t="s">
        <v>72</v>
      </c>
      <c r="B696" t="s">
        <v>13032</v>
      </c>
      <c r="C696" t="s">
        <v>74</v>
      </c>
      <c r="D696" t="s">
        <v>74</v>
      </c>
      <c r="E696" t="s">
        <v>74</v>
      </c>
      <c r="F696" t="s">
        <v>13033</v>
      </c>
      <c r="G696" t="s">
        <v>74</v>
      </c>
      <c r="H696" t="s">
        <v>74</v>
      </c>
      <c r="I696" t="s">
        <v>13034</v>
      </c>
      <c r="J696" t="s">
        <v>6890</v>
      </c>
      <c r="K696" t="s">
        <v>74</v>
      </c>
      <c r="L696" t="s">
        <v>74</v>
      </c>
      <c r="M696" t="s">
        <v>200</v>
      </c>
      <c r="N696" t="s">
        <v>79</v>
      </c>
      <c r="O696" t="s">
        <v>74</v>
      </c>
      <c r="P696" t="s">
        <v>74</v>
      </c>
      <c r="Q696" t="s">
        <v>74</v>
      </c>
      <c r="R696" t="s">
        <v>74</v>
      </c>
      <c r="S696" t="s">
        <v>74</v>
      </c>
      <c r="T696" t="s">
        <v>13035</v>
      </c>
      <c r="U696" t="s">
        <v>13036</v>
      </c>
      <c r="V696" t="s">
        <v>13037</v>
      </c>
      <c r="W696" t="s">
        <v>13038</v>
      </c>
      <c r="X696" t="s">
        <v>13039</v>
      </c>
      <c r="Y696" t="s">
        <v>13040</v>
      </c>
      <c r="Z696" t="s">
        <v>13041</v>
      </c>
      <c r="AA696" t="s">
        <v>13042</v>
      </c>
      <c r="AB696" t="s">
        <v>13043</v>
      </c>
      <c r="AC696" t="s">
        <v>13044</v>
      </c>
      <c r="AD696" t="s">
        <v>13044</v>
      </c>
      <c r="AE696" t="s">
        <v>13045</v>
      </c>
      <c r="AF696" t="s">
        <v>74</v>
      </c>
      <c r="AG696">
        <v>44</v>
      </c>
      <c r="AH696">
        <v>6</v>
      </c>
      <c r="AI696">
        <v>6</v>
      </c>
      <c r="AJ696">
        <v>0</v>
      </c>
      <c r="AK696">
        <v>22</v>
      </c>
      <c r="AL696" t="s">
        <v>5888</v>
      </c>
      <c r="AM696" t="s">
        <v>1386</v>
      </c>
      <c r="AN696" t="s">
        <v>5889</v>
      </c>
      <c r="AO696" t="s">
        <v>6903</v>
      </c>
      <c r="AP696" t="s">
        <v>6904</v>
      </c>
      <c r="AQ696" t="s">
        <v>74</v>
      </c>
      <c r="AR696" t="s">
        <v>6905</v>
      </c>
      <c r="AS696" t="s">
        <v>6906</v>
      </c>
      <c r="AT696" t="s">
        <v>12574</v>
      </c>
      <c r="AU696">
        <v>2015</v>
      </c>
      <c r="AV696">
        <v>122</v>
      </c>
      <c r="AW696" t="s">
        <v>74</v>
      </c>
      <c r="AX696" t="s">
        <v>74</v>
      </c>
      <c r="AY696" t="s">
        <v>74</v>
      </c>
      <c r="AZ696" t="s">
        <v>74</v>
      </c>
      <c r="BA696" t="s">
        <v>74</v>
      </c>
      <c r="BB696">
        <v>531</v>
      </c>
      <c r="BC696">
        <v>540</v>
      </c>
      <c r="BD696" t="s">
        <v>74</v>
      </c>
      <c r="BE696" t="s">
        <v>13046</v>
      </c>
      <c r="BF696" t="str">
        <f>HYPERLINK("http://dx.doi.org/10.1016/j.atmosenv.2015.10.021","http://dx.doi.org/10.1016/j.atmosenv.2015.10.021")</f>
        <v>http://dx.doi.org/10.1016/j.atmosenv.2015.10.021</v>
      </c>
      <c r="BG696" t="s">
        <v>74</v>
      </c>
      <c r="BH696" t="s">
        <v>74</v>
      </c>
      <c r="BI696">
        <v>10</v>
      </c>
      <c r="BJ696" t="s">
        <v>3244</v>
      </c>
      <c r="BK696" t="s">
        <v>264</v>
      </c>
      <c r="BL696" t="s">
        <v>3245</v>
      </c>
      <c r="BM696" t="s">
        <v>13030</v>
      </c>
      <c r="BN696" t="s">
        <v>74</v>
      </c>
      <c r="BO696" t="s">
        <v>74</v>
      </c>
      <c r="BP696" t="s">
        <v>74</v>
      </c>
      <c r="BQ696" t="s">
        <v>74</v>
      </c>
      <c r="BR696" t="s">
        <v>100</v>
      </c>
      <c r="BS696" t="s">
        <v>13047</v>
      </c>
      <c r="BT696" t="str">
        <f>HYPERLINK("https%3A%2F%2Fwww.webofscience.com%2Fwos%2Fwoscc%2Ffull-record%2FWOS:000367413600055","View Full Record in Web of Science")</f>
        <v>View Full Record in Web of Science</v>
      </c>
    </row>
    <row r="697" spans="1:72" x14ac:dyDescent="0.15">
      <c r="A697" t="s">
        <v>72</v>
      </c>
      <c r="B697" t="s">
        <v>13048</v>
      </c>
      <c r="C697" t="s">
        <v>74</v>
      </c>
      <c r="D697" t="s">
        <v>74</v>
      </c>
      <c r="E697" t="s">
        <v>74</v>
      </c>
      <c r="F697" t="s">
        <v>13049</v>
      </c>
      <c r="G697" t="s">
        <v>74</v>
      </c>
      <c r="H697" t="s">
        <v>74</v>
      </c>
      <c r="I697" t="s">
        <v>13050</v>
      </c>
      <c r="J697" t="s">
        <v>13051</v>
      </c>
      <c r="K697" t="s">
        <v>74</v>
      </c>
      <c r="L697" t="s">
        <v>74</v>
      </c>
      <c r="M697" t="s">
        <v>200</v>
      </c>
      <c r="N697" t="s">
        <v>717</v>
      </c>
      <c r="O697" t="s">
        <v>74</v>
      </c>
      <c r="P697" t="s">
        <v>74</v>
      </c>
      <c r="Q697" t="s">
        <v>74</v>
      </c>
      <c r="R697" t="s">
        <v>74</v>
      </c>
      <c r="S697" t="s">
        <v>74</v>
      </c>
      <c r="T697" t="s">
        <v>13052</v>
      </c>
      <c r="U697" t="s">
        <v>13053</v>
      </c>
      <c r="V697" t="s">
        <v>13054</v>
      </c>
      <c r="W697" t="s">
        <v>13055</v>
      </c>
      <c r="X697" t="s">
        <v>13056</v>
      </c>
      <c r="Y697" t="s">
        <v>13057</v>
      </c>
      <c r="Z697" t="s">
        <v>13058</v>
      </c>
      <c r="AA697" t="s">
        <v>13059</v>
      </c>
      <c r="AB697" t="s">
        <v>13060</v>
      </c>
      <c r="AC697" t="s">
        <v>13061</v>
      </c>
      <c r="AD697" t="s">
        <v>13062</v>
      </c>
      <c r="AE697" t="s">
        <v>13063</v>
      </c>
      <c r="AF697" t="s">
        <v>74</v>
      </c>
      <c r="AG697">
        <v>77</v>
      </c>
      <c r="AH697">
        <v>26</v>
      </c>
      <c r="AI697">
        <v>26</v>
      </c>
      <c r="AJ697">
        <v>0</v>
      </c>
      <c r="AK697">
        <v>23</v>
      </c>
      <c r="AL697" t="s">
        <v>7218</v>
      </c>
      <c r="AM697" t="s">
        <v>1386</v>
      </c>
      <c r="AN697" t="s">
        <v>7219</v>
      </c>
      <c r="AO697" t="s">
        <v>13064</v>
      </c>
      <c r="AP697" t="s">
        <v>13065</v>
      </c>
      <c r="AQ697" t="s">
        <v>74</v>
      </c>
      <c r="AR697" t="s">
        <v>13066</v>
      </c>
      <c r="AS697" t="s">
        <v>13067</v>
      </c>
      <c r="AT697" t="s">
        <v>12574</v>
      </c>
      <c r="AU697">
        <v>2015</v>
      </c>
      <c r="AV697">
        <v>68</v>
      </c>
      <c r="AW697" t="s">
        <v>74</v>
      </c>
      <c r="AX697" t="s">
        <v>6314</v>
      </c>
      <c r="AY697" t="s">
        <v>74</v>
      </c>
      <c r="AZ697" t="s">
        <v>74</v>
      </c>
      <c r="BA697" t="s">
        <v>74</v>
      </c>
      <c r="BB697">
        <v>427</v>
      </c>
      <c r="BC697">
        <v>437</v>
      </c>
      <c r="BD697" t="s">
        <v>74</v>
      </c>
      <c r="BE697" t="s">
        <v>13068</v>
      </c>
      <c r="BF697" t="str">
        <f>HYPERLINK("http://dx.doi.org/10.1016/j.marpetgeo.2015.09.004","http://dx.doi.org/10.1016/j.marpetgeo.2015.09.004")</f>
        <v>http://dx.doi.org/10.1016/j.marpetgeo.2015.09.004</v>
      </c>
      <c r="BG697" t="s">
        <v>74</v>
      </c>
      <c r="BH697" t="s">
        <v>74</v>
      </c>
      <c r="BI697">
        <v>11</v>
      </c>
      <c r="BJ697" t="s">
        <v>95</v>
      </c>
      <c r="BK697" t="s">
        <v>264</v>
      </c>
      <c r="BL697" t="s">
        <v>97</v>
      </c>
      <c r="BM697" t="s">
        <v>13069</v>
      </c>
      <c r="BN697" t="s">
        <v>74</v>
      </c>
      <c r="BO697" t="s">
        <v>74</v>
      </c>
      <c r="BP697" t="s">
        <v>74</v>
      </c>
      <c r="BQ697" t="s">
        <v>74</v>
      </c>
      <c r="BR697" t="s">
        <v>100</v>
      </c>
      <c r="BS697" t="s">
        <v>13070</v>
      </c>
      <c r="BT697" t="str">
        <f>HYPERLINK("https%3A%2F%2Fwww.webofscience.com%2Fwos%2Fwoscc%2Ffull-record%2FWOS:000367757300026","View Full Record in Web of Science")</f>
        <v>View Full Record in Web of Science</v>
      </c>
    </row>
    <row r="698" spans="1:72" x14ac:dyDescent="0.15">
      <c r="A698" t="s">
        <v>72</v>
      </c>
      <c r="B698" t="s">
        <v>13071</v>
      </c>
      <c r="C698" t="s">
        <v>74</v>
      </c>
      <c r="D698" t="s">
        <v>74</v>
      </c>
      <c r="E698" t="s">
        <v>74</v>
      </c>
      <c r="F698" t="s">
        <v>13072</v>
      </c>
      <c r="G698" t="s">
        <v>74</v>
      </c>
      <c r="H698" t="s">
        <v>74</v>
      </c>
      <c r="I698" t="s">
        <v>13073</v>
      </c>
      <c r="J698" t="s">
        <v>13074</v>
      </c>
      <c r="K698" t="s">
        <v>74</v>
      </c>
      <c r="L698" t="s">
        <v>74</v>
      </c>
      <c r="M698" t="s">
        <v>200</v>
      </c>
      <c r="N698" t="s">
        <v>79</v>
      </c>
      <c r="O698" t="s">
        <v>74</v>
      </c>
      <c r="P698" t="s">
        <v>74</v>
      </c>
      <c r="Q698" t="s">
        <v>74</v>
      </c>
      <c r="R698" t="s">
        <v>74</v>
      </c>
      <c r="S698" t="s">
        <v>74</v>
      </c>
      <c r="T698" t="s">
        <v>13075</v>
      </c>
      <c r="U698" t="s">
        <v>13076</v>
      </c>
      <c r="V698" t="s">
        <v>13077</v>
      </c>
      <c r="W698" t="s">
        <v>13078</v>
      </c>
      <c r="X698" t="s">
        <v>13079</v>
      </c>
      <c r="Y698" t="s">
        <v>13080</v>
      </c>
      <c r="Z698" t="s">
        <v>13081</v>
      </c>
      <c r="AA698" t="s">
        <v>13082</v>
      </c>
      <c r="AB698" t="s">
        <v>13083</v>
      </c>
      <c r="AC698" t="s">
        <v>13084</v>
      </c>
      <c r="AD698" t="s">
        <v>13085</v>
      </c>
      <c r="AE698" t="s">
        <v>13086</v>
      </c>
      <c r="AF698" t="s">
        <v>74</v>
      </c>
      <c r="AG698">
        <v>50</v>
      </c>
      <c r="AH698">
        <v>24</v>
      </c>
      <c r="AI698">
        <v>26</v>
      </c>
      <c r="AJ698">
        <v>0</v>
      </c>
      <c r="AK698">
        <v>15</v>
      </c>
      <c r="AL698" t="s">
        <v>208</v>
      </c>
      <c r="AM698" t="s">
        <v>209</v>
      </c>
      <c r="AN698" t="s">
        <v>7114</v>
      </c>
      <c r="AO698" t="s">
        <v>13087</v>
      </c>
      <c r="AP698" t="s">
        <v>13088</v>
      </c>
      <c r="AQ698" t="s">
        <v>74</v>
      </c>
      <c r="AR698" t="s">
        <v>13089</v>
      </c>
      <c r="AS698" t="s">
        <v>13090</v>
      </c>
      <c r="AT698" t="s">
        <v>12574</v>
      </c>
      <c r="AU698">
        <v>2015</v>
      </c>
      <c r="AV698">
        <v>24</v>
      </c>
      <c r="AW698">
        <v>1</v>
      </c>
      <c r="AX698">
        <v>1</v>
      </c>
      <c r="AY698" t="s">
        <v>74</v>
      </c>
      <c r="AZ698" t="s">
        <v>2540</v>
      </c>
      <c r="BA698" t="s">
        <v>74</v>
      </c>
      <c r="BB698">
        <v>55</v>
      </c>
      <c r="BC698">
        <v>68</v>
      </c>
      <c r="BD698" t="s">
        <v>74</v>
      </c>
      <c r="BE698" t="s">
        <v>13091</v>
      </c>
      <c r="BF698" t="str">
        <f>HYPERLINK("http://dx.doi.org/10.1016/j.margen.2015.06.009","http://dx.doi.org/10.1016/j.margen.2015.06.009")</f>
        <v>http://dx.doi.org/10.1016/j.margen.2015.06.009</v>
      </c>
      <c r="BG698" t="s">
        <v>74</v>
      </c>
      <c r="BH698" t="s">
        <v>74</v>
      </c>
      <c r="BI698">
        <v>14</v>
      </c>
      <c r="BJ698" t="s">
        <v>13092</v>
      </c>
      <c r="BK698" t="s">
        <v>264</v>
      </c>
      <c r="BL698" t="s">
        <v>13092</v>
      </c>
      <c r="BM698" t="s">
        <v>13093</v>
      </c>
      <c r="BN698">
        <v>26122835</v>
      </c>
      <c r="BO698" t="s">
        <v>74</v>
      </c>
      <c r="BP698" t="s">
        <v>74</v>
      </c>
      <c r="BQ698" t="s">
        <v>74</v>
      </c>
      <c r="BR698" t="s">
        <v>100</v>
      </c>
      <c r="BS698" t="s">
        <v>13094</v>
      </c>
      <c r="BT698" t="str">
        <f>HYPERLINK("https%3A%2F%2Fwww.webofscience.com%2Fwos%2Fwoscc%2Ffull-record%2FWOS:000367774900008","View Full Record in Web of Science")</f>
        <v>View Full Record in Web of Science</v>
      </c>
    </row>
    <row r="699" spans="1:72" x14ac:dyDescent="0.15">
      <c r="A699" t="s">
        <v>72</v>
      </c>
      <c r="B699" t="s">
        <v>13095</v>
      </c>
      <c r="C699" t="s">
        <v>74</v>
      </c>
      <c r="D699" t="s">
        <v>74</v>
      </c>
      <c r="E699" t="s">
        <v>74</v>
      </c>
      <c r="F699" t="s">
        <v>13096</v>
      </c>
      <c r="G699" t="s">
        <v>74</v>
      </c>
      <c r="H699" t="s">
        <v>74</v>
      </c>
      <c r="I699" t="s">
        <v>13097</v>
      </c>
      <c r="J699" t="s">
        <v>13074</v>
      </c>
      <c r="K699" t="s">
        <v>74</v>
      </c>
      <c r="L699" t="s">
        <v>74</v>
      </c>
      <c r="M699" t="s">
        <v>200</v>
      </c>
      <c r="N699" t="s">
        <v>79</v>
      </c>
      <c r="O699" t="s">
        <v>74</v>
      </c>
      <c r="P699" t="s">
        <v>74</v>
      </c>
      <c r="Q699" t="s">
        <v>74</v>
      </c>
      <c r="R699" t="s">
        <v>74</v>
      </c>
      <c r="S699" t="s">
        <v>74</v>
      </c>
      <c r="T699" t="s">
        <v>13098</v>
      </c>
      <c r="U699" t="s">
        <v>13099</v>
      </c>
      <c r="V699" t="s">
        <v>13100</v>
      </c>
      <c r="W699" t="s">
        <v>13101</v>
      </c>
      <c r="X699" t="s">
        <v>2183</v>
      </c>
      <c r="Y699" t="s">
        <v>13102</v>
      </c>
      <c r="Z699" t="s">
        <v>13103</v>
      </c>
      <c r="AA699" t="s">
        <v>13104</v>
      </c>
      <c r="AB699" t="s">
        <v>13105</v>
      </c>
      <c r="AC699" t="s">
        <v>13106</v>
      </c>
      <c r="AD699" t="s">
        <v>13107</v>
      </c>
      <c r="AE699" t="s">
        <v>13108</v>
      </c>
      <c r="AF699" t="s">
        <v>74</v>
      </c>
      <c r="AG699">
        <v>17</v>
      </c>
      <c r="AH699">
        <v>11</v>
      </c>
      <c r="AI699">
        <v>13</v>
      </c>
      <c r="AJ699">
        <v>0</v>
      </c>
      <c r="AK699">
        <v>9</v>
      </c>
      <c r="AL699" t="s">
        <v>208</v>
      </c>
      <c r="AM699" t="s">
        <v>209</v>
      </c>
      <c r="AN699" t="s">
        <v>7114</v>
      </c>
      <c r="AO699" t="s">
        <v>13087</v>
      </c>
      <c r="AP699" t="s">
        <v>13088</v>
      </c>
      <c r="AQ699" t="s">
        <v>74</v>
      </c>
      <c r="AR699" t="s">
        <v>13089</v>
      </c>
      <c r="AS699" t="s">
        <v>13090</v>
      </c>
      <c r="AT699" t="s">
        <v>12574</v>
      </c>
      <c r="AU699">
        <v>2015</v>
      </c>
      <c r="AV699">
        <v>24</v>
      </c>
      <c r="AW699" t="s">
        <v>74</v>
      </c>
      <c r="AX699">
        <v>3</v>
      </c>
      <c r="AY699" t="s">
        <v>74</v>
      </c>
      <c r="AZ699" t="s">
        <v>74</v>
      </c>
      <c r="BA699" t="s">
        <v>74</v>
      </c>
      <c r="BB699">
        <v>237</v>
      </c>
      <c r="BC699">
        <v>239</v>
      </c>
      <c r="BD699" t="s">
        <v>74</v>
      </c>
      <c r="BE699" t="s">
        <v>13109</v>
      </c>
      <c r="BF699" t="str">
        <f>HYPERLINK("http://dx.doi.org/10.1016/j.margen.2015.06.006","http://dx.doi.org/10.1016/j.margen.2015.06.006")</f>
        <v>http://dx.doi.org/10.1016/j.margen.2015.06.006</v>
      </c>
      <c r="BG699" t="s">
        <v>74</v>
      </c>
      <c r="BH699" t="s">
        <v>74</v>
      </c>
      <c r="BI699">
        <v>3</v>
      </c>
      <c r="BJ699" t="s">
        <v>13092</v>
      </c>
      <c r="BK699" t="s">
        <v>264</v>
      </c>
      <c r="BL699" t="s">
        <v>13092</v>
      </c>
      <c r="BM699" t="s">
        <v>13110</v>
      </c>
      <c r="BN699">
        <v>26112896</v>
      </c>
      <c r="BO699" t="s">
        <v>74</v>
      </c>
      <c r="BP699" t="s">
        <v>74</v>
      </c>
      <c r="BQ699" t="s">
        <v>74</v>
      </c>
      <c r="BR699" t="s">
        <v>100</v>
      </c>
      <c r="BS699" t="s">
        <v>13111</v>
      </c>
      <c r="BT699" t="str">
        <f>HYPERLINK("https%3A%2F%2Fwww.webofscience.com%2Fwos%2Fwoscc%2Ffull-record%2FWOS:000367762400015","View Full Record in Web of Science")</f>
        <v>View Full Record in Web of Science</v>
      </c>
    </row>
    <row r="700" spans="1:72" x14ac:dyDescent="0.15">
      <c r="A700" t="s">
        <v>72</v>
      </c>
      <c r="B700" t="s">
        <v>13112</v>
      </c>
      <c r="C700" t="s">
        <v>74</v>
      </c>
      <c r="D700" t="s">
        <v>74</v>
      </c>
      <c r="E700" t="s">
        <v>74</v>
      </c>
      <c r="F700" t="s">
        <v>13113</v>
      </c>
      <c r="G700" t="s">
        <v>74</v>
      </c>
      <c r="H700" t="s">
        <v>74</v>
      </c>
      <c r="I700" t="s">
        <v>13114</v>
      </c>
      <c r="J700" t="s">
        <v>13074</v>
      </c>
      <c r="K700" t="s">
        <v>74</v>
      </c>
      <c r="L700" t="s">
        <v>74</v>
      </c>
      <c r="M700" t="s">
        <v>200</v>
      </c>
      <c r="N700" t="s">
        <v>79</v>
      </c>
      <c r="O700" t="s">
        <v>74</v>
      </c>
      <c r="P700" t="s">
        <v>74</v>
      </c>
      <c r="Q700" t="s">
        <v>74</v>
      </c>
      <c r="R700" t="s">
        <v>74</v>
      </c>
      <c r="S700" t="s">
        <v>74</v>
      </c>
      <c r="T700" t="s">
        <v>13115</v>
      </c>
      <c r="U700" t="s">
        <v>13116</v>
      </c>
      <c r="V700" t="s">
        <v>13117</v>
      </c>
      <c r="W700" t="s">
        <v>13118</v>
      </c>
      <c r="X700" t="s">
        <v>13119</v>
      </c>
      <c r="Y700" t="s">
        <v>13120</v>
      </c>
      <c r="Z700" t="s">
        <v>13121</v>
      </c>
      <c r="AA700" t="s">
        <v>74</v>
      </c>
      <c r="AB700" t="s">
        <v>2784</v>
      </c>
      <c r="AC700" t="s">
        <v>13122</v>
      </c>
      <c r="AD700" t="s">
        <v>13123</v>
      </c>
      <c r="AE700" t="s">
        <v>13124</v>
      </c>
      <c r="AF700" t="s">
        <v>74</v>
      </c>
      <c r="AG700">
        <v>13</v>
      </c>
      <c r="AH700">
        <v>6</v>
      </c>
      <c r="AI700">
        <v>7</v>
      </c>
      <c r="AJ700">
        <v>1</v>
      </c>
      <c r="AK700">
        <v>18</v>
      </c>
      <c r="AL700" t="s">
        <v>208</v>
      </c>
      <c r="AM700" t="s">
        <v>209</v>
      </c>
      <c r="AN700" t="s">
        <v>7114</v>
      </c>
      <c r="AO700" t="s">
        <v>13087</v>
      </c>
      <c r="AP700" t="s">
        <v>13088</v>
      </c>
      <c r="AQ700" t="s">
        <v>74</v>
      </c>
      <c r="AR700" t="s">
        <v>13089</v>
      </c>
      <c r="AS700" t="s">
        <v>13090</v>
      </c>
      <c r="AT700" t="s">
        <v>12574</v>
      </c>
      <c r="AU700">
        <v>2015</v>
      </c>
      <c r="AV700">
        <v>24</v>
      </c>
      <c r="AW700" t="s">
        <v>74</v>
      </c>
      <c r="AX700">
        <v>3</v>
      </c>
      <c r="AY700" t="s">
        <v>74</v>
      </c>
      <c r="AZ700" t="s">
        <v>74</v>
      </c>
      <c r="BA700" t="s">
        <v>74</v>
      </c>
      <c r="BB700">
        <v>253</v>
      </c>
      <c r="BC700">
        <v>254</v>
      </c>
      <c r="BD700" t="s">
        <v>74</v>
      </c>
      <c r="BE700" t="s">
        <v>13125</v>
      </c>
      <c r="BF700" t="str">
        <f>HYPERLINK("http://dx.doi.org/10.1016/j.margen.2015.07.012","http://dx.doi.org/10.1016/j.margen.2015.07.012")</f>
        <v>http://dx.doi.org/10.1016/j.margen.2015.07.012</v>
      </c>
      <c r="BG700" t="s">
        <v>74</v>
      </c>
      <c r="BH700" t="s">
        <v>74</v>
      </c>
      <c r="BI700">
        <v>2</v>
      </c>
      <c r="BJ700" t="s">
        <v>13092</v>
      </c>
      <c r="BK700" t="s">
        <v>264</v>
      </c>
      <c r="BL700" t="s">
        <v>13092</v>
      </c>
      <c r="BM700" t="s">
        <v>13110</v>
      </c>
      <c r="BN700">
        <v>26264254</v>
      </c>
      <c r="BO700" t="s">
        <v>74</v>
      </c>
      <c r="BP700" t="s">
        <v>74</v>
      </c>
      <c r="BQ700" t="s">
        <v>74</v>
      </c>
      <c r="BR700" t="s">
        <v>100</v>
      </c>
      <c r="BS700" t="s">
        <v>13126</v>
      </c>
      <c r="BT700" t="str">
        <f>HYPERLINK("https%3A%2F%2Fwww.webofscience.com%2Fwos%2Fwoscc%2Ffull-record%2FWOS:000367762400019","View Full Record in Web of Science")</f>
        <v>View Full Record in Web of Science</v>
      </c>
    </row>
    <row r="701" spans="1:72" x14ac:dyDescent="0.15">
      <c r="A701" t="s">
        <v>72</v>
      </c>
      <c r="B701" t="s">
        <v>13127</v>
      </c>
      <c r="C701" t="s">
        <v>74</v>
      </c>
      <c r="D701" t="s">
        <v>74</v>
      </c>
      <c r="E701" t="s">
        <v>74</v>
      </c>
      <c r="F701" t="s">
        <v>13128</v>
      </c>
      <c r="G701" t="s">
        <v>74</v>
      </c>
      <c r="H701" t="s">
        <v>74</v>
      </c>
      <c r="I701" t="s">
        <v>13129</v>
      </c>
      <c r="J701" t="s">
        <v>13130</v>
      </c>
      <c r="K701" t="s">
        <v>74</v>
      </c>
      <c r="L701" t="s">
        <v>74</v>
      </c>
      <c r="M701" t="s">
        <v>200</v>
      </c>
      <c r="N701" t="s">
        <v>79</v>
      </c>
      <c r="O701" t="s">
        <v>74</v>
      </c>
      <c r="P701" t="s">
        <v>74</v>
      </c>
      <c r="Q701" t="s">
        <v>74</v>
      </c>
      <c r="R701" t="s">
        <v>74</v>
      </c>
      <c r="S701" t="s">
        <v>74</v>
      </c>
      <c r="T701" t="s">
        <v>13131</v>
      </c>
      <c r="U701" t="s">
        <v>74</v>
      </c>
      <c r="V701" t="s">
        <v>13132</v>
      </c>
      <c r="W701" t="s">
        <v>13133</v>
      </c>
      <c r="X701" t="s">
        <v>108</v>
      </c>
      <c r="Y701" t="s">
        <v>13134</v>
      </c>
      <c r="Z701" t="s">
        <v>13135</v>
      </c>
      <c r="AA701" t="s">
        <v>13136</v>
      </c>
      <c r="AB701" t="s">
        <v>13137</v>
      </c>
      <c r="AC701" t="s">
        <v>13138</v>
      </c>
      <c r="AD701" t="s">
        <v>13139</v>
      </c>
      <c r="AE701" t="s">
        <v>13140</v>
      </c>
      <c r="AF701" t="s">
        <v>74</v>
      </c>
      <c r="AG701">
        <v>14</v>
      </c>
      <c r="AH701">
        <v>6</v>
      </c>
      <c r="AI701">
        <v>6</v>
      </c>
      <c r="AJ701">
        <v>0</v>
      </c>
      <c r="AK701">
        <v>5</v>
      </c>
      <c r="AL701" t="s">
        <v>13141</v>
      </c>
      <c r="AM701" t="s">
        <v>88</v>
      </c>
      <c r="AN701" t="s">
        <v>13142</v>
      </c>
      <c r="AO701" t="s">
        <v>13143</v>
      </c>
      <c r="AP701" t="s">
        <v>13144</v>
      </c>
      <c r="AQ701" t="s">
        <v>74</v>
      </c>
      <c r="AR701" t="s">
        <v>13145</v>
      </c>
      <c r="AS701" t="s">
        <v>13146</v>
      </c>
      <c r="AT701" t="s">
        <v>12574</v>
      </c>
      <c r="AU701">
        <v>2015</v>
      </c>
      <c r="AV701">
        <v>40</v>
      </c>
      <c r="AW701">
        <v>12</v>
      </c>
      <c r="AX701" t="s">
        <v>74</v>
      </c>
      <c r="AY701" t="s">
        <v>74</v>
      </c>
      <c r="AZ701" t="s">
        <v>74</v>
      </c>
      <c r="BA701" t="s">
        <v>74</v>
      </c>
      <c r="BB701">
        <v>807</v>
      </c>
      <c r="BC701">
        <v>813</v>
      </c>
      <c r="BD701" t="s">
        <v>74</v>
      </c>
      <c r="BE701" t="s">
        <v>13147</v>
      </c>
      <c r="BF701" t="str">
        <f>HYPERLINK("http://dx.doi.org/10.3103/S1068373915120055","http://dx.doi.org/10.3103/S1068373915120055")</f>
        <v>http://dx.doi.org/10.3103/S1068373915120055</v>
      </c>
      <c r="BG701" t="s">
        <v>74</v>
      </c>
      <c r="BH701" t="s">
        <v>74</v>
      </c>
      <c r="BI701">
        <v>7</v>
      </c>
      <c r="BJ701" t="s">
        <v>1721</v>
      </c>
      <c r="BK701" t="s">
        <v>264</v>
      </c>
      <c r="BL701" t="s">
        <v>1721</v>
      </c>
      <c r="BM701" t="s">
        <v>13148</v>
      </c>
      <c r="BN701" t="s">
        <v>74</v>
      </c>
      <c r="BO701" t="s">
        <v>74</v>
      </c>
      <c r="BP701" t="s">
        <v>74</v>
      </c>
      <c r="BQ701" t="s">
        <v>74</v>
      </c>
      <c r="BR701" t="s">
        <v>100</v>
      </c>
      <c r="BS701" t="s">
        <v>13149</v>
      </c>
      <c r="BT701" t="str">
        <f>HYPERLINK("https%3A%2F%2Fwww.webofscience.com%2Fwos%2Fwoscc%2Ffull-record%2FWOS:000367543700005","View Full Record in Web of Science")</f>
        <v>View Full Record in Web of Science</v>
      </c>
    </row>
    <row r="702" spans="1:72" x14ac:dyDescent="0.15">
      <c r="A702" t="s">
        <v>72</v>
      </c>
      <c r="B702" t="s">
        <v>11172</v>
      </c>
      <c r="C702" t="s">
        <v>74</v>
      </c>
      <c r="D702" t="s">
        <v>74</v>
      </c>
      <c r="E702" t="s">
        <v>74</v>
      </c>
      <c r="F702" t="s">
        <v>13150</v>
      </c>
      <c r="G702" t="s">
        <v>74</v>
      </c>
      <c r="H702" t="s">
        <v>74</v>
      </c>
      <c r="I702" t="s">
        <v>13151</v>
      </c>
      <c r="J702" t="s">
        <v>13152</v>
      </c>
      <c r="K702" t="s">
        <v>74</v>
      </c>
      <c r="L702" t="s">
        <v>74</v>
      </c>
      <c r="M702" t="s">
        <v>200</v>
      </c>
      <c r="N702" t="s">
        <v>79</v>
      </c>
      <c r="O702" t="s">
        <v>74</v>
      </c>
      <c r="P702" t="s">
        <v>74</v>
      </c>
      <c r="Q702" t="s">
        <v>74</v>
      </c>
      <c r="R702" t="s">
        <v>74</v>
      </c>
      <c r="S702" t="s">
        <v>74</v>
      </c>
      <c r="T702" t="s">
        <v>13153</v>
      </c>
      <c r="U702" t="s">
        <v>13154</v>
      </c>
      <c r="V702" t="s">
        <v>13155</v>
      </c>
      <c r="W702" t="s">
        <v>13156</v>
      </c>
      <c r="X702" t="s">
        <v>2648</v>
      </c>
      <c r="Y702" t="s">
        <v>13157</v>
      </c>
      <c r="Z702" t="s">
        <v>13158</v>
      </c>
      <c r="AA702" t="s">
        <v>11181</v>
      </c>
      <c r="AB702" t="s">
        <v>11182</v>
      </c>
      <c r="AC702" t="s">
        <v>13159</v>
      </c>
      <c r="AD702" t="s">
        <v>13159</v>
      </c>
      <c r="AE702" t="s">
        <v>13160</v>
      </c>
      <c r="AF702" t="s">
        <v>74</v>
      </c>
      <c r="AG702">
        <v>47</v>
      </c>
      <c r="AH702">
        <v>2</v>
      </c>
      <c r="AI702">
        <v>2</v>
      </c>
      <c r="AJ702">
        <v>0</v>
      </c>
      <c r="AK702">
        <v>22</v>
      </c>
      <c r="AL702" t="s">
        <v>5464</v>
      </c>
      <c r="AM702" t="s">
        <v>5465</v>
      </c>
      <c r="AN702" t="s">
        <v>5466</v>
      </c>
      <c r="AO702" t="s">
        <v>13161</v>
      </c>
      <c r="AP702" t="s">
        <v>74</v>
      </c>
      <c r="AQ702" t="s">
        <v>74</v>
      </c>
      <c r="AR702" t="s">
        <v>13152</v>
      </c>
      <c r="AS702" t="s">
        <v>13162</v>
      </c>
      <c r="AT702" t="s">
        <v>12574</v>
      </c>
      <c r="AU702">
        <v>2015</v>
      </c>
      <c r="AV702">
        <v>6</v>
      </c>
      <c r="AW702">
        <v>12</v>
      </c>
      <c r="AX702" t="s">
        <v>74</v>
      </c>
      <c r="AY702" t="s">
        <v>74</v>
      </c>
      <c r="AZ702" t="s">
        <v>74</v>
      </c>
      <c r="BA702" t="s">
        <v>74</v>
      </c>
      <c r="BB702" t="s">
        <v>74</v>
      </c>
      <c r="BC702" t="s">
        <v>74</v>
      </c>
      <c r="BD702">
        <v>251</v>
      </c>
      <c r="BE702" t="s">
        <v>13163</v>
      </c>
      <c r="BF702" t="str">
        <f>HYPERLINK("http://dx.doi.org/10.1890/ES15-00293.1","http://dx.doi.org/10.1890/ES15-00293.1")</f>
        <v>http://dx.doi.org/10.1890/ES15-00293.1</v>
      </c>
      <c r="BG702" t="s">
        <v>74</v>
      </c>
      <c r="BH702" t="s">
        <v>74</v>
      </c>
      <c r="BI702">
        <v>13</v>
      </c>
      <c r="BJ702" t="s">
        <v>5445</v>
      </c>
      <c r="BK702" t="s">
        <v>264</v>
      </c>
      <c r="BL702" t="s">
        <v>2887</v>
      </c>
      <c r="BM702" t="s">
        <v>13164</v>
      </c>
      <c r="BN702" t="s">
        <v>74</v>
      </c>
      <c r="BO702" t="s">
        <v>99</v>
      </c>
      <c r="BP702" t="s">
        <v>74</v>
      </c>
      <c r="BQ702" t="s">
        <v>74</v>
      </c>
      <c r="BR702" t="s">
        <v>100</v>
      </c>
      <c r="BS702" t="s">
        <v>13165</v>
      </c>
      <c r="BT702" t="str">
        <f>HYPERLINK("https%3A%2F%2Fwww.webofscience.com%2Fwos%2Fwoscc%2Ffull-record%2FWOS:000367311800004","View Full Record in Web of Science")</f>
        <v>View Full Record in Web of Science</v>
      </c>
    </row>
    <row r="703" spans="1:72" x14ac:dyDescent="0.15">
      <c r="A703" t="s">
        <v>72</v>
      </c>
      <c r="B703" t="s">
        <v>13166</v>
      </c>
      <c r="C703" t="s">
        <v>74</v>
      </c>
      <c r="D703" t="s">
        <v>74</v>
      </c>
      <c r="E703" t="s">
        <v>74</v>
      </c>
      <c r="F703" t="s">
        <v>13167</v>
      </c>
      <c r="G703" t="s">
        <v>74</v>
      </c>
      <c r="H703" t="s">
        <v>74</v>
      </c>
      <c r="I703" t="s">
        <v>13168</v>
      </c>
      <c r="J703" t="s">
        <v>13169</v>
      </c>
      <c r="K703" t="s">
        <v>74</v>
      </c>
      <c r="L703" t="s">
        <v>74</v>
      </c>
      <c r="M703" t="s">
        <v>200</v>
      </c>
      <c r="N703" t="s">
        <v>79</v>
      </c>
      <c r="O703" t="s">
        <v>74</v>
      </c>
      <c r="P703" t="s">
        <v>74</v>
      </c>
      <c r="Q703" t="s">
        <v>74</v>
      </c>
      <c r="R703" t="s">
        <v>74</v>
      </c>
      <c r="S703" t="s">
        <v>74</v>
      </c>
      <c r="T703" t="s">
        <v>13170</v>
      </c>
      <c r="U703" t="s">
        <v>74</v>
      </c>
      <c r="V703" t="s">
        <v>13171</v>
      </c>
      <c r="W703" t="s">
        <v>13172</v>
      </c>
      <c r="X703" t="s">
        <v>13173</v>
      </c>
      <c r="Y703" t="s">
        <v>13174</v>
      </c>
      <c r="Z703" t="s">
        <v>74</v>
      </c>
      <c r="AA703" t="s">
        <v>13175</v>
      </c>
      <c r="AB703" t="s">
        <v>74</v>
      </c>
      <c r="AC703" t="s">
        <v>74</v>
      </c>
      <c r="AD703" t="s">
        <v>74</v>
      </c>
      <c r="AE703" t="s">
        <v>74</v>
      </c>
      <c r="AF703" t="s">
        <v>74</v>
      </c>
      <c r="AG703">
        <v>29</v>
      </c>
      <c r="AH703">
        <v>3</v>
      </c>
      <c r="AI703">
        <v>3</v>
      </c>
      <c r="AJ703">
        <v>0</v>
      </c>
      <c r="AK703">
        <v>26</v>
      </c>
      <c r="AL703" t="s">
        <v>13176</v>
      </c>
      <c r="AM703" t="s">
        <v>2978</v>
      </c>
      <c r="AN703" t="s">
        <v>13177</v>
      </c>
      <c r="AO703" t="s">
        <v>13178</v>
      </c>
      <c r="AP703" t="s">
        <v>13179</v>
      </c>
      <c r="AQ703" t="s">
        <v>74</v>
      </c>
      <c r="AR703" t="s">
        <v>13180</v>
      </c>
      <c r="AS703" t="s">
        <v>13181</v>
      </c>
      <c r="AT703" t="s">
        <v>12574</v>
      </c>
      <c r="AU703">
        <v>2015</v>
      </c>
      <c r="AV703">
        <v>30</v>
      </c>
      <c r="AW703">
        <v>4</v>
      </c>
      <c r="AX703" t="s">
        <v>74</v>
      </c>
      <c r="AY703" t="s">
        <v>74</v>
      </c>
      <c r="AZ703" t="s">
        <v>74</v>
      </c>
      <c r="BA703" t="s">
        <v>74</v>
      </c>
      <c r="BB703">
        <v>700</v>
      </c>
      <c r="BC703">
        <v>726</v>
      </c>
      <c r="BD703" t="s">
        <v>74</v>
      </c>
      <c r="BE703" t="s">
        <v>13182</v>
      </c>
      <c r="BF703" t="str">
        <f>HYPERLINK("http://dx.doi.org/10.1163/15718085-12341377","http://dx.doi.org/10.1163/15718085-12341377")</f>
        <v>http://dx.doi.org/10.1163/15718085-12341377</v>
      </c>
      <c r="BG703" t="s">
        <v>74</v>
      </c>
      <c r="BH703" t="s">
        <v>74</v>
      </c>
      <c r="BI703">
        <v>27</v>
      </c>
      <c r="BJ703" t="s">
        <v>334</v>
      </c>
      <c r="BK703" t="s">
        <v>1208</v>
      </c>
      <c r="BL703" t="s">
        <v>335</v>
      </c>
      <c r="BM703" t="s">
        <v>13183</v>
      </c>
      <c r="BN703" t="s">
        <v>74</v>
      </c>
      <c r="BO703" t="s">
        <v>74</v>
      </c>
      <c r="BP703" t="s">
        <v>74</v>
      </c>
      <c r="BQ703" t="s">
        <v>74</v>
      </c>
      <c r="BR703" t="s">
        <v>100</v>
      </c>
      <c r="BS703" t="s">
        <v>13184</v>
      </c>
      <c r="BT703" t="str">
        <f>HYPERLINK("https%3A%2F%2Fwww.webofscience.com%2Fwos%2Fwoscc%2Ffull-record%2FWOS:000367415900004","View Full Record in Web of Science")</f>
        <v>View Full Record in Web of Science</v>
      </c>
    </row>
    <row r="704" spans="1:72" x14ac:dyDescent="0.15">
      <c r="A704" t="s">
        <v>72</v>
      </c>
      <c r="B704" t="s">
        <v>13185</v>
      </c>
      <c r="C704" t="s">
        <v>74</v>
      </c>
      <c r="D704" t="s">
        <v>74</v>
      </c>
      <c r="E704" t="s">
        <v>74</v>
      </c>
      <c r="F704" t="s">
        <v>13186</v>
      </c>
      <c r="G704" t="s">
        <v>74</v>
      </c>
      <c r="H704" t="s">
        <v>74</v>
      </c>
      <c r="I704" t="s">
        <v>13187</v>
      </c>
      <c r="J704" t="s">
        <v>13169</v>
      </c>
      <c r="K704" t="s">
        <v>74</v>
      </c>
      <c r="L704" t="s">
        <v>74</v>
      </c>
      <c r="M704" t="s">
        <v>200</v>
      </c>
      <c r="N704" t="s">
        <v>79</v>
      </c>
      <c r="O704" t="s">
        <v>74</v>
      </c>
      <c r="P704" t="s">
        <v>74</v>
      </c>
      <c r="Q704" t="s">
        <v>74</v>
      </c>
      <c r="R704" t="s">
        <v>74</v>
      </c>
      <c r="S704" t="s">
        <v>74</v>
      </c>
      <c r="T704" t="s">
        <v>13188</v>
      </c>
      <c r="U704" t="s">
        <v>13189</v>
      </c>
      <c r="V704" t="s">
        <v>13190</v>
      </c>
      <c r="W704" t="s">
        <v>13191</v>
      </c>
      <c r="X704" t="s">
        <v>13192</v>
      </c>
      <c r="Y704" t="s">
        <v>13193</v>
      </c>
      <c r="Z704" t="s">
        <v>74</v>
      </c>
      <c r="AA704" t="s">
        <v>13194</v>
      </c>
      <c r="AB704" t="s">
        <v>74</v>
      </c>
      <c r="AC704" t="s">
        <v>74</v>
      </c>
      <c r="AD704" t="s">
        <v>74</v>
      </c>
      <c r="AE704" t="s">
        <v>74</v>
      </c>
      <c r="AF704" t="s">
        <v>74</v>
      </c>
      <c r="AG704">
        <v>55</v>
      </c>
      <c r="AH704">
        <v>17</v>
      </c>
      <c r="AI704">
        <v>19</v>
      </c>
      <c r="AJ704">
        <v>1</v>
      </c>
      <c r="AK704">
        <v>31</v>
      </c>
      <c r="AL704" t="s">
        <v>13176</v>
      </c>
      <c r="AM704" t="s">
        <v>2978</v>
      </c>
      <c r="AN704" t="s">
        <v>13177</v>
      </c>
      <c r="AO704" t="s">
        <v>13178</v>
      </c>
      <c r="AP704" t="s">
        <v>13179</v>
      </c>
      <c r="AQ704" t="s">
        <v>74</v>
      </c>
      <c r="AR704" t="s">
        <v>13180</v>
      </c>
      <c r="AS704" t="s">
        <v>13181</v>
      </c>
      <c r="AT704" t="s">
        <v>12574</v>
      </c>
      <c r="AU704">
        <v>2015</v>
      </c>
      <c r="AV704">
        <v>30</v>
      </c>
      <c r="AW704">
        <v>4</v>
      </c>
      <c r="AX704" t="s">
        <v>74</v>
      </c>
      <c r="AY704" t="s">
        <v>74</v>
      </c>
      <c r="AZ704" t="s">
        <v>74</v>
      </c>
      <c r="BA704" t="s">
        <v>74</v>
      </c>
      <c r="BB704">
        <v>727</v>
      </c>
      <c r="BC704">
        <v>764</v>
      </c>
      <c r="BD704" t="s">
        <v>74</v>
      </c>
      <c r="BE704" t="s">
        <v>13195</v>
      </c>
      <c r="BF704" t="str">
        <f>HYPERLINK("http://dx.doi.org/10.1163/15718085-12341380","http://dx.doi.org/10.1163/15718085-12341380")</f>
        <v>http://dx.doi.org/10.1163/15718085-12341380</v>
      </c>
      <c r="BG704" t="s">
        <v>74</v>
      </c>
      <c r="BH704" t="s">
        <v>74</v>
      </c>
      <c r="BI704">
        <v>38</v>
      </c>
      <c r="BJ704" t="s">
        <v>334</v>
      </c>
      <c r="BK704" t="s">
        <v>1208</v>
      </c>
      <c r="BL704" t="s">
        <v>335</v>
      </c>
      <c r="BM704" t="s">
        <v>13183</v>
      </c>
      <c r="BN704" t="s">
        <v>74</v>
      </c>
      <c r="BO704" t="s">
        <v>74</v>
      </c>
      <c r="BP704" t="s">
        <v>74</v>
      </c>
      <c r="BQ704" t="s">
        <v>74</v>
      </c>
      <c r="BR704" t="s">
        <v>100</v>
      </c>
      <c r="BS704" t="s">
        <v>13196</v>
      </c>
      <c r="BT704" t="str">
        <f>HYPERLINK("https%3A%2F%2Fwww.webofscience.com%2Fwos%2Fwoscc%2Ffull-record%2FWOS:000367415900005","View Full Record in Web of Science")</f>
        <v>View Full Record in Web of Science</v>
      </c>
    </row>
    <row r="705" spans="1:72" x14ac:dyDescent="0.15">
      <c r="A705" t="s">
        <v>72</v>
      </c>
      <c r="B705" t="s">
        <v>13197</v>
      </c>
      <c r="C705" t="s">
        <v>74</v>
      </c>
      <c r="D705" t="s">
        <v>74</v>
      </c>
      <c r="E705" t="s">
        <v>74</v>
      </c>
      <c r="F705" t="s">
        <v>13198</v>
      </c>
      <c r="G705" t="s">
        <v>74</v>
      </c>
      <c r="H705" t="s">
        <v>74</v>
      </c>
      <c r="I705" t="s">
        <v>13199</v>
      </c>
      <c r="J705" t="s">
        <v>13200</v>
      </c>
      <c r="K705" t="s">
        <v>74</v>
      </c>
      <c r="L705" t="s">
        <v>74</v>
      </c>
      <c r="M705" t="s">
        <v>200</v>
      </c>
      <c r="N705" t="s">
        <v>13201</v>
      </c>
      <c r="O705" t="s">
        <v>74</v>
      </c>
      <c r="P705" t="s">
        <v>74</v>
      </c>
      <c r="Q705" t="s">
        <v>74</v>
      </c>
      <c r="R705" t="s">
        <v>74</v>
      </c>
      <c r="S705" t="s">
        <v>74</v>
      </c>
      <c r="T705" t="s">
        <v>74</v>
      </c>
      <c r="U705" t="s">
        <v>13202</v>
      </c>
      <c r="V705" t="s">
        <v>13203</v>
      </c>
      <c r="W705" t="s">
        <v>13204</v>
      </c>
      <c r="X705" t="s">
        <v>13205</v>
      </c>
      <c r="Y705" t="s">
        <v>13206</v>
      </c>
      <c r="Z705" t="s">
        <v>13207</v>
      </c>
      <c r="AA705" t="s">
        <v>74</v>
      </c>
      <c r="AB705" t="s">
        <v>74</v>
      </c>
      <c r="AC705" t="s">
        <v>13208</v>
      </c>
      <c r="AD705" t="s">
        <v>13209</v>
      </c>
      <c r="AE705" t="s">
        <v>13210</v>
      </c>
      <c r="AF705" t="s">
        <v>74</v>
      </c>
      <c r="AG705">
        <v>73</v>
      </c>
      <c r="AH705">
        <v>4</v>
      </c>
      <c r="AI705">
        <v>4</v>
      </c>
      <c r="AJ705">
        <v>0</v>
      </c>
      <c r="AK705">
        <v>26</v>
      </c>
      <c r="AL705" t="s">
        <v>13211</v>
      </c>
      <c r="AM705" t="s">
        <v>4465</v>
      </c>
      <c r="AN705" t="s">
        <v>13212</v>
      </c>
      <c r="AO705" t="s">
        <v>13213</v>
      </c>
      <c r="AP705" t="s">
        <v>13214</v>
      </c>
      <c r="AQ705" t="s">
        <v>74</v>
      </c>
      <c r="AR705" t="s">
        <v>13215</v>
      </c>
      <c r="AS705" t="s">
        <v>13216</v>
      </c>
      <c r="AT705" t="s">
        <v>12574</v>
      </c>
      <c r="AU705">
        <v>2015</v>
      </c>
      <c r="AV705">
        <v>85</v>
      </c>
      <c r="AW705">
        <v>12</v>
      </c>
      <c r="AX705" t="s">
        <v>74</v>
      </c>
      <c r="AY705" t="s">
        <v>74</v>
      </c>
      <c r="AZ705" t="s">
        <v>74</v>
      </c>
      <c r="BA705" t="s">
        <v>74</v>
      </c>
      <c r="BB705">
        <v>1492</v>
      </c>
      <c r="BC705">
        <v>1509</v>
      </c>
      <c r="BD705" t="s">
        <v>74</v>
      </c>
      <c r="BE705" t="s">
        <v>13217</v>
      </c>
      <c r="BF705" t="str">
        <f>HYPERLINK("http://dx.doi.org/10.2110/jsr.2015.94","http://dx.doi.org/10.2110/jsr.2015.94")</f>
        <v>http://dx.doi.org/10.2110/jsr.2015.94</v>
      </c>
      <c r="BG705" t="s">
        <v>74</v>
      </c>
      <c r="BH705" t="s">
        <v>74</v>
      </c>
      <c r="BI705">
        <v>18</v>
      </c>
      <c r="BJ705" t="s">
        <v>97</v>
      </c>
      <c r="BK705" t="s">
        <v>264</v>
      </c>
      <c r="BL705" t="s">
        <v>97</v>
      </c>
      <c r="BM705" t="s">
        <v>13218</v>
      </c>
      <c r="BN705" t="s">
        <v>74</v>
      </c>
      <c r="BO705" t="s">
        <v>74</v>
      </c>
      <c r="BP705" t="s">
        <v>74</v>
      </c>
      <c r="BQ705" t="s">
        <v>74</v>
      </c>
      <c r="BR705" t="s">
        <v>100</v>
      </c>
      <c r="BS705" t="s">
        <v>13219</v>
      </c>
      <c r="BT705" t="str">
        <f>HYPERLINK("https%3A%2F%2Fwww.webofscience.com%2Fwos%2Fwoscc%2Ffull-record%2FWOS:000367405600006","View Full Record in Web of Science")</f>
        <v>View Full Record in Web of Science</v>
      </c>
    </row>
    <row r="706" spans="1:72" x14ac:dyDescent="0.15">
      <c r="A706" t="s">
        <v>72</v>
      </c>
      <c r="B706" t="s">
        <v>13220</v>
      </c>
      <c r="C706" t="s">
        <v>74</v>
      </c>
      <c r="D706" t="s">
        <v>74</v>
      </c>
      <c r="E706" t="s">
        <v>74</v>
      </c>
      <c r="F706" t="s">
        <v>13221</v>
      </c>
      <c r="G706" t="s">
        <v>74</v>
      </c>
      <c r="H706" t="s">
        <v>74</v>
      </c>
      <c r="I706" t="s">
        <v>13222</v>
      </c>
      <c r="J706" t="s">
        <v>13223</v>
      </c>
      <c r="K706" t="s">
        <v>74</v>
      </c>
      <c r="L706" t="s">
        <v>74</v>
      </c>
      <c r="M706" t="s">
        <v>200</v>
      </c>
      <c r="N706" t="s">
        <v>79</v>
      </c>
      <c r="O706" t="s">
        <v>74</v>
      </c>
      <c r="P706" t="s">
        <v>74</v>
      </c>
      <c r="Q706" t="s">
        <v>74</v>
      </c>
      <c r="R706" t="s">
        <v>74</v>
      </c>
      <c r="S706" t="s">
        <v>74</v>
      </c>
      <c r="T706" t="s">
        <v>13224</v>
      </c>
      <c r="U706" t="s">
        <v>13225</v>
      </c>
      <c r="V706" t="s">
        <v>13226</v>
      </c>
      <c r="W706" t="s">
        <v>13227</v>
      </c>
      <c r="X706" t="s">
        <v>13228</v>
      </c>
      <c r="Y706" t="s">
        <v>13229</v>
      </c>
      <c r="Z706" t="s">
        <v>13230</v>
      </c>
      <c r="AA706" t="s">
        <v>13231</v>
      </c>
      <c r="AB706" t="s">
        <v>13232</v>
      </c>
      <c r="AC706" t="s">
        <v>13233</v>
      </c>
      <c r="AD706" t="s">
        <v>13234</v>
      </c>
      <c r="AE706" t="s">
        <v>13235</v>
      </c>
      <c r="AF706" t="s">
        <v>74</v>
      </c>
      <c r="AG706">
        <v>60</v>
      </c>
      <c r="AH706">
        <v>4</v>
      </c>
      <c r="AI706">
        <v>4</v>
      </c>
      <c r="AJ706">
        <v>1</v>
      </c>
      <c r="AK706">
        <v>45</v>
      </c>
      <c r="AL706" t="s">
        <v>5464</v>
      </c>
      <c r="AM706" t="s">
        <v>5465</v>
      </c>
      <c r="AN706" t="s">
        <v>5466</v>
      </c>
      <c r="AO706" t="s">
        <v>13236</v>
      </c>
      <c r="AP706" t="s">
        <v>13237</v>
      </c>
      <c r="AQ706" t="s">
        <v>74</v>
      </c>
      <c r="AR706" t="s">
        <v>13238</v>
      </c>
      <c r="AS706" t="s">
        <v>13239</v>
      </c>
      <c r="AT706" t="s">
        <v>12574</v>
      </c>
      <c r="AU706">
        <v>2015</v>
      </c>
      <c r="AV706">
        <v>36</v>
      </c>
      <c r="AW706">
        <v>4</v>
      </c>
      <c r="AX706" t="s">
        <v>74</v>
      </c>
      <c r="AY706" t="s">
        <v>74</v>
      </c>
      <c r="AZ706" t="s">
        <v>74</v>
      </c>
      <c r="BA706" t="s">
        <v>74</v>
      </c>
      <c r="BB706">
        <v>1428</v>
      </c>
      <c r="BC706">
        <v>1439</v>
      </c>
      <c r="BD706" t="s">
        <v>74</v>
      </c>
      <c r="BE706" t="s">
        <v>13240</v>
      </c>
      <c r="BF706" t="str">
        <f>HYPERLINK("http://dx.doi.org/10.1111/maec.12242","http://dx.doi.org/10.1111/maec.12242")</f>
        <v>http://dx.doi.org/10.1111/maec.12242</v>
      </c>
      <c r="BG706" t="s">
        <v>74</v>
      </c>
      <c r="BH706" t="s">
        <v>74</v>
      </c>
      <c r="BI706">
        <v>12</v>
      </c>
      <c r="BJ706" t="s">
        <v>1479</v>
      </c>
      <c r="BK706" t="s">
        <v>264</v>
      </c>
      <c r="BL706" t="s">
        <v>1479</v>
      </c>
      <c r="BM706" t="s">
        <v>13241</v>
      </c>
      <c r="BN706" t="s">
        <v>74</v>
      </c>
      <c r="BO706" t="s">
        <v>486</v>
      </c>
      <c r="BP706" t="s">
        <v>74</v>
      </c>
      <c r="BQ706" t="s">
        <v>74</v>
      </c>
      <c r="BR706" t="s">
        <v>100</v>
      </c>
      <c r="BS706" t="s">
        <v>13242</v>
      </c>
      <c r="BT706" t="str">
        <f>HYPERLINK("https%3A%2F%2Fwww.webofscience.com%2Fwos%2Fwoscc%2Ffull-record%2FWOS:000367395900045","View Full Record in Web of Science")</f>
        <v>View Full Record in Web of Science</v>
      </c>
    </row>
    <row r="707" spans="1:72" x14ac:dyDescent="0.15">
      <c r="A707" t="s">
        <v>72</v>
      </c>
      <c r="B707" t="s">
        <v>13243</v>
      </c>
      <c r="C707" t="s">
        <v>74</v>
      </c>
      <c r="D707" t="s">
        <v>74</v>
      </c>
      <c r="E707" t="s">
        <v>74</v>
      </c>
      <c r="F707" t="s">
        <v>13244</v>
      </c>
      <c r="G707" t="s">
        <v>74</v>
      </c>
      <c r="H707" t="s">
        <v>74</v>
      </c>
      <c r="I707" t="s">
        <v>13245</v>
      </c>
      <c r="J707" t="s">
        <v>13246</v>
      </c>
      <c r="K707" t="s">
        <v>74</v>
      </c>
      <c r="L707" t="s">
        <v>74</v>
      </c>
      <c r="M707" t="s">
        <v>200</v>
      </c>
      <c r="N707" t="s">
        <v>79</v>
      </c>
      <c r="O707" t="s">
        <v>74</v>
      </c>
      <c r="P707" t="s">
        <v>74</v>
      </c>
      <c r="Q707" t="s">
        <v>74</v>
      </c>
      <c r="R707" t="s">
        <v>74</v>
      </c>
      <c r="S707" t="s">
        <v>74</v>
      </c>
      <c r="T707" t="s">
        <v>13247</v>
      </c>
      <c r="U707" t="s">
        <v>13248</v>
      </c>
      <c r="V707" t="s">
        <v>13249</v>
      </c>
      <c r="W707" t="s">
        <v>13250</v>
      </c>
      <c r="X707" t="s">
        <v>13251</v>
      </c>
      <c r="Y707" t="s">
        <v>13252</v>
      </c>
      <c r="Z707" t="s">
        <v>13253</v>
      </c>
      <c r="AA707" t="s">
        <v>13254</v>
      </c>
      <c r="AB707" t="s">
        <v>74</v>
      </c>
      <c r="AC707" t="s">
        <v>13255</v>
      </c>
      <c r="AD707" t="s">
        <v>13256</v>
      </c>
      <c r="AE707" t="s">
        <v>13257</v>
      </c>
      <c r="AF707" t="s">
        <v>74</v>
      </c>
      <c r="AG707">
        <v>35</v>
      </c>
      <c r="AH707">
        <v>9</v>
      </c>
      <c r="AI707">
        <v>14</v>
      </c>
      <c r="AJ707">
        <v>2</v>
      </c>
      <c r="AK707">
        <v>76</v>
      </c>
      <c r="AL707" t="s">
        <v>6056</v>
      </c>
      <c r="AM707" t="s">
        <v>6057</v>
      </c>
      <c r="AN707" t="s">
        <v>6058</v>
      </c>
      <c r="AO707" t="s">
        <v>13258</v>
      </c>
      <c r="AP707" t="s">
        <v>13259</v>
      </c>
      <c r="AQ707" t="s">
        <v>74</v>
      </c>
      <c r="AR707" t="s">
        <v>13260</v>
      </c>
      <c r="AS707" t="s">
        <v>13261</v>
      </c>
      <c r="AT707" t="s">
        <v>12574</v>
      </c>
      <c r="AU707">
        <v>2015</v>
      </c>
      <c r="AV707">
        <v>60</v>
      </c>
      <c r="AW707">
        <v>24</v>
      </c>
      <c r="AX707" t="s">
        <v>74</v>
      </c>
      <c r="AY707" t="s">
        <v>74</v>
      </c>
      <c r="AZ707" t="s">
        <v>74</v>
      </c>
      <c r="BA707" t="s">
        <v>74</v>
      </c>
      <c r="BB707">
        <v>2091</v>
      </c>
      <c r="BC707">
        <v>2095</v>
      </c>
      <c r="BD707" t="s">
        <v>74</v>
      </c>
      <c r="BE707" t="s">
        <v>13262</v>
      </c>
      <c r="BF707" t="str">
        <f>HYPERLINK("http://dx.doi.org/10.1007/s11434-015-0973-y","http://dx.doi.org/10.1007/s11434-015-0973-y")</f>
        <v>http://dx.doi.org/10.1007/s11434-015-0973-y</v>
      </c>
      <c r="BG707" t="s">
        <v>74</v>
      </c>
      <c r="BH707" t="s">
        <v>74</v>
      </c>
      <c r="BI707">
        <v>5</v>
      </c>
      <c r="BJ707" t="s">
        <v>3540</v>
      </c>
      <c r="BK707" t="s">
        <v>264</v>
      </c>
      <c r="BL707" t="s">
        <v>3541</v>
      </c>
      <c r="BM707" t="s">
        <v>13263</v>
      </c>
      <c r="BN707" t="s">
        <v>74</v>
      </c>
      <c r="BO707" t="s">
        <v>74</v>
      </c>
      <c r="BP707" t="s">
        <v>74</v>
      </c>
      <c r="BQ707" t="s">
        <v>74</v>
      </c>
      <c r="BR707" t="s">
        <v>100</v>
      </c>
      <c r="BS707" t="s">
        <v>13264</v>
      </c>
      <c r="BT707" t="str">
        <f>HYPERLINK("https%3A%2F%2Fwww.webofscience.com%2Fwos%2Fwoscc%2Ffull-record%2FWOS:000367400300002","View Full Record in Web of Science")</f>
        <v>View Full Record in Web of Science</v>
      </c>
    </row>
    <row r="708" spans="1:72" x14ac:dyDescent="0.15">
      <c r="A708" t="s">
        <v>72</v>
      </c>
      <c r="B708" t="s">
        <v>13265</v>
      </c>
      <c r="C708" t="s">
        <v>74</v>
      </c>
      <c r="D708" t="s">
        <v>74</v>
      </c>
      <c r="E708" t="s">
        <v>74</v>
      </c>
      <c r="F708" t="s">
        <v>13266</v>
      </c>
      <c r="G708" t="s">
        <v>74</v>
      </c>
      <c r="H708" t="s">
        <v>74</v>
      </c>
      <c r="I708" t="s">
        <v>13267</v>
      </c>
      <c r="J708" t="s">
        <v>13268</v>
      </c>
      <c r="K708" t="s">
        <v>74</v>
      </c>
      <c r="L708" t="s">
        <v>74</v>
      </c>
      <c r="M708" t="s">
        <v>200</v>
      </c>
      <c r="N708" t="s">
        <v>79</v>
      </c>
      <c r="O708" t="s">
        <v>74</v>
      </c>
      <c r="P708" t="s">
        <v>74</v>
      </c>
      <c r="Q708" t="s">
        <v>74</v>
      </c>
      <c r="R708" t="s">
        <v>74</v>
      </c>
      <c r="S708" t="s">
        <v>74</v>
      </c>
      <c r="T708" t="s">
        <v>13269</v>
      </c>
      <c r="U708" t="s">
        <v>13270</v>
      </c>
      <c r="V708" t="s">
        <v>13271</v>
      </c>
      <c r="W708" t="s">
        <v>13272</v>
      </c>
      <c r="X708" t="s">
        <v>13273</v>
      </c>
      <c r="Y708" t="s">
        <v>13274</v>
      </c>
      <c r="Z708" t="s">
        <v>13275</v>
      </c>
      <c r="AA708" t="s">
        <v>13276</v>
      </c>
      <c r="AB708" t="s">
        <v>13277</v>
      </c>
      <c r="AC708" t="s">
        <v>13278</v>
      </c>
      <c r="AD708" t="s">
        <v>13279</v>
      </c>
      <c r="AE708" t="s">
        <v>13280</v>
      </c>
      <c r="AF708" t="s">
        <v>74</v>
      </c>
      <c r="AG708">
        <v>40</v>
      </c>
      <c r="AH708">
        <v>7</v>
      </c>
      <c r="AI708">
        <v>7</v>
      </c>
      <c r="AJ708">
        <v>0</v>
      </c>
      <c r="AK708">
        <v>17</v>
      </c>
      <c r="AL708" t="s">
        <v>502</v>
      </c>
      <c r="AM708" t="s">
        <v>503</v>
      </c>
      <c r="AN708" t="s">
        <v>504</v>
      </c>
      <c r="AO708" t="s">
        <v>13281</v>
      </c>
      <c r="AP708" t="s">
        <v>13282</v>
      </c>
      <c r="AQ708" t="s">
        <v>74</v>
      </c>
      <c r="AR708" t="s">
        <v>13283</v>
      </c>
      <c r="AS708" t="s">
        <v>13284</v>
      </c>
      <c r="AT708" t="s">
        <v>12574</v>
      </c>
      <c r="AU708">
        <v>2015</v>
      </c>
      <c r="AV708">
        <v>53</v>
      </c>
      <c r="AW708">
        <v>5</v>
      </c>
      <c r="AX708" t="s">
        <v>74</v>
      </c>
      <c r="AY708" t="s">
        <v>74</v>
      </c>
      <c r="AZ708" t="s">
        <v>2540</v>
      </c>
      <c r="BA708" t="s">
        <v>74</v>
      </c>
      <c r="BB708">
        <v>476</v>
      </c>
      <c r="BC708">
        <v>490</v>
      </c>
      <c r="BD708" t="s">
        <v>74</v>
      </c>
      <c r="BE708" t="s">
        <v>13285</v>
      </c>
      <c r="BF708" t="str">
        <f>HYPERLINK("http://dx.doi.org/10.1080/07055900.2015.1106401","http://dx.doi.org/10.1080/07055900.2015.1106401")</f>
        <v>http://dx.doi.org/10.1080/07055900.2015.1106401</v>
      </c>
      <c r="BG708" t="s">
        <v>74</v>
      </c>
      <c r="BH708" t="s">
        <v>74</v>
      </c>
      <c r="BI708">
        <v>15</v>
      </c>
      <c r="BJ708" t="s">
        <v>3766</v>
      </c>
      <c r="BK708" t="s">
        <v>264</v>
      </c>
      <c r="BL708" t="s">
        <v>3766</v>
      </c>
      <c r="BM708" t="s">
        <v>13286</v>
      </c>
      <c r="BN708" t="s">
        <v>74</v>
      </c>
      <c r="BO708" t="s">
        <v>13287</v>
      </c>
      <c r="BP708" t="s">
        <v>74</v>
      </c>
      <c r="BQ708" t="s">
        <v>74</v>
      </c>
      <c r="BR708" t="s">
        <v>100</v>
      </c>
      <c r="BS708" t="s">
        <v>13288</v>
      </c>
      <c r="BT708" t="str">
        <f>HYPERLINK("https%3A%2F%2Fwww.webofscience.com%2Fwos%2Fwoscc%2Ffull-record%2FWOS:000367156500004","View Full Record in Web of Science")</f>
        <v>View Full Record in Web of Science</v>
      </c>
    </row>
    <row r="709" spans="1:72" x14ac:dyDescent="0.15">
      <c r="A709" t="s">
        <v>72</v>
      </c>
      <c r="B709" t="s">
        <v>13289</v>
      </c>
      <c r="C709" t="s">
        <v>74</v>
      </c>
      <c r="D709" t="s">
        <v>74</v>
      </c>
      <c r="E709" t="s">
        <v>74</v>
      </c>
      <c r="F709" t="s">
        <v>13290</v>
      </c>
      <c r="G709" t="s">
        <v>74</v>
      </c>
      <c r="H709" t="s">
        <v>74</v>
      </c>
      <c r="I709" t="s">
        <v>13291</v>
      </c>
      <c r="J709" t="s">
        <v>5661</v>
      </c>
      <c r="K709" t="s">
        <v>74</v>
      </c>
      <c r="L709" t="s">
        <v>74</v>
      </c>
      <c r="M709" t="s">
        <v>200</v>
      </c>
      <c r="N709" t="s">
        <v>5662</v>
      </c>
      <c r="O709" t="s">
        <v>74</v>
      </c>
      <c r="P709" t="s">
        <v>74</v>
      </c>
      <c r="Q709" t="s">
        <v>74</v>
      </c>
      <c r="R709" t="s">
        <v>74</v>
      </c>
      <c r="S709" t="s">
        <v>74</v>
      </c>
      <c r="T709" t="s">
        <v>74</v>
      </c>
      <c r="U709" t="s">
        <v>74</v>
      </c>
      <c r="V709" t="s">
        <v>74</v>
      </c>
      <c r="W709" t="s">
        <v>74</v>
      </c>
      <c r="X709" t="s">
        <v>74</v>
      </c>
      <c r="Y709" t="s">
        <v>74</v>
      </c>
      <c r="Z709" t="s">
        <v>74</v>
      </c>
      <c r="AA709" t="s">
        <v>74</v>
      </c>
      <c r="AB709" t="s">
        <v>74</v>
      </c>
      <c r="AC709" t="s">
        <v>74</v>
      </c>
      <c r="AD709" t="s">
        <v>74</v>
      </c>
      <c r="AE709" t="s">
        <v>74</v>
      </c>
      <c r="AF709" t="s">
        <v>74</v>
      </c>
      <c r="AG709">
        <v>1</v>
      </c>
      <c r="AH709">
        <v>0</v>
      </c>
      <c r="AI709">
        <v>0</v>
      </c>
      <c r="AJ709">
        <v>0</v>
      </c>
      <c r="AK709">
        <v>0</v>
      </c>
      <c r="AL709" t="s">
        <v>5663</v>
      </c>
      <c r="AM709" t="s">
        <v>5664</v>
      </c>
      <c r="AN709" t="s">
        <v>5665</v>
      </c>
      <c r="AO709" t="s">
        <v>5666</v>
      </c>
      <c r="AP709" t="s">
        <v>5667</v>
      </c>
      <c r="AQ709" t="s">
        <v>74</v>
      </c>
      <c r="AR709" t="s">
        <v>5668</v>
      </c>
      <c r="AS709" t="s">
        <v>5669</v>
      </c>
      <c r="AT709" t="s">
        <v>12574</v>
      </c>
      <c r="AU709">
        <v>2015</v>
      </c>
      <c r="AV709">
        <v>79</v>
      </c>
      <c r="AW709">
        <v>12</v>
      </c>
      <c r="AX709" t="s">
        <v>74</v>
      </c>
      <c r="AY709" t="s">
        <v>74</v>
      </c>
      <c r="AZ709" t="s">
        <v>74</v>
      </c>
      <c r="BA709" t="s">
        <v>74</v>
      </c>
      <c r="BB709">
        <v>10</v>
      </c>
      <c r="BC709">
        <v>10</v>
      </c>
      <c r="BD709" t="s">
        <v>74</v>
      </c>
      <c r="BE709" t="s">
        <v>74</v>
      </c>
      <c r="BF709" t="s">
        <v>74</v>
      </c>
      <c r="BG709" t="s">
        <v>74</v>
      </c>
      <c r="BH709" t="s">
        <v>74</v>
      </c>
      <c r="BI709">
        <v>1</v>
      </c>
      <c r="BJ709" t="s">
        <v>5670</v>
      </c>
      <c r="BK709" t="s">
        <v>264</v>
      </c>
      <c r="BL709" t="s">
        <v>5671</v>
      </c>
      <c r="BM709" t="s">
        <v>13292</v>
      </c>
      <c r="BN709" t="s">
        <v>74</v>
      </c>
      <c r="BO709" t="s">
        <v>74</v>
      </c>
      <c r="BP709" t="s">
        <v>74</v>
      </c>
      <c r="BQ709" t="s">
        <v>74</v>
      </c>
      <c r="BR709" t="s">
        <v>100</v>
      </c>
      <c r="BS709" t="s">
        <v>13293</v>
      </c>
      <c r="BT709" t="str">
        <f>HYPERLINK("https%3A%2F%2Fwww.webofscience.com%2Fwos%2Fwoscc%2Ffull-record%2FWOS:000367172900011","View Full Record in Web of Science")</f>
        <v>View Full Record in Web of Science</v>
      </c>
    </row>
    <row r="710" spans="1:72" x14ac:dyDescent="0.15">
      <c r="A710" t="s">
        <v>72</v>
      </c>
      <c r="B710" t="s">
        <v>13294</v>
      </c>
      <c r="C710" t="s">
        <v>74</v>
      </c>
      <c r="D710" t="s">
        <v>74</v>
      </c>
      <c r="E710" t="s">
        <v>74</v>
      </c>
      <c r="F710" t="s">
        <v>13295</v>
      </c>
      <c r="G710" t="s">
        <v>74</v>
      </c>
      <c r="H710" t="s">
        <v>74</v>
      </c>
      <c r="I710" t="s">
        <v>13296</v>
      </c>
      <c r="J710" t="s">
        <v>13297</v>
      </c>
      <c r="K710" t="s">
        <v>74</v>
      </c>
      <c r="L710" t="s">
        <v>74</v>
      </c>
      <c r="M710" t="s">
        <v>200</v>
      </c>
      <c r="N710" t="s">
        <v>79</v>
      </c>
      <c r="O710" t="s">
        <v>74</v>
      </c>
      <c r="P710" t="s">
        <v>74</v>
      </c>
      <c r="Q710" t="s">
        <v>74</v>
      </c>
      <c r="R710" t="s">
        <v>74</v>
      </c>
      <c r="S710" t="s">
        <v>74</v>
      </c>
      <c r="T710" t="s">
        <v>13298</v>
      </c>
      <c r="U710" t="s">
        <v>13299</v>
      </c>
      <c r="V710" t="s">
        <v>13300</v>
      </c>
      <c r="W710" t="s">
        <v>13301</v>
      </c>
      <c r="X710" t="s">
        <v>13302</v>
      </c>
      <c r="Y710" t="s">
        <v>13303</v>
      </c>
      <c r="Z710" t="s">
        <v>13304</v>
      </c>
      <c r="AA710" t="s">
        <v>13305</v>
      </c>
      <c r="AB710" t="s">
        <v>74</v>
      </c>
      <c r="AC710" t="s">
        <v>74</v>
      </c>
      <c r="AD710" t="s">
        <v>74</v>
      </c>
      <c r="AE710" t="s">
        <v>74</v>
      </c>
      <c r="AF710" t="s">
        <v>74</v>
      </c>
      <c r="AG710">
        <v>30</v>
      </c>
      <c r="AH710">
        <v>7</v>
      </c>
      <c r="AI710">
        <v>7</v>
      </c>
      <c r="AJ710">
        <v>0</v>
      </c>
      <c r="AK710">
        <v>8</v>
      </c>
      <c r="AL710" t="s">
        <v>6662</v>
      </c>
      <c r="AM710" t="s">
        <v>6663</v>
      </c>
      <c r="AN710" t="s">
        <v>6664</v>
      </c>
      <c r="AO710" t="s">
        <v>13306</v>
      </c>
      <c r="AP710" t="s">
        <v>13307</v>
      </c>
      <c r="AQ710" t="s">
        <v>74</v>
      </c>
      <c r="AR710" t="s">
        <v>13308</v>
      </c>
      <c r="AS710" t="s">
        <v>13309</v>
      </c>
      <c r="AT710" t="s">
        <v>12574</v>
      </c>
      <c r="AU710">
        <v>2015</v>
      </c>
      <c r="AV710">
        <v>54</v>
      </c>
      <c r="AW710">
        <v>12</v>
      </c>
      <c r="AX710" t="s">
        <v>74</v>
      </c>
      <c r="AY710" t="s">
        <v>74</v>
      </c>
      <c r="AZ710" t="s">
        <v>74</v>
      </c>
      <c r="BA710" t="s">
        <v>74</v>
      </c>
      <c r="BB710">
        <v>2353</v>
      </c>
      <c r="BC710">
        <v>2363</v>
      </c>
      <c r="BD710" t="s">
        <v>74</v>
      </c>
      <c r="BE710" t="s">
        <v>13310</v>
      </c>
      <c r="BF710" t="str">
        <f>HYPERLINK("http://dx.doi.org/10.1175/JAMC-D-15-0062.1","http://dx.doi.org/10.1175/JAMC-D-15-0062.1")</f>
        <v>http://dx.doi.org/10.1175/JAMC-D-15-0062.1</v>
      </c>
      <c r="BG710" t="s">
        <v>74</v>
      </c>
      <c r="BH710" t="s">
        <v>74</v>
      </c>
      <c r="BI710">
        <v>11</v>
      </c>
      <c r="BJ710" t="s">
        <v>1721</v>
      </c>
      <c r="BK710" t="s">
        <v>264</v>
      </c>
      <c r="BL710" t="s">
        <v>1721</v>
      </c>
      <c r="BM710" t="s">
        <v>13311</v>
      </c>
      <c r="BN710" t="s">
        <v>74</v>
      </c>
      <c r="BO710" t="s">
        <v>13312</v>
      </c>
      <c r="BP710" t="s">
        <v>74</v>
      </c>
      <c r="BQ710" t="s">
        <v>74</v>
      </c>
      <c r="BR710" t="s">
        <v>100</v>
      </c>
      <c r="BS710" t="s">
        <v>13313</v>
      </c>
      <c r="BT710" t="str">
        <f>HYPERLINK("https%3A%2F%2Fwww.webofscience.com%2Fwos%2Fwoscc%2Ffull-record%2FWOS:000367009300002","View Full Record in Web of Science")</f>
        <v>View Full Record in Web of Science</v>
      </c>
    </row>
    <row r="711" spans="1:72" x14ac:dyDescent="0.15">
      <c r="A711" t="s">
        <v>72</v>
      </c>
      <c r="B711" t="s">
        <v>13314</v>
      </c>
      <c r="C711" t="s">
        <v>74</v>
      </c>
      <c r="D711" t="s">
        <v>74</v>
      </c>
      <c r="E711" t="s">
        <v>74</v>
      </c>
      <c r="F711" t="s">
        <v>13315</v>
      </c>
      <c r="G711" t="s">
        <v>74</v>
      </c>
      <c r="H711" t="s">
        <v>74</v>
      </c>
      <c r="I711" t="s">
        <v>13316</v>
      </c>
      <c r="J711" t="s">
        <v>13317</v>
      </c>
      <c r="K711" t="s">
        <v>74</v>
      </c>
      <c r="L711" t="s">
        <v>74</v>
      </c>
      <c r="M711" t="s">
        <v>200</v>
      </c>
      <c r="N711" t="s">
        <v>79</v>
      </c>
      <c r="O711" t="s">
        <v>74</v>
      </c>
      <c r="P711" t="s">
        <v>74</v>
      </c>
      <c r="Q711" t="s">
        <v>74</v>
      </c>
      <c r="R711" t="s">
        <v>74</v>
      </c>
      <c r="S711" t="s">
        <v>74</v>
      </c>
      <c r="T711" t="s">
        <v>74</v>
      </c>
      <c r="U711" t="s">
        <v>13318</v>
      </c>
      <c r="V711" t="s">
        <v>13319</v>
      </c>
      <c r="W711" t="s">
        <v>13320</v>
      </c>
      <c r="X711" t="s">
        <v>13321</v>
      </c>
      <c r="Y711" t="s">
        <v>13322</v>
      </c>
      <c r="Z711" t="s">
        <v>13323</v>
      </c>
      <c r="AA711" t="s">
        <v>13324</v>
      </c>
      <c r="AB711" t="s">
        <v>74</v>
      </c>
      <c r="AC711" t="s">
        <v>13325</v>
      </c>
      <c r="AD711" t="s">
        <v>13326</v>
      </c>
      <c r="AE711" t="s">
        <v>13327</v>
      </c>
      <c r="AF711" t="s">
        <v>74</v>
      </c>
      <c r="AG711">
        <v>45</v>
      </c>
      <c r="AH711">
        <v>19</v>
      </c>
      <c r="AI711">
        <v>21</v>
      </c>
      <c r="AJ711">
        <v>0</v>
      </c>
      <c r="AK711">
        <v>4</v>
      </c>
      <c r="AL711" t="s">
        <v>6662</v>
      </c>
      <c r="AM711" t="s">
        <v>6663</v>
      </c>
      <c r="AN711" t="s">
        <v>6664</v>
      </c>
      <c r="AO711" t="s">
        <v>13328</v>
      </c>
      <c r="AP711" t="s">
        <v>13329</v>
      </c>
      <c r="AQ711" t="s">
        <v>74</v>
      </c>
      <c r="AR711" t="s">
        <v>13330</v>
      </c>
      <c r="AS711" t="s">
        <v>13331</v>
      </c>
      <c r="AT711" t="s">
        <v>12574</v>
      </c>
      <c r="AU711">
        <v>2015</v>
      </c>
      <c r="AV711">
        <v>32</v>
      </c>
      <c r="AW711">
        <v>12</v>
      </c>
      <c r="AX711" t="s">
        <v>74</v>
      </c>
      <c r="AY711" t="s">
        <v>74</v>
      </c>
      <c r="AZ711" t="s">
        <v>74</v>
      </c>
      <c r="BA711" t="s">
        <v>74</v>
      </c>
      <c r="BB711">
        <v>2253</v>
      </c>
      <c r="BC711">
        <v>2263</v>
      </c>
      <c r="BD711" t="s">
        <v>74</v>
      </c>
      <c r="BE711" t="s">
        <v>13332</v>
      </c>
      <c r="BF711" t="str">
        <f>HYPERLINK("http://dx.doi.org/10.1175/JTECH-D-15-0048.1","http://dx.doi.org/10.1175/JTECH-D-15-0048.1")</f>
        <v>http://dx.doi.org/10.1175/JTECH-D-15-0048.1</v>
      </c>
      <c r="BG711" t="s">
        <v>74</v>
      </c>
      <c r="BH711" t="s">
        <v>74</v>
      </c>
      <c r="BI711">
        <v>11</v>
      </c>
      <c r="BJ711" t="s">
        <v>13333</v>
      </c>
      <c r="BK711" t="s">
        <v>264</v>
      </c>
      <c r="BL711" t="s">
        <v>13334</v>
      </c>
      <c r="BM711" t="s">
        <v>13335</v>
      </c>
      <c r="BN711" t="s">
        <v>74</v>
      </c>
      <c r="BO711" t="s">
        <v>5581</v>
      </c>
      <c r="BP711" t="s">
        <v>74</v>
      </c>
      <c r="BQ711" t="s">
        <v>74</v>
      </c>
      <c r="BR711" t="s">
        <v>100</v>
      </c>
      <c r="BS711" t="s">
        <v>13336</v>
      </c>
      <c r="BT711" t="str">
        <f>HYPERLINK("https%3A%2F%2Fwww.webofscience.com%2Fwos%2Fwoscc%2Ffull-record%2FWOS:000366989000002","View Full Record in Web of Science")</f>
        <v>View Full Record in Web of Science</v>
      </c>
    </row>
    <row r="712" spans="1:72" x14ac:dyDescent="0.15">
      <c r="A712" t="s">
        <v>72</v>
      </c>
      <c r="B712" t="s">
        <v>13337</v>
      </c>
      <c r="C712" t="s">
        <v>74</v>
      </c>
      <c r="D712" t="s">
        <v>74</v>
      </c>
      <c r="E712" t="s">
        <v>74</v>
      </c>
      <c r="F712" t="s">
        <v>13338</v>
      </c>
      <c r="G712" t="s">
        <v>74</v>
      </c>
      <c r="H712" t="s">
        <v>74</v>
      </c>
      <c r="I712" t="s">
        <v>13339</v>
      </c>
      <c r="J712" t="s">
        <v>13340</v>
      </c>
      <c r="K712" t="s">
        <v>74</v>
      </c>
      <c r="L712" t="s">
        <v>74</v>
      </c>
      <c r="M712" t="s">
        <v>200</v>
      </c>
      <c r="N712" t="s">
        <v>79</v>
      </c>
      <c r="O712" t="s">
        <v>74</v>
      </c>
      <c r="P712" t="s">
        <v>74</v>
      </c>
      <c r="Q712" t="s">
        <v>74</v>
      </c>
      <c r="R712" t="s">
        <v>74</v>
      </c>
      <c r="S712" t="s">
        <v>74</v>
      </c>
      <c r="T712" t="s">
        <v>13341</v>
      </c>
      <c r="U712" t="s">
        <v>13342</v>
      </c>
      <c r="V712" t="s">
        <v>13343</v>
      </c>
      <c r="W712" t="s">
        <v>13344</v>
      </c>
      <c r="X712" t="s">
        <v>13345</v>
      </c>
      <c r="Y712" t="s">
        <v>13346</v>
      </c>
      <c r="Z712" t="s">
        <v>13347</v>
      </c>
      <c r="AA712" t="s">
        <v>13348</v>
      </c>
      <c r="AB712" t="s">
        <v>13349</v>
      </c>
      <c r="AC712" t="s">
        <v>13350</v>
      </c>
      <c r="AD712" t="s">
        <v>13350</v>
      </c>
      <c r="AE712" t="s">
        <v>13351</v>
      </c>
      <c r="AF712" t="s">
        <v>74</v>
      </c>
      <c r="AG712">
        <v>50</v>
      </c>
      <c r="AH712">
        <v>21</v>
      </c>
      <c r="AI712">
        <v>22</v>
      </c>
      <c r="AJ712">
        <v>1</v>
      </c>
      <c r="AK712">
        <v>51</v>
      </c>
      <c r="AL712" t="s">
        <v>6855</v>
      </c>
      <c r="AM712" t="s">
        <v>5465</v>
      </c>
      <c r="AN712" t="s">
        <v>5466</v>
      </c>
      <c r="AO712" t="s">
        <v>13352</v>
      </c>
      <c r="AP712" t="s">
        <v>13353</v>
      </c>
      <c r="AQ712" t="s">
        <v>74</v>
      </c>
      <c r="AR712" t="s">
        <v>13354</v>
      </c>
      <c r="AS712" t="s">
        <v>13355</v>
      </c>
      <c r="AT712" t="s">
        <v>12574</v>
      </c>
      <c r="AU712">
        <v>2015</v>
      </c>
      <c r="AV712">
        <v>87</v>
      </c>
      <c r="AW712">
        <v>6</v>
      </c>
      <c r="AX712" t="s">
        <v>74</v>
      </c>
      <c r="AY712" t="s">
        <v>74</v>
      </c>
      <c r="AZ712" t="s">
        <v>2540</v>
      </c>
      <c r="BA712" t="s">
        <v>74</v>
      </c>
      <c r="BB712">
        <v>1355</v>
      </c>
      <c r="BC712">
        <v>1370</v>
      </c>
      <c r="BD712" t="s">
        <v>74</v>
      </c>
      <c r="BE712" t="s">
        <v>13356</v>
      </c>
      <c r="BF712" t="str">
        <f>HYPERLINK("http://dx.doi.org/10.1111/jfb.12827","http://dx.doi.org/10.1111/jfb.12827")</f>
        <v>http://dx.doi.org/10.1111/jfb.12827</v>
      </c>
      <c r="BG712" t="s">
        <v>74</v>
      </c>
      <c r="BH712" t="s">
        <v>74</v>
      </c>
      <c r="BI712">
        <v>16</v>
      </c>
      <c r="BJ712" t="s">
        <v>215</v>
      </c>
      <c r="BK712" t="s">
        <v>264</v>
      </c>
      <c r="BL712" t="s">
        <v>215</v>
      </c>
      <c r="BM712" t="s">
        <v>13357</v>
      </c>
      <c r="BN712">
        <v>26709211</v>
      </c>
      <c r="BO712" t="s">
        <v>74</v>
      </c>
      <c r="BP712" t="s">
        <v>74</v>
      </c>
      <c r="BQ712" t="s">
        <v>74</v>
      </c>
      <c r="BR712" t="s">
        <v>100</v>
      </c>
      <c r="BS712" t="s">
        <v>13358</v>
      </c>
      <c r="BT712" t="str">
        <f>HYPERLINK("https%3A%2F%2Fwww.webofscience.com%2Fwos%2Fwoscc%2Ffull-record%2FWOS:000367329900007","View Full Record in Web of Science")</f>
        <v>View Full Record in Web of Science</v>
      </c>
    </row>
    <row r="713" spans="1:72" x14ac:dyDescent="0.15">
      <c r="A713" t="s">
        <v>72</v>
      </c>
      <c r="B713" t="s">
        <v>13359</v>
      </c>
      <c r="C713" t="s">
        <v>74</v>
      </c>
      <c r="D713" t="s">
        <v>74</v>
      </c>
      <c r="E713" t="s">
        <v>74</v>
      </c>
      <c r="F713" t="s">
        <v>13360</v>
      </c>
      <c r="G713" t="s">
        <v>74</v>
      </c>
      <c r="H713" t="s">
        <v>74</v>
      </c>
      <c r="I713" t="s">
        <v>13361</v>
      </c>
      <c r="J713" t="s">
        <v>13362</v>
      </c>
      <c r="K713" t="s">
        <v>74</v>
      </c>
      <c r="L713" t="s">
        <v>74</v>
      </c>
      <c r="M713" t="s">
        <v>200</v>
      </c>
      <c r="N713" t="s">
        <v>79</v>
      </c>
      <c r="O713" t="s">
        <v>74</v>
      </c>
      <c r="P713" t="s">
        <v>74</v>
      </c>
      <c r="Q713" t="s">
        <v>74</v>
      </c>
      <c r="R713" t="s">
        <v>74</v>
      </c>
      <c r="S713" t="s">
        <v>74</v>
      </c>
      <c r="T713" t="s">
        <v>13363</v>
      </c>
      <c r="U713" t="s">
        <v>13364</v>
      </c>
      <c r="V713" t="s">
        <v>13365</v>
      </c>
      <c r="W713" t="s">
        <v>13366</v>
      </c>
      <c r="X713" t="s">
        <v>13367</v>
      </c>
      <c r="Y713" t="s">
        <v>13368</v>
      </c>
      <c r="Z713" t="s">
        <v>13369</v>
      </c>
      <c r="AA713" t="s">
        <v>13370</v>
      </c>
      <c r="AB713" t="s">
        <v>13371</v>
      </c>
      <c r="AC713" t="s">
        <v>13372</v>
      </c>
      <c r="AD713" t="s">
        <v>13372</v>
      </c>
      <c r="AE713" t="s">
        <v>13373</v>
      </c>
      <c r="AF713" t="s">
        <v>74</v>
      </c>
      <c r="AG713">
        <v>36</v>
      </c>
      <c r="AH713">
        <v>17</v>
      </c>
      <c r="AI713">
        <v>20</v>
      </c>
      <c r="AJ713">
        <v>2</v>
      </c>
      <c r="AK713">
        <v>213</v>
      </c>
      <c r="AL713" t="s">
        <v>11717</v>
      </c>
      <c r="AM713" t="s">
        <v>2100</v>
      </c>
      <c r="AN713" t="s">
        <v>11718</v>
      </c>
      <c r="AO713" t="s">
        <v>13374</v>
      </c>
      <c r="AP713" t="s">
        <v>13375</v>
      </c>
      <c r="AQ713" t="s">
        <v>74</v>
      </c>
      <c r="AR713" t="s">
        <v>13376</v>
      </c>
      <c r="AS713" t="s">
        <v>13377</v>
      </c>
      <c r="AT713" t="s">
        <v>12574</v>
      </c>
      <c r="AU713">
        <v>2015</v>
      </c>
      <c r="AV713">
        <v>110</v>
      </c>
      <c r="AW713" t="s">
        <v>74</v>
      </c>
      <c r="AX713" t="s">
        <v>74</v>
      </c>
      <c r="AY713" t="s">
        <v>74</v>
      </c>
      <c r="AZ713" t="s">
        <v>74</v>
      </c>
      <c r="BA713" t="s">
        <v>74</v>
      </c>
      <c r="BB713">
        <v>91</v>
      </c>
      <c r="BC713">
        <v>98</v>
      </c>
      <c r="BD713" t="s">
        <v>74</v>
      </c>
      <c r="BE713" t="s">
        <v>13378</v>
      </c>
      <c r="BF713" t="str">
        <f>HYPERLINK("http://dx.doi.org/10.1016/j.anbehav.2015.09.019","http://dx.doi.org/10.1016/j.anbehav.2015.09.019")</f>
        <v>http://dx.doi.org/10.1016/j.anbehav.2015.09.019</v>
      </c>
      <c r="BG713" t="s">
        <v>74</v>
      </c>
      <c r="BH713" t="s">
        <v>74</v>
      </c>
      <c r="BI713">
        <v>8</v>
      </c>
      <c r="BJ713" t="s">
        <v>13379</v>
      </c>
      <c r="BK713" t="s">
        <v>264</v>
      </c>
      <c r="BL713" t="s">
        <v>13379</v>
      </c>
      <c r="BM713" t="s">
        <v>13380</v>
      </c>
      <c r="BN713" t="s">
        <v>74</v>
      </c>
      <c r="BO713" t="s">
        <v>74</v>
      </c>
      <c r="BP713" t="s">
        <v>74</v>
      </c>
      <c r="BQ713" t="s">
        <v>74</v>
      </c>
      <c r="BR713" t="s">
        <v>100</v>
      </c>
      <c r="BS713" t="s">
        <v>13381</v>
      </c>
      <c r="BT713" t="str">
        <f>HYPERLINK("https%3A%2F%2Fwww.webofscience.com%2Fwos%2Fwoscc%2Ffull-record%2FWOS:000366731500015","View Full Record in Web of Science")</f>
        <v>View Full Record in Web of Science</v>
      </c>
    </row>
    <row r="714" spans="1:72" x14ac:dyDescent="0.15">
      <c r="A714" t="s">
        <v>72</v>
      </c>
      <c r="B714" t="s">
        <v>13382</v>
      </c>
      <c r="C714" t="s">
        <v>74</v>
      </c>
      <c r="D714" t="s">
        <v>74</v>
      </c>
      <c r="E714" t="s">
        <v>74</v>
      </c>
      <c r="F714" t="s">
        <v>13383</v>
      </c>
      <c r="G714" t="s">
        <v>74</v>
      </c>
      <c r="H714" t="s">
        <v>74</v>
      </c>
      <c r="I714" t="s">
        <v>13384</v>
      </c>
      <c r="J714" t="s">
        <v>13385</v>
      </c>
      <c r="K714" t="s">
        <v>74</v>
      </c>
      <c r="L714" t="s">
        <v>74</v>
      </c>
      <c r="M714" t="s">
        <v>200</v>
      </c>
      <c r="N714" t="s">
        <v>79</v>
      </c>
      <c r="O714" t="s">
        <v>74</v>
      </c>
      <c r="P714" t="s">
        <v>74</v>
      </c>
      <c r="Q714" t="s">
        <v>74</v>
      </c>
      <c r="R714" t="s">
        <v>74</v>
      </c>
      <c r="S714" t="s">
        <v>74</v>
      </c>
      <c r="T714" t="s">
        <v>13386</v>
      </c>
      <c r="U714" t="s">
        <v>13387</v>
      </c>
      <c r="V714" t="s">
        <v>13388</v>
      </c>
      <c r="W714" t="s">
        <v>13389</v>
      </c>
      <c r="X714" t="s">
        <v>13390</v>
      </c>
      <c r="Y714" t="s">
        <v>13391</v>
      </c>
      <c r="Z714" t="s">
        <v>13392</v>
      </c>
      <c r="AA714" t="s">
        <v>13393</v>
      </c>
      <c r="AB714" t="s">
        <v>13394</v>
      </c>
      <c r="AC714" t="s">
        <v>74</v>
      </c>
      <c r="AD714" t="s">
        <v>74</v>
      </c>
      <c r="AE714" t="s">
        <v>74</v>
      </c>
      <c r="AF714" t="s">
        <v>74</v>
      </c>
      <c r="AG714">
        <v>54</v>
      </c>
      <c r="AH714">
        <v>42</v>
      </c>
      <c r="AI714">
        <v>43</v>
      </c>
      <c r="AJ714">
        <v>1</v>
      </c>
      <c r="AK714">
        <v>26</v>
      </c>
      <c r="AL714" t="s">
        <v>5888</v>
      </c>
      <c r="AM714" t="s">
        <v>1386</v>
      </c>
      <c r="AN714" t="s">
        <v>5889</v>
      </c>
      <c r="AO714" t="s">
        <v>13395</v>
      </c>
      <c r="AP714" t="s">
        <v>74</v>
      </c>
      <c r="AQ714" t="s">
        <v>74</v>
      </c>
      <c r="AR714" t="s">
        <v>13396</v>
      </c>
      <c r="AS714" t="s">
        <v>13397</v>
      </c>
      <c r="AT714" t="s">
        <v>12574</v>
      </c>
      <c r="AU714">
        <v>2015</v>
      </c>
      <c r="AV714">
        <v>63</v>
      </c>
      <c r="AW714" t="s">
        <v>74</v>
      </c>
      <c r="AX714" t="s">
        <v>74</v>
      </c>
      <c r="AY714" t="s">
        <v>74</v>
      </c>
      <c r="AZ714" t="s">
        <v>74</v>
      </c>
      <c r="BA714" t="s">
        <v>74</v>
      </c>
      <c r="BB714">
        <v>366</v>
      </c>
      <c r="BC714">
        <v>379</v>
      </c>
      <c r="BD714" t="s">
        <v>74</v>
      </c>
      <c r="BE714" t="s">
        <v>13398</v>
      </c>
      <c r="BF714" t="str">
        <f>HYPERLINK("http://dx.doi.org/10.1016/j.apgeochem.2015.10.003","http://dx.doi.org/10.1016/j.apgeochem.2015.10.003")</f>
        <v>http://dx.doi.org/10.1016/j.apgeochem.2015.10.003</v>
      </c>
      <c r="BG714" t="s">
        <v>74</v>
      </c>
      <c r="BH714" t="s">
        <v>74</v>
      </c>
      <c r="BI714">
        <v>14</v>
      </c>
      <c r="BJ714" t="s">
        <v>4474</v>
      </c>
      <c r="BK714" t="s">
        <v>264</v>
      </c>
      <c r="BL714" t="s">
        <v>4474</v>
      </c>
      <c r="BM714" t="s">
        <v>13399</v>
      </c>
      <c r="BN714" t="s">
        <v>74</v>
      </c>
      <c r="BO714" t="s">
        <v>74</v>
      </c>
      <c r="BP714" t="s">
        <v>74</v>
      </c>
      <c r="BQ714" t="s">
        <v>74</v>
      </c>
      <c r="BR714" t="s">
        <v>100</v>
      </c>
      <c r="BS714" t="s">
        <v>13400</v>
      </c>
      <c r="BT714" t="str">
        <f>HYPERLINK("https%3A%2F%2Fwww.webofscience.com%2Fwos%2Fwoscc%2Ffull-record%2FWOS:000366219800031","View Full Record in Web of Science")</f>
        <v>View Full Record in Web of Science</v>
      </c>
    </row>
    <row r="715" spans="1:72" x14ac:dyDescent="0.15">
      <c r="A715" t="s">
        <v>72</v>
      </c>
      <c r="B715" t="s">
        <v>13401</v>
      </c>
      <c r="C715" t="s">
        <v>74</v>
      </c>
      <c r="D715" t="s">
        <v>74</v>
      </c>
      <c r="E715" t="s">
        <v>74</v>
      </c>
      <c r="F715" t="s">
        <v>13402</v>
      </c>
      <c r="G715" t="s">
        <v>74</v>
      </c>
      <c r="H715" t="s">
        <v>74</v>
      </c>
      <c r="I715" t="s">
        <v>13403</v>
      </c>
      <c r="J715" t="s">
        <v>6650</v>
      </c>
      <c r="K715" t="s">
        <v>74</v>
      </c>
      <c r="L715" t="s">
        <v>74</v>
      </c>
      <c r="M715" t="s">
        <v>200</v>
      </c>
      <c r="N715" t="s">
        <v>79</v>
      </c>
      <c r="O715" t="s">
        <v>74</v>
      </c>
      <c r="P715" t="s">
        <v>74</v>
      </c>
      <c r="Q715" t="s">
        <v>74</v>
      </c>
      <c r="R715" t="s">
        <v>74</v>
      </c>
      <c r="S715" t="s">
        <v>74</v>
      </c>
      <c r="T715" t="s">
        <v>13404</v>
      </c>
      <c r="U715" t="s">
        <v>13405</v>
      </c>
      <c r="V715" t="s">
        <v>13406</v>
      </c>
      <c r="W715" t="s">
        <v>13407</v>
      </c>
      <c r="X715" t="s">
        <v>13408</v>
      </c>
      <c r="Y715" t="s">
        <v>13409</v>
      </c>
      <c r="Z715" t="s">
        <v>13410</v>
      </c>
      <c r="AA715" t="s">
        <v>13411</v>
      </c>
      <c r="AB715" t="s">
        <v>74</v>
      </c>
      <c r="AC715" t="s">
        <v>13412</v>
      </c>
      <c r="AD715" t="s">
        <v>13413</v>
      </c>
      <c r="AE715" t="s">
        <v>13414</v>
      </c>
      <c r="AF715" t="s">
        <v>74</v>
      </c>
      <c r="AG715">
        <v>87</v>
      </c>
      <c r="AH715">
        <v>11</v>
      </c>
      <c r="AI715">
        <v>13</v>
      </c>
      <c r="AJ715">
        <v>1</v>
      </c>
      <c r="AK715">
        <v>21</v>
      </c>
      <c r="AL715" t="s">
        <v>6662</v>
      </c>
      <c r="AM715" t="s">
        <v>6663</v>
      </c>
      <c r="AN715" t="s">
        <v>6664</v>
      </c>
      <c r="AO715" t="s">
        <v>6665</v>
      </c>
      <c r="AP715" t="s">
        <v>6666</v>
      </c>
      <c r="AQ715" t="s">
        <v>74</v>
      </c>
      <c r="AR715" t="s">
        <v>6667</v>
      </c>
      <c r="AS715" t="s">
        <v>6668</v>
      </c>
      <c r="AT715" t="s">
        <v>12574</v>
      </c>
      <c r="AU715">
        <v>2015</v>
      </c>
      <c r="AV715">
        <v>28</v>
      </c>
      <c r="AW715">
        <v>24</v>
      </c>
      <c r="AX715" t="s">
        <v>74</v>
      </c>
      <c r="AY715" t="s">
        <v>74</v>
      </c>
      <c r="AZ715" t="s">
        <v>74</v>
      </c>
      <c r="BA715" t="s">
        <v>74</v>
      </c>
      <c r="BB715">
        <v>9507</v>
      </c>
      <c r="BC715">
        <v>9529</v>
      </c>
      <c r="BD715" t="s">
        <v>74</v>
      </c>
      <c r="BE715" t="s">
        <v>13415</v>
      </c>
      <c r="BF715" t="str">
        <f>HYPERLINK("http://dx.doi.org/10.1175/JCLI-D-14-00739.1","http://dx.doi.org/10.1175/JCLI-D-14-00739.1")</f>
        <v>http://dx.doi.org/10.1175/JCLI-D-14-00739.1</v>
      </c>
      <c r="BG715" t="s">
        <v>74</v>
      </c>
      <c r="BH715" t="s">
        <v>74</v>
      </c>
      <c r="BI715">
        <v>23</v>
      </c>
      <c r="BJ715" t="s">
        <v>1721</v>
      </c>
      <c r="BK715" t="s">
        <v>264</v>
      </c>
      <c r="BL715" t="s">
        <v>1721</v>
      </c>
      <c r="BM715" t="s">
        <v>13416</v>
      </c>
      <c r="BN715" t="s">
        <v>74</v>
      </c>
      <c r="BO715" t="s">
        <v>486</v>
      </c>
      <c r="BP715" t="s">
        <v>74</v>
      </c>
      <c r="BQ715" t="s">
        <v>74</v>
      </c>
      <c r="BR715" t="s">
        <v>100</v>
      </c>
      <c r="BS715" t="s">
        <v>13417</v>
      </c>
      <c r="BT715" t="str">
        <f>HYPERLINK("https%3A%2F%2Fwww.webofscience.com%2Fwos%2Fwoscc%2Ffull-record%2FWOS:000366720600002","View Full Record in Web of Science")</f>
        <v>View Full Record in Web of Science</v>
      </c>
    </row>
    <row r="716" spans="1:72" x14ac:dyDescent="0.15">
      <c r="A716" t="s">
        <v>72</v>
      </c>
      <c r="B716" t="s">
        <v>13418</v>
      </c>
      <c r="C716" t="s">
        <v>74</v>
      </c>
      <c r="D716" t="s">
        <v>74</v>
      </c>
      <c r="E716" t="s">
        <v>74</v>
      </c>
      <c r="F716" t="s">
        <v>13419</v>
      </c>
      <c r="G716" t="s">
        <v>74</v>
      </c>
      <c r="H716" t="s">
        <v>74</v>
      </c>
      <c r="I716" t="s">
        <v>13420</v>
      </c>
      <c r="J716" t="s">
        <v>13421</v>
      </c>
      <c r="K716" t="s">
        <v>74</v>
      </c>
      <c r="L716" t="s">
        <v>74</v>
      </c>
      <c r="M716" t="s">
        <v>200</v>
      </c>
      <c r="N716" t="s">
        <v>79</v>
      </c>
      <c r="O716" t="s">
        <v>74</v>
      </c>
      <c r="P716" t="s">
        <v>74</v>
      </c>
      <c r="Q716" t="s">
        <v>74</v>
      </c>
      <c r="R716" t="s">
        <v>74</v>
      </c>
      <c r="S716" t="s">
        <v>74</v>
      </c>
      <c r="T716" t="s">
        <v>13422</v>
      </c>
      <c r="U716" t="s">
        <v>13423</v>
      </c>
      <c r="V716" t="s">
        <v>13424</v>
      </c>
      <c r="W716" t="s">
        <v>13425</v>
      </c>
      <c r="X716" t="s">
        <v>13426</v>
      </c>
      <c r="Y716" t="s">
        <v>13427</v>
      </c>
      <c r="Z716" t="s">
        <v>13428</v>
      </c>
      <c r="AA716" t="s">
        <v>74</v>
      </c>
      <c r="AB716" t="s">
        <v>13429</v>
      </c>
      <c r="AC716" t="s">
        <v>13430</v>
      </c>
      <c r="AD716" t="s">
        <v>13431</v>
      </c>
      <c r="AE716" t="s">
        <v>13432</v>
      </c>
      <c r="AF716" t="s">
        <v>74</v>
      </c>
      <c r="AG716">
        <v>41</v>
      </c>
      <c r="AH716">
        <v>4</v>
      </c>
      <c r="AI716">
        <v>5</v>
      </c>
      <c r="AJ716">
        <v>1</v>
      </c>
      <c r="AK716">
        <v>18</v>
      </c>
      <c r="AL716" t="s">
        <v>5888</v>
      </c>
      <c r="AM716" t="s">
        <v>1386</v>
      </c>
      <c r="AN716" t="s">
        <v>5889</v>
      </c>
      <c r="AO716" t="s">
        <v>13433</v>
      </c>
      <c r="AP716" t="s">
        <v>74</v>
      </c>
      <c r="AQ716" t="s">
        <v>74</v>
      </c>
      <c r="AR716" t="s">
        <v>13434</v>
      </c>
      <c r="AS716" t="s">
        <v>13435</v>
      </c>
      <c r="AT716" t="s">
        <v>12574</v>
      </c>
      <c r="AU716">
        <v>2015</v>
      </c>
      <c r="AV716">
        <v>54</v>
      </c>
      <c r="AW716" t="s">
        <v>74</v>
      </c>
      <c r="AX716" t="s">
        <v>74</v>
      </c>
      <c r="AY716" t="s">
        <v>74</v>
      </c>
      <c r="AZ716" t="s">
        <v>2540</v>
      </c>
      <c r="BA716" t="s">
        <v>74</v>
      </c>
      <c r="BB716">
        <v>12</v>
      </c>
      <c r="BC716">
        <v>19</v>
      </c>
      <c r="BD716" t="s">
        <v>74</v>
      </c>
      <c r="BE716" t="s">
        <v>13436</v>
      </c>
      <c r="BF716" t="str">
        <f>HYPERLINK("http://dx.doi.org/10.1016/j.jtherbio.2015.10.008","http://dx.doi.org/10.1016/j.jtherbio.2015.10.008")</f>
        <v>http://dx.doi.org/10.1016/j.jtherbio.2015.10.008</v>
      </c>
      <c r="BG716" t="s">
        <v>74</v>
      </c>
      <c r="BH716" t="s">
        <v>74</v>
      </c>
      <c r="BI716">
        <v>8</v>
      </c>
      <c r="BJ716" t="s">
        <v>13437</v>
      </c>
      <c r="BK716" t="s">
        <v>264</v>
      </c>
      <c r="BL716" t="s">
        <v>13438</v>
      </c>
      <c r="BM716" t="s">
        <v>13439</v>
      </c>
      <c r="BN716">
        <v>26615722</v>
      </c>
      <c r="BO716" t="s">
        <v>74</v>
      </c>
      <c r="BP716" t="s">
        <v>74</v>
      </c>
      <c r="BQ716" t="s">
        <v>74</v>
      </c>
      <c r="BR716" t="s">
        <v>100</v>
      </c>
      <c r="BS716" t="s">
        <v>13440</v>
      </c>
      <c r="BT716" t="str">
        <f>HYPERLINK("https%3A%2F%2Fwww.webofscience.com%2Fwos%2Fwoscc%2Ffull-record%2FWOS:000366775500004","View Full Record in Web of Science")</f>
        <v>View Full Record in Web of Science</v>
      </c>
    </row>
    <row r="717" spans="1:72" x14ac:dyDescent="0.15">
      <c r="A717" t="s">
        <v>72</v>
      </c>
      <c r="B717" t="s">
        <v>13441</v>
      </c>
      <c r="C717" t="s">
        <v>74</v>
      </c>
      <c r="D717" t="s">
        <v>74</v>
      </c>
      <c r="E717" t="s">
        <v>74</v>
      </c>
      <c r="F717" t="s">
        <v>13442</v>
      </c>
      <c r="G717" t="s">
        <v>74</v>
      </c>
      <c r="H717" t="s">
        <v>74</v>
      </c>
      <c r="I717" t="s">
        <v>13443</v>
      </c>
      <c r="J717" t="s">
        <v>13421</v>
      </c>
      <c r="K717" t="s">
        <v>74</v>
      </c>
      <c r="L717" t="s">
        <v>74</v>
      </c>
      <c r="M717" t="s">
        <v>200</v>
      </c>
      <c r="N717" t="s">
        <v>717</v>
      </c>
      <c r="O717" t="s">
        <v>74</v>
      </c>
      <c r="P717" t="s">
        <v>74</v>
      </c>
      <c r="Q717" t="s">
        <v>74</v>
      </c>
      <c r="R717" t="s">
        <v>74</v>
      </c>
      <c r="S717" t="s">
        <v>74</v>
      </c>
      <c r="T717" t="s">
        <v>13444</v>
      </c>
      <c r="U717" t="s">
        <v>13445</v>
      </c>
      <c r="V717" t="s">
        <v>13446</v>
      </c>
      <c r="W717" t="s">
        <v>13447</v>
      </c>
      <c r="X717" t="s">
        <v>13448</v>
      </c>
      <c r="Y717" t="s">
        <v>13449</v>
      </c>
      <c r="Z717" t="s">
        <v>13450</v>
      </c>
      <c r="AA717" t="s">
        <v>13451</v>
      </c>
      <c r="AB717" t="s">
        <v>13452</v>
      </c>
      <c r="AC717" t="s">
        <v>13453</v>
      </c>
      <c r="AD717" t="s">
        <v>13453</v>
      </c>
      <c r="AE717" t="s">
        <v>13454</v>
      </c>
      <c r="AF717" t="s">
        <v>74</v>
      </c>
      <c r="AG717">
        <v>70</v>
      </c>
      <c r="AH717">
        <v>2</v>
      </c>
      <c r="AI717">
        <v>2</v>
      </c>
      <c r="AJ717">
        <v>1</v>
      </c>
      <c r="AK717">
        <v>37</v>
      </c>
      <c r="AL717" t="s">
        <v>5888</v>
      </c>
      <c r="AM717" t="s">
        <v>1386</v>
      </c>
      <c r="AN717" t="s">
        <v>5889</v>
      </c>
      <c r="AO717" t="s">
        <v>13433</v>
      </c>
      <c r="AP717" t="s">
        <v>74</v>
      </c>
      <c r="AQ717" t="s">
        <v>74</v>
      </c>
      <c r="AR717" t="s">
        <v>13434</v>
      </c>
      <c r="AS717" t="s">
        <v>13435</v>
      </c>
      <c r="AT717" t="s">
        <v>12574</v>
      </c>
      <c r="AU717">
        <v>2015</v>
      </c>
      <c r="AV717">
        <v>54</v>
      </c>
      <c r="AW717" t="s">
        <v>74</v>
      </c>
      <c r="AX717" t="s">
        <v>74</v>
      </c>
      <c r="AY717" t="s">
        <v>74</v>
      </c>
      <c r="AZ717" t="s">
        <v>2540</v>
      </c>
      <c r="BA717" t="s">
        <v>74</v>
      </c>
      <c r="BB717">
        <v>30</v>
      </c>
      <c r="BC717">
        <v>36</v>
      </c>
      <c r="BD717" t="s">
        <v>74</v>
      </c>
      <c r="BE717" t="s">
        <v>13455</v>
      </c>
      <c r="BF717" t="str">
        <f>HYPERLINK("http://dx.doi.org/10.1016/j.jtherbio.2015.10.006","http://dx.doi.org/10.1016/j.jtherbio.2015.10.006")</f>
        <v>http://dx.doi.org/10.1016/j.jtherbio.2015.10.006</v>
      </c>
      <c r="BG717" t="s">
        <v>74</v>
      </c>
      <c r="BH717" t="s">
        <v>74</v>
      </c>
      <c r="BI717">
        <v>7</v>
      </c>
      <c r="BJ717" t="s">
        <v>13437</v>
      </c>
      <c r="BK717" t="s">
        <v>264</v>
      </c>
      <c r="BL717" t="s">
        <v>13438</v>
      </c>
      <c r="BM717" t="s">
        <v>13439</v>
      </c>
      <c r="BN717">
        <v>26615724</v>
      </c>
      <c r="BO717" t="s">
        <v>74</v>
      </c>
      <c r="BP717" t="s">
        <v>74</v>
      </c>
      <c r="BQ717" t="s">
        <v>74</v>
      </c>
      <c r="BR717" t="s">
        <v>100</v>
      </c>
      <c r="BS717" t="s">
        <v>13456</v>
      </c>
      <c r="BT717" t="str">
        <f>HYPERLINK("https%3A%2F%2Fwww.webofscience.com%2Fwos%2Fwoscc%2Ffull-record%2FWOS:000366775500006","View Full Record in Web of Science")</f>
        <v>View Full Record in Web of Science</v>
      </c>
    </row>
    <row r="718" spans="1:72" x14ac:dyDescent="0.15">
      <c r="A718" t="s">
        <v>72</v>
      </c>
      <c r="B718" t="s">
        <v>13457</v>
      </c>
      <c r="C718" t="s">
        <v>74</v>
      </c>
      <c r="D718" t="s">
        <v>74</v>
      </c>
      <c r="E718" t="s">
        <v>74</v>
      </c>
      <c r="F718" t="s">
        <v>13458</v>
      </c>
      <c r="G718" t="s">
        <v>74</v>
      </c>
      <c r="H718" t="s">
        <v>74</v>
      </c>
      <c r="I718" t="s">
        <v>13459</v>
      </c>
      <c r="J718" t="s">
        <v>13460</v>
      </c>
      <c r="K718" t="s">
        <v>74</v>
      </c>
      <c r="L718" t="s">
        <v>74</v>
      </c>
      <c r="M718" t="s">
        <v>200</v>
      </c>
      <c r="N718" t="s">
        <v>79</v>
      </c>
      <c r="O718" t="s">
        <v>74</v>
      </c>
      <c r="P718" t="s">
        <v>74</v>
      </c>
      <c r="Q718" t="s">
        <v>74</v>
      </c>
      <c r="R718" t="s">
        <v>74</v>
      </c>
      <c r="S718" t="s">
        <v>74</v>
      </c>
      <c r="T718" t="s">
        <v>13461</v>
      </c>
      <c r="U718" t="s">
        <v>13462</v>
      </c>
      <c r="V718" t="s">
        <v>13463</v>
      </c>
      <c r="W718" t="s">
        <v>13464</v>
      </c>
      <c r="X718" t="s">
        <v>13465</v>
      </c>
      <c r="Y718" t="s">
        <v>13466</v>
      </c>
      <c r="Z718" t="s">
        <v>13467</v>
      </c>
      <c r="AA718" t="s">
        <v>13468</v>
      </c>
      <c r="AB718" t="s">
        <v>13469</v>
      </c>
      <c r="AC718" t="s">
        <v>13470</v>
      </c>
      <c r="AD718" t="s">
        <v>9905</v>
      </c>
      <c r="AE718" t="s">
        <v>74</v>
      </c>
      <c r="AF718" t="s">
        <v>74</v>
      </c>
      <c r="AG718">
        <v>46</v>
      </c>
      <c r="AH718">
        <v>8</v>
      </c>
      <c r="AI718">
        <v>9</v>
      </c>
      <c r="AJ718">
        <v>0</v>
      </c>
      <c r="AK718">
        <v>10</v>
      </c>
      <c r="AL718" t="s">
        <v>3560</v>
      </c>
      <c r="AM718" t="s">
        <v>289</v>
      </c>
      <c r="AN718" t="s">
        <v>5440</v>
      </c>
      <c r="AO718" t="s">
        <v>13471</v>
      </c>
      <c r="AP718" t="s">
        <v>13472</v>
      </c>
      <c r="AQ718" t="s">
        <v>74</v>
      </c>
      <c r="AR718" t="s">
        <v>13473</v>
      </c>
      <c r="AS718" t="s">
        <v>13474</v>
      </c>
      <c r="AT718" t="s">
        <v>12574</v>
      </c>
      <c r="AU718">
        <v>2015</v>
      </c>
      <c r="AV718">
        <v>362</v>
      </c>
      <c r="AW718">
        <v>3</v>
      </c>
      <c r="AX718" t="s">
        <v>74</v>
      </c>
      <c r="AY718" t="s">
        <v>74</v>
      </c>
      <c r="AZ718" t="s">
        <v>74</v>
      </c>
      <c r="BA718" t="s">
        <v>74</v>
      </c>
      <c r="BB718">
        <v>677</v>
      </c>
      <c r="BC718">
        <v>688</v>
      </c>
      <c r="BD718" t="s">
        <v>74</v>
      </c>
      <c r="BE718" t="s">
        <v>13475</v>
      </c>
      <c r="BF718" t="str">
        <f>HYPERLINK("http://dx.doi.org/10.1007/s00441-015-2234-4","http://dx.doi.org/10.1007/s00441-015-2234-4")</f>
        <v>http://dx.doi.org/10.1007/s00441-015-2234-4</v>
      </c>
      <c r="BG718" t="s">
        <v>74</v>
      </c>
      <c r="BH718" t="s">
        <v>74</v>
      </c>
      <c r="BI718">
        <v>12</v>
      </c>
      <c r="BJ718" t="s">
        <v>8286</v>
      </c>
      <c r="BK718" t="s">
        <v>264</v>
      </c>
      <c r="BL718" t="s">
        <v>8286</v>
      </c>
      <c r="BM718" t="s">
        <v>13476</v>
      </c>
      <c r="BN718">
        <v>26183720</v>
      </c>
      <c r="BO718" t="s">
        <v>74</v>
      </c>
      <c r="BP718" t="s">
        <v>74</v>
      </c>
      <c r="BQ718" t="s">
        <v>74</v>
      </c>
      <c r="BR718" t="s">
        <v>100</v>
      </c>
      <c r="BS718" t="s">
        <v>13477</v>
      </c>
      <c r="BT718" t="str">
        <f>HYPERLINK("https%3A%2F%2Fwww.webofscience.com%2Fwos%2Fwoscc%2Ffull-record%2FWOS:000366322300018","View Full Record in Web of Science")</f>
        <v>View Full Record in Web of Science</v>
      </c>
    </row>
    <row r="719" spans="1:72" x14ac:dyDescent="0.15">
      <c r="A719" t="s">
        <v>72</v>
      </c>
      <c r="B719" t="s">
        <v>13478</v>
      </c>
      <c r="C719" t="s">
        <v>74</v>
      </c>
      <c r="D719" t="s">
        <v>74</v>
      </c>
      <c r="E719" t="s">
        <v>74</v>
      </c>
      <c r="F719" t="s">
        <v>13479</v>
      </c>
      <c r="G719" t="s">
        <v>74</v>
      </c>
      <c r="H719" t="s">
        <v>74</v>
      </c>
      <c r="I719" t="s">
        <v>13480</v>
      </c>
      <c r="J719" t="s">
        <v>13481</v>
      </c>
      <c r="K719" t="s">
        <v>74</v>
      </c>
      <c r="L719" t="s">
        <v>74</v>
      </c>
      <c r="M719" t="s">
        <v>200</v>
      </c>
      <c r="N719" t="s">
        <v>79</v>
      </c>
      <c r="O719" t="s">
        <v>74</v>
      </c>
      <c r="P719" t="s">
        <v>74</v>
      </c>
      <c r="Q719" t="s">
        <v>74</v>
      </c>
      <c r="R719" t="s">
        <v>74</v>
      </c>
      <c r="S719" t="s">
        <v>74</v>
      </c>
      <c r="T719" t="s">
        <v>13482</v>
      </c>
      <c r="U719" t="s">
        <v>13483</v>
      </c>
      <c r="V719" t="s">
        <v>13484</v>
      </c>
      <c r="W719" t="s">
        <v>13485</v>
      </c>
      <c r="X719" t="s">
        <v>13486</v>
      </c>
      <c r="Y719" t="s">
        <v>13487</v>
      </c>
      <c r="Z719" t="s">
        <v>2834</v>
      </c>
      <c r="AA719" t="s">
        <v>13488</v>
      </c>
      <c r="AB719" t="s">
        <v>13489</v>
      </c>
      <c r="AC719" t="s">
        <v>13490</v>
      </c>
      <c r="AD719" t="s">
        <v>13491</v>
      </c>
      <c r="AE719" t="s">
        <v>13492</v>
      </c>
      <c r="AF719" t="s">
        <v>74</v>
      </c>
      <c r="AG719">
        <v>25</v>
      </c>
      <c r="AH719">
        <v>20</v>
      </c>
      <c r="AI719">
        <v>23</v>
      </c>
      <c r="AJ719">
        <v>3</v>
      </c>
      <c r="AK719">
        <v>19</v>
      </c>
      <c r="AL719" t="s">
        <v>13141</v>
      </c>
      <c r="AM719" t="s">
        <v>88</v>
      </c>
      <c r="AN719" t="s">
        <v>13142</v>
      </c>
      <c r="AO719" t="s">
        <v>13493</v>
      </c>
      <c r="AP719" t="s">
        <v>13494</v>
      </c>
      <c r="AQ719" t="s">
        <v>74</v>
      </c>
      <c r="AR719" t="s">
        <v>13495</v>
      </c>
      <c r="AS719" t="s">
        <v>13496</v>
      </c>
      <c r="AT719" t="s">
        <v>12574</v>
      </c>
      <c r="AU719">
        <v>2015</v>
      </c>
      <c r="AV719">
        <v>48</v>
      </c>
      <c r="AW719">
        <v>12</v>
      </c>
      <c r="AX719" t="s">
        <v>74</v>
      </c>
      <c r="AY719" t="s">
        <v>74</v>
      </c>
      <c r="AZ719" t="s">
        <v>74</v>
      </c>
      <c r="BA719" t="s">
        <v>74</v>
      </c>
      <c r="BB719">
        <v>1300</v>
      </c>
      <c r="BC719">
        <v>1305</v>
      </c>
      <c r="BD719" t="s">
        <v>74</v>
      </c>
      <c r="BE719" t="s">
        <v>13497</v>
      </c>
      <c r="BF719" t="str">
        <f>HYPERLINK("http://dx.doi.org/10.1134/S1064229315120029","http://dx.doi.org/10.1134/S1064229315120029")</f>
        <v>http://dx.doi.org/10.1134/S1064229315120029</v>
      </c>
      <c r="BG719" t="s">
        <v>74</v>
      </c>
      <c r="BH719" t="s">
        <v>74</v>
      </c>
      <c r="BI719">
        <v>6</v>
      </c>
      <c r="BJ719" t="s">
        <v>6796</v>
      </c>
      <c r="BK719" t="s">
        <v>264</v>
      </c>
      <c r="BL719" t="s">
        <v>6797</v>
      </c>
      <c r="BM719" t="s">
        <v>13498</v>
      </c>
      <c r="BN719" t="s">
        <v>74</v>
      </c>
      <c r="BO719" t="s">
        <v>403</v>
      </c>
      <c r="BP719" t="s">
        <v>74</v>
      </c>
      <c r="BQ719" t="s">
        <v>74</v>
      </c>
      <c r="BR719" t="s">
        <v>100</v>
      </c>
      <c r="BS719" t="s">
        <v>13499</v>
      </c>
      <c r="BT719" t="str">
        <f>HYPERLINK("https%3A%2F%2Fwww.webofscience.com%2Fwos%2Fwoscc%2Ffull-record%2FWOS:000366156800003","View Full Record in Web of Science")</f>
        <v>View Full Record in Web of Science</v>
      </c>
    </row>
    <row r="720" spans="1:72" x14ac:dyDescent="0.15">
      <c r="A720" t="s">
        <v>72</v>
      </c>
      <c r="B720" t="s">
        <v>13500</v>
      </c>
      <c r="C720" t="s">
        <v>74</v>
      </c>
      <c r="D720" t="s">
        <v>74</v>
      </c>
      <c r="E720" t="s">
        <v>74</v>
      </c>
      <c r="F720" t="s">
        <v>13501</v>
      </c>
      <c r="G720" t="s">
        <v>74</v>
      </c>
      <c r="H720" t="s">
        <v>74</v>
      </c>
      <c r="I720" t="s">
        <v>13502</v>
      </c>
      <c r="J720" t="s">
        <v>13503</v>
      </c>
      <c r="K720" t="s">
        <v>74</v>
      </c>
      <c r="L720" t="s">
        <v>74</v>
      </c>
      <c r="M720" t="s">
        <v>200</v>
      </c>
      <c r="N720" t="s">
        <v>79</v>
      </c>
      <c r="O720" t="s">
        <v>74</v>
      </c>
      <c r="P720" t="s">
        <v>74</v>
      </c>
      <c r="Q720" t="s">
        <v>74</v>
      </c>
      <c r="R720" t="s">
        <v>74</v>
      </c>
      <c r="S720" t="s">
        <v>74</v>
      </c>
      <c r="T720" t="s">
        <v>13504</v>
      </c>
      <c r="U720" t="s">
        <v>13505</v>
      </c>
      <c r="V720" t="s">
        <v>13506</v>
      </c>
      <c r="W720" t="s">
        <v>13507</v>
      </c>
      <c r="X720" t="s">
        <v>13508</v>
      </c>
      <c r="Y720" t="s">
        <v>13509</v>
      </c>
      <c r="Z720" t="s">
        <v>13510</v>
      </c>
      <c r="AA720" t="s">
        <v>74</v>
      </c>
      <c r="AB720" t="s">
        <v>13511</v>
      </c>
      <c r="AC720" t="s">
        <v>13512</v>
      </c>
      <c r="AD720" t="s">
        <v>13513</v>
      </c>
      <c r="AE720" t="s">
        <v>13514</v>
      </c>
      <c r="AF720" t="s">
        <v>74</v>
      </c>
      <c r="AG720">
        <v>83</v>
      </c>
      <c r="AH720">
        <v>11</v>
      </c>
      <c r="AI720">
        <v>14</v>
      </c>
      <c r="AJ720">
        <v>2</v>
      </c>
      <c r="AK720">
        <v>38</v>
      </c>
      <c r="AL720" t="s">
        <v>8831</v>
      </c>
      <c r="AM720" t="s">
        <v>8832</v>
      </c>
      <c r="AN720" t="s">
        <v>8833</v>
      </c>
      <c r="AO720" t="s">
        <v>13515</v>
      </c>
      <c r="AP720" t="s">
        <v>13516</v>
      </c>
      <c r="AQ720" t="s">
        <v>74</v>
      </c>
      <c r="AR720" t="s">
        <v>13517</v>
      </c>
      <c r="AS720" t="s">
        <v>13518</v>
      </c>
      <c r="AT720" t="s">
        <v>13519</v>
      </c>
      <c r="AU720">
        <v>2015</v>
      </c>
      <c r="AV720">
        <v>224</v>
      </c>
      <c r="AW720" t="s">
        <v>74</v>
      </c>
      <c r="AX720" t="s">
        <v>74</v>
      </c>
      <c r="AY720" t="s">
        <v>74</v>
      </c>
      <c r="AZ720" t="s">
        <v>74</v>
      </c>
      <c r="BA720" t="s">
        <v>74</v>
      </c>
      <c r="BB720">
        <v>126</v>
      </c>
      <c r="BC720">
        <v>135</v>
      </c>
      <c r="BD720" t="s">
        <v>74</v>
      </c>
      <c r="BE720" t="s">
        <v>13520</v>
      </c>
      <c r="BF720" t="str">
        <f>HYPERLINK("http://dx.doi.org/10.1016/j.ygcen.2015.07.007","http://dx.doi.org/10.1016/j.ygcen.2015.07.007")</f>
        <v>http://dx.doi.org/10.1016/j.ygcen.2015.07.007</v>
      </c>
      <c r="BG720" t="s">
        <v>74</v>
      </c>
      <c r="BH720" t="s">
        <v>74</v>
      </c>
      <c r="BI720">
        <v>10</v>
      </c>
      <c r="BJ720" t="s">
        <v>13521</v>
      </c>
      <c r="BK720" t="s">
        <v>264</v>
      </c>
      <c r="BL720" t="s">
        <v>13521</v>
      </c>
      <c r="BM720" t="s">
        <v>13522</v>
      </c>
      <c r="BN720">
        <v>26188716</v>
      </c>
      <c r="BO720" t="s">
        <v>74</v>
      </c>
      <c r="BP720" t="s">
        <v>74</v>
      </c>
      <c r="BQ720" t="s">
        <v>74</v>
      </c>
      <c r="BR720" t="s">
        <v>100</v>
      </c>
      <c r="BS720" t="s">
        <v>13523</v>
      </c>
      <c r="BT720" t="str">
        <f>HYPERLINK("https%3A%2F%2Fwww.webofscience.com%2Fwos%2Fwoscc%2Ffull-record%2FWOS:000366438400012","View Full Record in Web of Science")</f>
        <v>View Full Record in Web of Science</v>
      </c>
    </row>
    <row r="721" spans="1:72" x14ac:dyDescent="0.15">
      <c r="A721" t="s">
        <v>72</v>
      </c>
      <c r="B721" t="s">
        <v>13524</v>
      </c>
      <c r="C721" t="s">
        <v>74</v>
      </c>
      <c r="D721" t="s">
        <v>74</v>
      </c>
      <c r="E721" t="s">
        <v>74</v>
      </c>
      <c r="F721" t="s">
        <v>13525</v>
      </c>
      <c r="G721" t="s">
        <v>74</v>
      </c>
      <c r="H721" t="s">
        <v>74</v>
      </c>
      <c r="I721" t="s">
        <v>13526</v>
      </c>
      <c r="J721" t="s">
        <v>13503</v>
      </c>
      <c r="K721" t="s">
        <v>74</v>
      </c>
      <c r="L721" t="s">
        <v>74</v>
      </c>
      <c r="M721" t="s">
        <v>200</v>
      </c>
      <c r="N721" t="s">
        <v>79</v>
      </c>
      <c r="O721" t="s">
        <v>74</v>
      </c>
      <c r="P721" t="s">
        <v>74</v>
      </c>
      <c r="Q721" t="s">
        <v>74</v>
      </c>
      <c r="R721" t="s">
        <v>74</v>
      </c>
      <c r="S721" t="s">
        <v>74</v>
      </c>
      <c r="T721" t="s">
        <v>13527</v>
      </c>
      <c r="U721" t="s">
        <v>13528</v>
      </c>
      <c r="V721" t="s">
        <v>13529</v>
      </c>
      <c r="W721" t="s">
        <v>13530</v>
      </c>
      <c r="X721" t="s">
        <v>13531</v>
      </c>
      <c r="Y721" t="s">
        <v>13532</v>
      </c>
      <c r="Z721" t="s">
        <v>13533</v>
      </c>
      <c r="AA721" t="s">
        <v>13534</v>
      </c>
      <c r="AB721" t="s">
        <v>13535</v>
      </c>
      <c r="AC721" t="s">
        <v>13536</v>
      </c>
      <c r="AD721" t="s">
        <v>13537</v>
      </c>
      <c r="AE721" t="s">
        <v>13538</v>
      </c>
      <c r="AF721" t="s">
        <v>74</v>
      </c>
      <c r="AG721">
        <v>57</v>
      </c>
      <c r="AH721">
        <v>11</v>
      </c>
      <c r="AI721">
        <v>11</v>
      </c>
      <c r="AJ721">
        <v>0</v>
      </c>
      <c r="AK721">
        <v>5</v>
      </c>
      <c r="AL721" t="s">
        <v>8831</v>
      </c>
      <c r="AM721" t="s">
        <v>8832</v>
      </c>
      <c r="AN721" t="s">
        <v>8833</v>
      </c>
      <c r="AO721" t="s">
        <v>13515</v>
      </c>
      <c r="AP721" t="s">
        <v>13516</v>
      </c>
      <c r="AQ721" t="s">
        <v>74</v>
      </c>
      <c r="AR721" t="s">
        <v>13517</v>
      </c>
      <c r="AS721" t="s">
        <v>13518</v>
      </c>
      <c r="AT721" t="s">
        <v>13519</v>
      </c>
      <c r="AU721">
        <v>2015</v>
      </c>
      <c r="AV721">
        <v>224</v>
      </c>
      <c r="AW721" t="s">
        <v>74</v>
      </c>
      <c r="AX721" t="s">
        <v>74</v>
      </c>
      <c r="AY721" t="s">
        <v>74</v>
      </c>
      <c r="AZ721" t="s">
        <v>74</v>
      </c>
      <c r="BA721" t="s">
        <v>74</v>
      </c>
      <c r="BB721">
        <v>216</v>
      </c>
      <c r="BC721">
        <v>227</v>
      </c>
      <c r="BD721" t="s">
        <v>74</v>
      </c>
      <c r="BE721" t="s">
        <v>13539</v>
      </c>
      <c r="BF721" t="str">
        <f>HYPERLINK("http://dx.doi.org/10.1016/j.ygcen.2015.08.020","http://dx.doi.org/10.1016/j.ygcen.2015.08.020")</f>
        <v>http://dx.doi.org/10.1016/j.ygcen.2015.08.020</v>
      </c>
      <c r="BG721" t="s">
        <v>74</v>
      </c>
      <c r="BH721" t="s">
        <v>74</v>
      </c>
      <c r="BI721">
        <v>12</v>
      </c>
      <c r="BJ721" t="s">
        <v>13521</v>
      </c>
      <c r="BK721" t="s">
        <v>264</v>
      </c>
      <c r="BL721" t="s">
        <v>13521</v>
      </c>
      <c r="BM721" t="s">
        <v>13522</v>
      </c>
      <c r="BN721">
        <v>26320855</v>
      </c>
      <c r="BO721" t="s">
        <v>5581</v>
      </c>
      <c r="BP721" t="s">
        <v>74</v>
      </c>
      <c r="BQ721" t="s">
        <v>74</v>
      </c>
      <c r="BR721" t="s">
        <v>100</v>
      </c>
      <c r="BS721" t="s">
        <v>13540</v>
      </c>
      <c r="BT721" t="str">
        <f>HYPERLINK("https%3A%2F%2Fwww.webofscience.com%2Fwos%2Fwoscc%2Ffull-record%2FWOS:000366438400021","View Full Record in Web of Science")</f>
        <v>View Full Record in Web of Science</v>
      </c>
    </row>
    <row r="722" spans="1:72" x14ac:dyDescent="0.15">
      <c r="A722" t="s">
        <v>72</v>
      </c>
      <c r="B722" t="s">
        <v>13541</v>
      </c>
      <c r="C722" t="s">
        <v>74</v>
      </c>
      <c r="D722" t="s">
        <v>74</v>
      </c>
      <c r="E722" t="s">
        <v>74</v>
      </c>
      <c r="F722" t="s">
        <v>13542</v>
      </c>
      <c r="G722" t="s">
        <v>74</v>
      </c>
      <c r="H722" t="s">
        <v>74</v>
      </c>
      <c r="I722" t="s">
        <v>13543</v>
      </c>
      <c r="J722" t="s">
        <v>6719</v>
      </c>
      <c r="K722" t="s">
        <v>74</v>
      </c>
      <c r="L722" t="s">
        <v>74</v>
      </c>
      <c r="M722" t="s">
        <v>200</v>
      </c>
      <c r="N722" t="s">
        <v>79</v>
      </c>
      <c r="O722" t="s">
        <v>74</v>
      </c>
      <c r="P722" t="s">
        <v>74</v>
      </c>
      <c r="Q722" t="s">
        <v>74</v>
      </c>
      <c r="R722" t="s">
        <v>74</v>
      </c>
      <c r="S722" t="s">
        <v>74</v>
      </c>
      <c r="T722" t="s">
        <v>13544</v>
      </c>
      <c r="U722" t="s">
        <v>13545</v>
      </c>
      <c r="V722" t="s">
        <v>13546</v>
      </c>
      <c r="W722" t="s">
        <v>13547</v>
      </c>
      <c r="X722" t="s">
        <v>13548</v>
      </c>
      <c r="Y722" t="s">
        <v>13549</v>
      </c>
      <c r="Z722" t="s">
        <v>13550</v>
      </c>
      <c r="AA722" t="s">
        <v>13551</v>
      </c>
      <c r="AB722" t="s">
        <v>13552</v>
      </c>
      <c r="AC722" t="s">
        <v>13553</v>
      </c>
      <c r="AD722" t="s">
        <v>13554</v>
      </c>
      <c r="AE722" t="s">
        <v>13555</v>
      </c>
      <c r="AF722" t="s">
        <v>74</v>
      </c>
      <c r="AG722">
        <v>95</v>
      </c>
      <c r="AH722">
        <v>90</v>
      </c>
      <c r="AI722">
        <v>100</v>
      </c>
      <c r="AJ722">
        <v>2</v>
      </c>
      <c r="AK722">
        <v>47</v>
      </c>
      <c r="AL722" t="s">
        <v>6662</v>
      </c>
      <c r="AM722" t="s">
        <v>6663</v>
      </c>
      <c r="AN722" t="s">
        <v>6664</v>
      </c>
      <c r="AO722" t="s">
        <v>6731</v>
      </c>
      <c r="AP722" t="s">
        <v>6732</v>
      </c>
      <c r="AQ722" t="s">
        <v>74</v>
      </c>
      <c r="AR722" t="s">
        <v>6733</v>
      </c>
      <c r="AS722" t="s">
        <v>6734</v>
      </c>
      <c r="AT722" t="s">
        <v>12574</v>
      </c>
      <c r="AU722">
        <v>2015</v>
      </c>
      <c r="AV722">
        <v>45</v>
      </c>
      <c r="AW722">
        <v>12</v>
      </c>
      <c r="AX722" t="s">
        <v>74</v>
      </c>
      <c r="AY722" t="s">
        <v>74</v>
      </c>
      <c r="AZ722" t="s">
        <v>74</v>
      </c>
      <c r="BA722" t="s">
        <v>74</v>
      </c>
      <c r="BB722">
        <v>3057</v>
      </c>
      <c r="BC722">
        <v>3081</v>
      </c>
      <c r="BD722" t="s">
        <v>74</v>
      </c>
      <c r="BE722" t="s">
        <v>13556</v>
      </c>
      <c r="BF722" t="str">
        <f>HYPERLINK("http://dx.doi.org/10.1175/JPO-D-14-0240.1","http://dx.doi.org/10.1175/JPO-D-14-0240.1")</f>
        <v>http://dx.doi.org/10.1175/JPO-D-14-0240.1</v>
      </c>
      <c r="BG722" t="s">
        <v>74</v>
      </c>
      <c r="BH722" t="s">
        <v>74</v>
      </c>
      <c r="BI722">
        <v>25</v>
      </c>
      <c r="BJ722" t="s">
        <v>5339</v>
      </c>
      <c r="BK722" t="s">
        <v>264</v>
      </c>
      <c r="BL722" t="s">
        <v>5339</v>
      </c>
      <c r="BM722" t="s">
        <v>13557</v>
      </c>
      <c r="BN722" t="s">
        <v>74</v>
      </c>
      <c r="BO722" t="s">
        <v>13558</v>
      </c>
      <c r="BP722" t="s">
        <v>74</v>
      </c>
      <c r="BQ722" t="s">
        <v>74</v>
      </c>
      <c r="BR722" t="s">
        <v>100</v>
      </c>
      <c r="BS722" t="s">
        <v>13559</v>
      </c>
      <c r="BT722" t="str">
        <f>HYPERLINK("https%3A%2F%2Fwww.webofscience.com%2Fwos%2Fwoscc%2Ffull-record%2FWOS:000366394900003","View Full Record in Web of Science")</f>
        <v>View Full Record in Web of Science</v>
      </c>
    </row>
    <row r="723" spans="1:72" x14ac:dyDescent="0.15">
      <c r="A723" t="s">
        <v>72</v>
      </c>
      <c r="B723" t="s">
        <v>13560</v>
      </c>
      <c r="C723" t="s">
        <v>74</v>
      </c>
      <c r="D723" t="s">
        <v>74</v>
      </c>
      <c r="E723" t="s">
        <v>74</v>
      </c>
      <c r="F723" t="s">
        <v>13561</v>
      </c>
      <c r="G723" t="s">
        <v>74</v>
      </c>
      <c r="H723" t="s">
        <v>74</v>
      </c>
      <c r="I723" t="s">
        <v>13562</v>
      </c>
      <c r="J723" t="s">
        <v>10679</v>
      </c>
      <c r="K723" t="s">
        <v>74</v>
      </c>
      <c r="L723" t="s">
        <v>74</v>
      </c>
      <c r="M723" t="s">
        <v>200</v>
      </c>
      <c r="N723" t="s">
        <v>79</v>
      </c>
      <c r="O723" t="s">
        <v>74</v>
      </c>
      <c r="P723" t="s">
        <v>74</v>
      </c>
      <c r="Q723" t="s">
        <v>74</v>
      </c>
      <c r="R723" t="s">
        <v>74</v>
      </c>
      <c r="S723" t="s">
        <v>74</v>
      </c>
      <c r="T723" t="s">
        <v>10703</v>
      </c>
      <c r="U723" t="s">
        <v>13563</v>
      </c>
      <c r="V723" t="s">
        <v>13564</v>
      </c>
      <c r="W723" t="s">
        <v>13565</v>
      </c>
      <c r="X723" t="s">
        <v>13566</v>
      </c>
      <c r="Y723" t="s">
        <v>13567</v>
      </c>
      <c r="Z723" t="s">
        <v>13568</v>
      </c>
      <c r="AA723" t="s">
        <v>13569</v>
      </c>
      <c r="AB723" t="s">
        <v>13570</v>
      </c>
      <c r="AC723" t="s">
        <v>13571</v>
      </c>
      <c r="AD723" t="s">
        <v>13572</v>
      </c>
      <c r="AE723" t="s">
        <v>13573</v>
      </c>
      <c r="AF723" t="s">
        <v>74</v>
      </c>
      <c r="AG723">
        <v>36</v>
      </c>
      <c r="AH723">
        <v>52</v>
      </c>
      <c r="AI723">
        <v>58</v>
      </c>
      <c r="AJ723">
        <v>1</v>
      </c>
      <c r="AK723">
        <v>12</v>
      </c>
      <c r="AL723" t="s">
        <v>7218</v>
      </c>
      <c r="AM723" t="s">
        <v>1386</v>
      </c>
      <c r="AN723" t="s">
        <v>7219</v>
      </c>
      <c r="AO723" t="s">
        <v>10692</v>
      </c>
      <c r="AP723" t="s">
        <v>10693</v>
      </c>
      <c r="AQ723" t="s">
        <v>74</v>
      </c>
      <c r="AR723" t="s">
        <v>10694</v>
      </c>
      <c r="AS723" t="s">
        <v>10695</v>
      </c>
      <c r="AT723" t="s">
        <v>12574</v>
      </c>
      <c r="AU723">
        <v>2015</v>
      </c>
      <c r="AV723">
        <v>96</v>
      </c>
      <c r="AW723" t="s">
        <v>74</v>
      </c>
      <c r="AX723">
        <v>1</v>
      </c>
      <c r="AY723" t="s">
        <v>74</v>
      </c>
      <c r="AZ723" t="s">
        <v>74</v>
      </c>
      <c r="BA723" t="s">
        <v>74</v>
      </c>
      <c r="BB723">
        <v>85</v>
      </c>
      <c r="BC723">
        <v>92</v>
      </c>
      <c r="BD723" t="s">
        <v>74</v>
      </c>
      <c r="BE723" t="s">
        <v>13574</v>
      </c>
      <c r="BF723" t="str">
        <f>HYPERLINK("http://dx.doi.org/10.1016/j.ocemod.2015.03.001","http://dx.doi.org/10.1016/j.ocemod.2015.03.001")</f>
        <v>http://dx.doi.org/10.1016/j.ocemod.2015.03.001</v>
      </c>
      <c r="BG723" t="s">
        <v>74</v>
      </c>
      <c r="BH723" t="s">
        <v>74</v>
      </c>
      <c r="BI723">
        <v>8</v>
      </c>
      <c r="BJ723" t="s">
        <v>3766</v>
      </c>
      <c r="BK723" t="s">
        <v>264</v>
      </c>
      <c r="BL723" t="s">
        <v>3766</v>
      </c>
      <c r="BM723" t="s">
        <v>13575</v>
      </c>
      <c r="BN723" t="s">
        <v>74</v>
      </c>
      <c r="BO723" t="s">
        <v>403</v>
      </c>
      <c r="BP723" t="s">
        <v>74</v>
      </c>
      <c r="BQ723" t="s">
        <v>74</v>
      </c>
      <c r="BR723" t="s">
        <v>100</v>
      </c>
      <c r="BS723" t="s">
        <v>13576</v>
      </c>
      <c r="BT723" t="str">
        <f>HYPERLINK("https%3A%2F%2Fwww.webofscience.com%2Fwos%2Fwoscc%2Ffull-record%2FWOS:000366058400007","View Full Record in Web of Science")</f>
        <v>View Full Record in Web of Science</v>
      </c>
    </row>
    <row r="724" spans="1:72" x14ac:dyDescent="0.15">
      <c r="A724" t="s">
        <v>72</v>
      </c>
      <c r="B724" t="s">
        <v>13577</v>
      </c>
      <c r="C724" t="s">
        <v>74</v>
      </c>
      <c r="D724" t="s">
        <v>74</v>
      </c>
      <c r="E724" t="s">
        <v>74</v>
      </c>
      <c r="F724" t="s">
        <v>13578</v>
      </c>
      <c r="G724" t="s">
        <v>74</v>
      </c>
      <c r="H724" t="s">
        <v>74</v>
      </c>
      <c r="I724" t="s">
        <v>13579</v>
      </c>
      <c r="J724" t="s">
        <v>12323</v>
      </c>
      <c r="K724" t="s">
        <v>74</v>
      </c>
      <c r="L724" t="s">
        <v>74</v>
      </c>
      <c r="M724" t="s">
        <v>200</v>
      </c>
      <c r="N724" t="s">
        <v>79</v>
      </c>
      <c r="O724" t="s">
        <v>74</v>
      </c>
      <c r="P724" t="s">
        <v>74</v>
      </c>
      <c r="Q724" t="s">
        <v>74</v>
      </c>
      <c r="R724" t="s">
        <v>74</v>
      </c>
      <c r="S724" t="s">
        <v>74</v>
      </c>
      <c r="T724" t="s">
        <v>74</v>
      </c>
      <c r="U724" t="s">
        <v>13580</v>
      </c>
      <c r="V724" t="s">
        <v>13581</v>
      </c>
      <c r="W724" t="s">
        <v>13582</v>
      </c>
      <c r="X724" t="s">
        <v>13583</v>
      </c>
      <c r="Y724" t="s">
        <v>13584</v>
      </c>
      <c r="Z724" t="s">
        <v>13585</v>
      </c>
      <c r="AA724" t="s">
        <v>13586</v>
      </c>
      <c r="AB724" t="s">
        <v>13587</v>
      </c>
      <c r="AC724" t="s">
        <v>13588</v>
      </c>
      <c r="AD724" t="s">
        <v>13589</v>
      </c>
      <c r="AE724" t="s">
        <v>13590</v>
      </c>
      <c r="AF724" t="s">
        <v>74</v>
      </c>
      <c r="AG724">
        <v>55</v>
      </c>
      <c r="AH724">
        <v>33</v>
      </c>
      <c r="AI724">
        <v>38</v>
      </c>
      <c r="AJ724">
        <v>1</v>
      </c>
      <c r="AK724">
        <v>20</v>
      </c>
      <c r="AL724" t="s">
        <v>12335</v>
      </c>
      <c r="AM724" t="s">
        <v>5664</v>
      </c>
      <c r="AN724" t="s">
        <v>12336</v>
      </c>
      <c r="AO724" t="s">
        <v>12337</v>
      </c>
      <c r="AP724" t="s">
        <v>74</v>
      </c>
      <c r="AQ724" t="s">
        <v>74</v>
      </c>
      <c r="AR724" t="s">
        <v>12323</v>
      </c>
      <c r="AS724" t="s">
        <v>12338</v>
      </c>
      <c r="AT724" t="s">
        <v>13519</v>
      </c>
      <c r="AU724">
        <v>2015</v>
      </c>
      <c r="AV724">
        <v>10</v>
      </c>
      <c r="AW724">
        <v>12</v>
      </c>
      <c r="AX724" t="s">
        <v>74</v>
      </c>
      <c r="AY724" t="s">
        <v>74</v>
      </c>
      <c r="AZ724" t="s">
        <v>74</v>
      </c>
      <c r="BA724" t="s">
        <v>74</v>
      </c>
      <c r="BB724" t="s">
        <v>74</v>
      </c>
      <c r="BC724" t="s">
        <v>74</v>
      </c>
      <c r="BD724" t="s">
        <v>13591</v>
      </c>
      <c r="BE724" t="s">
        <v>13592</v>
      </c>
      <c r="BF724" t="str">
        <f>HYPERLINK("http://dx.doi.org/10.1371/journal.pone.0144060","http://dx.doi.org/10.1371/journal.pone.0144060")</f>
        <v>http://dx.doi.org/10.1371/journal.pone.0144060</v>
      </c>
      <c r="BG724" t="s">
        <v>74</v>
      </c>
      <c r="BH724" t="s">
        <v>74</v>
      </c>
      <c r="BI724">
        <v>14</v>
      </c>
      <c r="BJ724" t="s">
        <v>3540</v>
      </c>
      <c r="BK724" t="s">
        <v>264</v>
      </c>
      <c r="BL724" t="s">
        <v>3541</v>
      </c>
      <c r="BM724" t="s">
        <v>13593</v>
      </c>
      <c r="BN724">
        <v>26625164</v>
      </c>
      <c r="BO724" t="s">
        <v>7447</v>
      </c>
      <c r="BP724" t="s">
        <v>74</v>
      </c>
      <c r="BQ724" t="s">
        <v>74</v>
      </c>
      <c r="BR724" t="s">
        <v>100</v>
      </c>
      <c r="BS724" t="s">
        <v>13594</v>
      </c>
      <c r="BT724" t="str">
        <f>HYPERLINK("https%3A%2F%2Fwww.webofscience.com%2Fwos%2Fwoscc%2Ffull-record%2FWOS:000365891600088","View Full Record in Web of Science")</f>
        <v>View Full Record in Web of Science</v>
      </c>
    </row>
    <row r="725" spans="1:72" x14ac:dyDescent="0.15">
      <c r="A725" t="s">
        <v>72</v>
      </c>
      <c r="B725" t="s">
        <v>13595</v>
      </c>
      <c r="C725" t="s">
        <v>74</v>
      </c>
      <c r="D725" t="s">
        <v>74</v>
      </c>
      <c r="E725" t="s">
        <v>74</v>
      </c>
      <c r="F725" t="s">
        <v>13596</v>
      </c>
      <c r="G725" t="s">
        <v>74</v>
      </c>
      <c r="H725" t="s">
        <v>74</v>
      </c>
      <c r="I725" t="s">
        <v>13597</v>
      </c>
      <c r="J725" t="s">
        <v>7022</v>
      </c>
      <c r="K725" t="s">
        <v>74</v>
      </c>
      <c r="L725" t="s">
        <v>74</v>
      </c>
      <c r="M725" t="s">
        <v>200</v>
      </c>
      <c r="N725" t="s">
        <v>79</v>
      </c>
      <c r="O725" t="s">
        <v>74</v>
      </c>
      <c r="P725" t="s">
        <v>74</v>
      </c>
      <c r="Q725" t="s">
        <v>74</v>
      </c>
      <c r="R725" t="s">
        <v>74</v>
      </c>
      <c r="S725" t="s">
        <v>74</v>
      </c>
      <c r="T725" t="s">
        <v>13598</v>
      </c>
      <c r="U725" t="s">
        <v>13599</v>
      </c>
      <c r="V725" t="s">
        <v>13600</v>
      </c>
      <c r="W725" t="s">
        <v>13601</v>
      </c>
      <c r="X725" t="s">
        <v>13602</v>
      </c>
      <c r="Y725" t="s">
        <v>13603</v>
      </c>
      <c r="Z725" t="s">
        <v>13604</v>
      </c>
      <c r="AA725" t="s">
        <v>13605</v>
      </c>
      <c r="AB725" t="s">
        <v>13606</v>
      </c>
      <c r="AC725" t="s">
        <v>13607</v>
      </c>
      <c r="AD725" t="s">
        <v>13608</v>
      </c>
      <c r="AE725" t="s">
        <v>13609</v>
      </c>
      <c r="AF725" t="s">
        <v>74</v>
      </c>
      <c r="AG725">
        <v>128</v>
      </c>
      <c r="AH725">
        <v>30</v>
      </c>
      <c r="AI725">
        <v>36</v>
      </c>
      <c r="AJ725">
        <v>1</v>
      </c>
      <c r="AK725">
        <v>29</v>
      </c>
      <c r="AL725" t="s">
        <v>5888</v>
      </c>
      <c r="AM725" t="s">
        <v>1386</v>
      </c>
      <c r="AN725" t="s">
        <v>5889</v>
      </c>
      <c r="AO725" t="s">
        <v>7035</v>
      </c>
      <c r="AP725" t="s">
        <v>11330</v>
      </c>
      <c r="AQ725" t="s">
        <v>74</v>
      </c>
      <c r="AR725" t="s">
        <v>7036</v>
      </c>
      <c r="AS725" t="s">
        <v>7037</v>
      </c>
      <c r="AT725" t="s">
        <v>13519</v>
      </c>
      <c r="AU725">
        <v>2015</v>
      </c>
      <c r="AV725">
        <v>129</v>
      </c>
      <c r="AW725" t="s">
        <v>74</v>
      </c>
      <c r="AX725" t="s">
        <v>74</v>
      </c>
      <c r="AY725" t="s">
        <v>74</v>
      </c>
      <c r="AZ725" t="s">
        <v>74</v>
      </c>
      <c r="BA725" t="s">
        <v>74</v>
      </c>
      <c r="BB725">
        <v>239</v>
      </c>
      <c r="BC725">
        <v>259</v>
      </c>
      <c r="BD725" t="s">
        <v>74</v>
      </c>
      <c r="BE725" t="s">
        <v>13610</v>
      </c>
      <c r="BF725" t="str">
        <f>HYPERLINK("http://dx.doi.org/10.1016/j.quascirev.2015.09.009","http://dx.doi.org/10.1016/j.quascirev.2015.09.009")</f>
        <v>http://dx.doi.org/10.1016/j.quascirev.2015.09.009</v>
      </c>
      <c r="BG725" t="s">
        <v>74</v>
      </c>
      <c r="BH725" t="s">
        <v>74</v>
      </c>
      <c r="BI725">
        <v>21</v>
      </c>
      <c r="BJ725" t="s">
        <v>2247</v>
      </c>
      <c r="BK725" t="s">
        <v>264</v>
      </c>
      <c r="BL725" t="s">
        <v>2248</v>
      </c>
      <c r="BM725" t="s">
        <v>13611</v>
      </c>
      <c r="BN725" t="s">
        <v>74</v>
      </c>
      <c r="BO725" t="s">
        <v>5581</v>
      </c>
      <c r="BP725" t="s">
        <v>74</v>
      </c>
      <c r="BQ725" t="s">
        <v>74</v>
      </c>
      <c r="BR725" t="s">
        <v>100</v>
      </c>
      <c r="BS725" t="s">
        <v>13612</v>
      </c>
      <c r="BT725" t="str">
        <f>HYPERLINK("https%3A%2F%2Fwww.webofscience.com%2Fwos%2Fwoscc%2Ffull-record%2FWOS:000366232300015","View Full Record in Web of Science")</f>
        <v>View Full Record in Web of Science</v>
      </c>
    </row>
    <row r="726" spans="1:72" x14ac:dyDescent="0.15">
      <c r="A726" t="s">
        <v>72</v>
      </c>
      <c r="B726" t="s">
        <v>13613</v>
      </c>
      <c r="C726" t="s">
        <v>74</v>
      </c>
      <c r="D726" t="s">
        <v>74</v>
      </c>
      <c r="E726" t="s">
        <v>74</v>
      </c>
      <c r="F726" t="s">
        <v>13614</v>
      </c>
      <c r="G726" t="s">
        <v>74</v>
      </c>
      <c r="H726" t="s">
        <v>74</v>
      </c>
      <c r="I726" t="s">
        <v>13615</v>
      </c>
      <c r="J726" t="s">
        <v>13616</v>
      </c>
      <c r="K726" t="s">
        <v>74</v>
      </c>
      <c r="L726" t="s">
        <v>74</v>
      </c>
      <c r="M726" t="s">
        <v>200</v>
      </c>
      <c r="N726" t="s">
        <v>79</v>
      </c>
      <c r="O726" t="s">
        <v>74</v>
      </c>
      <c r="P726" t="s">
        <v>74</v>
      </c>
      <c r="Q726" t="s">
        <v>74</v>
      </c>
      <c r="R726" t="s">
        <v>74</v>
      </c>
      <c r="S726" t="s">
        <v>74</v>
      </c>
      <c r="T726" t="s">
        <v>13617</v>
      </c>
      <c r="U726" t="s">
        <v>13618</v>
      </c>
      <c r="V726" t="s">
        <v>13619</v>
      </c>
      <c r="W726" t="s">
        <v>13620</v>
      </c>
      <c r="X726" t="s">
        <v>13621</v>
      </c>
      <c r="Y726" t="s">
        <v>13622</v>
      </c>
      <c r="Z726" t="s">
        <v>13623</v>
      </c>
      <c r="AA726" t="s">
        <v>74</v>
      </c>
      <c r="AB726" t="s">
        <v>13624</v>
      </c>
      <c r="AC726" t="s">
        <v>13625</v>
      </c>
      <c r="AD726" t="s">
        <v>13626</v>
      </c>
      <c r="AE726" t="s">
        <v>13627</v>
      </c>
      <c r="AF726" t="s">
        <v>74</v>
      </c>
      <c r="AG726">
        <v>31</v>
      </c>
      <c r="AH726">
        <v>6</v>
      </c>
      <c r="AI726">
        <v>9</v>
      </c>
      <c r="AJ726">
        <v>0</v>
      </c>
      <c r="AK726">
        <v>21</v>
      </c>
      <c r="AL726" t="s">
        <v>7218</v>
      </c>
      <c r="AM726" t="s">
        <v>1386</v>
      </c>
      <c r="AN726" t="s">
        <v>7219</v>
      </c>
      <c r="AO726" t="s">
        <v>13628</v>
      </c>
      <c r="AP726" t="s">
        <v>13629</v>
      </c>
      <c r="AQ726" t="s">
        <v>74</v>
      </c>
      <c r="AR726" t="s">
        <v>13630</v>
      </c>
      <c r="AS726" t="s">
        <v>13631</v>
      </c>
      <c r="AT726" t="s">
        <v>13519</v>
      </c>
      <c r="AU726">
        <v>2015</v>
      </c>
      <c r="AV726">
        <v>56</v>
      </c>
      <c r="AW726">
        <v>11</v>
      </c>
      <c r="AX726" t="s">
        <v>74</v>
      </c>
      <c r="AY726" t="s">
        <v>74</v>
      </c>
      <c r="AZ726" t="s">
        <v>74</v>
      </c>
      <c r="BA726" t="s">
        <v>74</v>
      </c>
      <c r="BB726">
        <v>2374</v>
      </c>
      <c r="BC726">
        <v>2383</v>
      </c>
      <c r="BD726" t="s">
        <v>74</v>
      </c>
      <c r="BE726" t="s">
        <v>13632</v>
      </c>
      <c r="BF726" t="str">
        <f>HYPERLINK("http://dx.doi.org/10.1016/j.asr.2015.09.027","http://dx.doi.org/10.1016/j.asr.2015.09.027")</f>
        <v>http://dx.doi.org/10.1016/j.asr.2015.09.027</v>
      </c>
      <c r="BG726" t="s">
        <v>74</v>
      </c>
      <c r="BH726" t="s">
        <v>74</v>
      </c>
      <c r="BI726">
        <v>10</v>
      </c>
      <c r="BJ726" t="s">
        <v>13633</v>
      </c>
      <c r="BK726" t="s">
        <v>264</v>
      </c>
      <c r="BL726" t="s">
        <v>13634</v>
      </c>
      <c r="BM726" t="s">
        <v>13635</v>
      </c>
      <c r="BN726" t="s">
        <v>74</v>
      </c>
      <c r="BO726" t="s">
        <v>74</v>
      </c>
      <c r="BP726" t="s">
        <v>74</v>
      </c>
      <c r="BQ726" t="s">
        <v>74</v>
      </c>
      <c r="BR726" t="s">
        <v>100</v>
      </c>
      <c r="BS726" t="s">
        <v>13636</v>
      </c>
      <c r="BT726" t="str">
        <f>HYPERLINK("https%3A%2F%2Fwww.webofscience.com%2Fwos%2Fwoscc%2Ffull-record%2FWOS:000365367900006","View Full Record in Web of Science")</f>
        <v>View Full Record in Web of Science</v>
      </c>
    </row>
    <row r="727" spans="1:72" x14ac:dyDescent="0.15">
      <c r="A727" t="s">
        <v>72</v>
      </c>
      <c r="B727" t="s">
        <v>13637</v>
      </c>
      <c r="C727" t="s">
        <v>74</v>
      </c>
      <c r="D727" t="s">
        <v>74</v>
      </c>
      <c r="E727" t="s">
        <v>74</v>
      </c>
      <c r="F727" t="s">
        <v>13638</v>
      </c>
      <c r="G727" t="s">
        <v>74</v>
      </c>
      <c r="H727" t="s">
        <v>74</v>
      </c>
      <c r="I727" t="s">
        <v>13639</v>
      </c>
      <c r="J727" t="s">
        <v>13616</v>
      </c>
      <c r="K727" t="s">
        <v>74</v>
      </c>
      <c r="L727" t="s">
        <v>74</v>
      </c>
      <c r="M727" t="s">
        <v>200</v>
      </c>
      <c r="N727" t="s">
        <v>79</v>
      </c>
      <c r="O727" t="s">
        <v>74</v>
      </c>
      <c r="P727" t="s">
        <v>74</v>
      </c>
      <c r="Q727" t="s">
        <v>74</v>
      </c>
      <c r="R727" t="s">
        <v>74</v>
      </c>
      <c r="S727" t="s">
        <v>74</v>
      </c>
      <c r="T727" t="s">
        <v>13640</v>
      </c>
      <c r="U727" t="s">
        <v>13641</v>
      </c>
      <c r="V727" t="s">
        <v>13642</v>
      </c>
      <c r="W727" t="s">
        <v>13643</v>
      </c>
      <c r="X727" t="s">
        <v>74</v>
      </c>
      <c r="Y727" t="s">
        <v>13644</v>
      </c>
      <c r="Z727" t="s">
        <v>13645</v>
      </c>
      <c r="AA727" t="s">
        <v>74</v>
      </c>
      <c r="AB727" t="s">
        <v>74</v>
      </c>
      <c r="AC727" t="s">
        <v>13646</v>
      </c>
      <c r="AD727" t="s">
        <v>13647</v>
      </c>
      <c r="AE727" t="s">
        <v>13648</v>
      </c>
      <c r="AF727" t="s">
        <v>74</v>
      </c>
      <c r="AG727">
        <v>60</v>
      </c>
      <c r="AH727">
        <v>0</v>
      </c>
      <c r="AI727">
        <v>0</v>
      </c>
      <c r="AJ727">
        <v>0</v>
      </c>
      <c r="AK727">
        <v>15</v>
      </c>
      <c r="AL727" t="s">
        <v>7218</v>
      </c>
      <c r="AM727" t="s">
        <v>1386</v>
      </c>
      <c r="AN727" t="s">
        <v>7219</v>
      </c>
      <c r="AO727" t="s">
        <v>13628</v>
      </c>
      <c r="AP727" t="s">
        <v>13629</v>
      </c>
      <c r="AQ727" t="s">
        <v>74</v>
      </c>
      <c r="AR727" t="s">
        <v>13630</v>
      </c>
      <c r="AS727" t="s">
        <v>13631</v>
      </c>
      <c r="AT727" t="s">
        <v>13519</v>
      </c>
      <c r="AU727">
        <v>2015</v>
      </c>
      <c r="AV727">
        <v>56</v>
      </c>
      <c r="AW727">
        <v>11</v>
      </c>
      <c r="AX727" t="s">
        <v>74</v>
      </c>
      <c r="AY727" t="s">
        <v>74</v>
      </c>
      <c r="AZ727" t="s">
        <v>74</v>
      </c>
      <c r="BA727" t="s">
        <v>74</v>
      </c>
      <c r="BB727">
        <v>2402</v>
      </c>
      <c r="BC727">
        <v>2427</v>
      </c>
      <c r="BD727" t="s">
        <v>74</v>
      </c>
      <c r="BE727" t="s">
        <v>13649</v>
      </c>
      <c r="BF727" t="str">
        <f>HYPERLINK("http://dx.doi.org/10.1016/j.asr.2015.09.019","http://dx.doi.org/10.1016/j.asr.2015.09.019")</f>
        <v>http://dx.doi.org/10.1016/j.asr.2015.09.019</v>
      </c>
      <c r="BG727" t="s">
        <v>74</v>
      </c>
      <c r="BH727" t="s">
        <v>74</v>
      </c>
      <c r="BI727">
        <v>26</v>
      </c>
      <c r="BJ727" t="s">
        <v>13633</v>
      </c>
      <c r="BK727" t="s">
        <v>264</v>
      </c>
      <c r="BL727" t="s">
        <v>13634</v>
      </c>
      <c r="BM727" t="s">
        <v>13635</v>
      </c>
      <c r="BN727" t="s">
        <v>74</v>
      </c>
      <c r="BO727" t="s">
        <v>74</v>
      </c>
      <c r="BP727" t="s">
        <v>74</v>
      </c>
      <c r="BQ727" t="s">
        <v>74</v>
      </c>
      <c r="BR727" t="s">
        <v>100</v>
      </c>
      <c r="BS727" t="s">
        <v>13650</v>
      </c>
      <c r="BT727" t="str">
        <f>HYPERLINK("https%3A%2F%2Fwww.webofscience.com%2Fwos%2Fwoscc%2Ffull-record%2FWOS:000365367900009","View Full Record in Web of Science")</f>
        <v>View Full Record in Web of Science</v>
      </c>
    </row>
    <row r="728" spans="1:72" x14ac:dyDescent="0.15">
      <c r="A728" t="s">
        <v>72</v>
      </c>
      <c r="B728" t="s">
        <v>13651</v>
      </c>
      <c r="C728" t="s">
        <v>74</v>
      </c>
      <c r="D728" t="s">
        <v>74</v>
      </c>
      <c r="E728" t="s">
        <v>74</v>
      </c>
      <c r="F728" t="s">
        <v>13652</v>
      </c>
      <c r="G728" t="s">
        <v>74</v>
      </c>
      <c r="H728" t="s">
        <v>74</v>
      </c>
      <c r="I728" t="s">
        <v>13653</v>
      </c>
      <c r="J728" t="s">
        <v>13616</v>
      </c>
      <c r="K728" t="s">
        <v>74</v>
      </c>
      <c r="L728" t="s">
        <v>74</v>
      </c>
      <c r="M728" t="s">
        <v>200</v>
      </c>
      <c r="N728" t="s">
        <v>79</v>
      </c>
      <c r="O728" t="s">
        <v>74</v>
      </c>
      <c r="P728" t="s">
        <v>74</v>
      </c>
      <c r="Q728" t="s">
        <v>74</v>
      </c>
      <c r="R728" t="s">
        <v>74</v>
      </c>
      <c r="S728" t="s">
        <v>74</v>
      </c>
      <c r="T728" t="s">
        <v>13654</v>
      </c>
      <c r="U728" t="s">
        <v>74</v>
      </c>
      <c r="V728" t="s">
        <v>13655</v>
      </c>
      <c r="W728" t="s">
        <v>13656</v>
      </c>
      <c r="X728" t="s">
        <v>13657</v>
      </c>
      <c r="Y728" t="s">
        <v>13658</v>
      </c>
      <c r="Z728" t="s">
        <v>13659</v>
      </c>
      <c r="AA728" t="s">
        <v>13660</v>
      </c>
      <c r="AB728" t="s">
        <v>13661</v>
      </c>
      <c r="AC728" t="s">
        <v>74</v>
      </c>
      <c r="AD728" t="s">
        <v>74</v>
      </c>
      <c r="AE728" t="s">
        <v>74</v>
      </c>
      <c r="AF728" t="s">
        <v>74</v>
      </c>
      <c r="AG728">
        <v>9</v>
      </c>
      <c r="AH728">
        <v>9</v>
      </c>
      <c r="AI728">
        <v>9</v>
      </c>
      <c r="AJ728">
        <v>1</v>
      </c>
      <c r="AK728">
        <v>9</v>
      </c>
      <c r="AL728" t="s">
        <v>7218</v>
      </c>
      <c r="AM728" t="s">
        <v>1386</v>
      </c>
      <c r="AN728" t="s">
        <v>7219</v>
      </c>
      <c r="AO728" t="s">
        <v>13628</v>
      </c>
      <c r="AP728" t="s">
        <v>13629</v>
      </c>
      <c r="AQ728" t="s">
        <v>74</v>
      </c>
      <c r="AR728" t="s">
        <v>13630</v>
      </c>
      <c r="AS728" t="s">
        <v>13631</v>
      </c>
      <c r="AT728" t="s">
        <v>13519</v>
      </c>
      <c r="AU728">
        <v>2015</v>
      </c>
      <c r="AV728">
        <v>56</v>
      </c>
      <c r="AW728">
        <v>11</v>
      </c>
      <c r="AX728" t="s">
        <v>74</v>
      </c>
      <c r="AY728" t="s">
        <v>74</v>
      </c>
      <c r="AZ728" t="s">
        <v>74</v>
      </c>
      <c r="BA728" t="s">
        <v>74</v>
      </c>
      <c r="BB728">
        <v>2527</v>
      </c>
      <c r="BC728">
        <v>2541</v>
      </c>
      <c r="BD728" t="s">
        <v>74</v>
      </c>
      <c r="BE728" t="s">
        <v>13662</v>
      </c>
      <c r="BF728" t="str">
        <f>HYPERLINK("http://dx.doi.org/10.1016/j.asr.2015.09.008","http://dx.doi.org/10.1016/j.asr.2015.09.008")</f>
        <v>http://dx.doi.org/10.1016/j.asr.2015.09.008</v>
      </c>
      <c r="BG728" t="s">
        <v>74</v>
      </c>
      <c r="BH728" t="s">
        <v>74</v>
      </c>
      <c r="BI728">
        <v>15</v>
      </c>
      <c r="BJ728" t="s">
        <v>13633</v>
      </c>
      <c r="BK728" t="s">
        <v>264</v>
      </c>
      <c r="BL728" t="s">
        <v>13634</v>
      </c>
      <c r="BM728" t="s">
        <v>13635</v>
      </c>
      <c r="BN728" t="s">
        <v>74</v>
      </c>
      <c r="BO728" t="s">
        <v>74</v>
      </c>
      <c r="BP728" t="s">
        <v>74</v>
      </c>
      <c r="BQ728" t="s">
        <v>74</v>
      </c>
      <c r="BR728" t="s">
        <v>100</v>
      </c>
      <c r="BS728" t="s">
        <v>13663</v>
      </c>
      <c r="BT728" t="str">
        <f>HYPERLINK("https%3A%2F%2Fwww.webofscience.com%2Fwos%2Fwoscc%2Ffull-record%2FWOS:000365367900020","View Full Record in Web of Science")</f>
        <v>View Full Record in Web of Science</v>
      </c>
    </row>
    <row r="729" spans="1:72" x14ac:dyDescent="0.15">
      <c r="A729" t="s">
        <v>72</v>
      </c>
      <c r="B729" t="s">
        <v>13664</v>
      </c>
      <c r="C729" t="s">
        <v>74</v>
      </c>
      <c r="D729" t="s">
        <v>74</v>
      </c>
      <c r="E729" t="s">
        <v>74</v>
      </c>
      <c r="F729" t="s">
        <v>13665</v>
      </c>
      <c r="G729" t="s">
        <v>74</v>
      </c>
      <c r="H729" t="s">
        <v>74</v>
      </c>
      <c r="I729" t="s">
        <v>13666</v>
      </c>
      <c r="J729" t="s">
        <v>6650</v>
      </c>
      <c r="K729" t="s">
        <v>74</v>
      </c>
      <c r="L729" t="s">
        <v>74</v>
      </c>
      <c r="M729" t="s">
        <v>200</v>
      </c>
      <c r="N729" t="s">
        <v>79</v>
      </c>
      <c r="O729" t="s">
        <v>74</v>
      </c>
      <c r="P729" t="s">
        <v>74</v>
      </c>
      <c r="Q729" t="s">
        <v>74</v>
      </c>
      <c r="R729" t="s">
        <v>74</v>
      </c>
      <c r="S729" t="s">
        <v>74</v>
      </c>
      <c r="T729" t="s">
        <v>13667</v>
      </c>
      <c r="U729" t="s">
        <v>13668</v>
      </c>
      <c r="V729" t="s">
        <v>13669</v>
      </c>
      <c r="W729" t="s">
        <v>13670</v>
      </c>
      <c r="X729" t="s">
        <v>13671</v>
      </c>
      <c r="Y729" t="s">
        <v>13672</v>
      </c>
      <c r="Z729" t="s">
        <v>13673</v>
      </c>
      <c r="AA729" t="s">
        <v>13674</v>
      </c>
      <c r="AB729" t="s">
        <v>13675</v>
      </c>
      <c r="AC729" t="s">
        <v>74</v>
      </c>
      <c r="AD729" t="s">
        <v>74</v>
      </c>
      <c r="AE729" t="s">
        <v>74</v>
      </c>
      <c r="AF729" t="s">
        <v>74</v>
      </c>
      <c r="AG729">
        <v>63</v>
      </c>
      <c r="AH729">
        <v>36</v>
      </c>
      <c r="AI729">
        <v>36</v>
      </c>
      <c r="AJ729">
        <v>1</v>
      </c>
      <c r="AK729">
        <v>22</v>
      </c>
      <c r="AL729" t="s">
        <v>6662</v>
      </c>
      <c r="AM729" t="s">
        <v>6663</v>
      </c>
      <c r="AN729" t="s">
        <v>6664</v>
      </c>
      <c r="AO729" t="s">
        <v>6665</v>
      </c>
      <c r="AP729" t="s">
        <v>6666</v>
      </c>
      <c r="AQ729" t="s">
        <v>74</v>
      </c>
      <c r="AR729" t="s">
        <v>6667</v>
      </c>
      <c r="AS729" t="s">
        <v>6668</v>
      </c>
      <c r="AT729" t="s">
        <v>12574</v>
      </c>
      <c r="AU729">
        <v>2015</v>
      </c>
      <c r="AV729">
        <v>28</v>
      </c>
      <c r="AW729">
        <v>23</v>
      </c>
      <c r="AX729" t="s">
        <v>74</v>
      </c>
      <c r="AY729" t="s">
        <v>74</v>
      </c>
      <c r="AZ729" t="s">
        <v>74</v>
      </c>
      <c r="BA729" t="s">
        <v>74</v>
      </c>
      <c r="BB729">
        <v>9041</v>
      </c>
      <c r="BC729">
        <v>9057</v>
      </c>
      <c r="BD729" t="s">
        <v>74</v>
      </c>
      <c r="BE729" t="s">
        <v>13676</v>
      </c>
      <c r="BF729" t="str">
        <f>HYPERLINK("http://dx.doi.org/10.1175/JCLI-D-15-0287.1","http://dx.doi.org/10.1175/JCLI-D-15-0287.1")</f>
        <v>http://dx.doi.org/10.1175/JCLI-D-15-0287.1</v>
      </c>
      <c r="BG729" t="s">
        <v>74</v>
      </c>
      <c r="BH729" t="s">
        <v>74</v>
      </c>
      <c r="BI729">
        <v>17</v>
      </c>
      <c r="BJ729" t="s">
        <v>1721</v>
      </c>
      <c r="BK729" t="s">
        <v>264</v>
      </c>
      <c r="BL729" t="s">
        <v>1721</v>
      </c>
      <c r="BM729" t="s">
        <v>13677</v>
      </c>
      <c r="BN729" t="s">
        <v>74</v>
      </c>
      <c r="BO729" t="s">
        <v>74</v>
      </c>
      <c r="BP729" t="s">
        <v>74</v>
      </c>
      <c r="BQ729" t="s">
        <v>74</v>
      </c>
      <c r="BR729" t="s">
        <v>100</v>
      </c>
      <c r="BS729" t="s">
        <v>13678</v>
      </c>
      <c r="BT729" t="str">
        <f>HYPERLINK("https%3A%2F%2Fwww.webofscience.com%2Fwos%2Fwoscc%2Ffull-record%2FWOS:000365860500001","View Full Record in Web of Science")</f>
        <v>View Full Record in Web of Science</v>
      </c>
    </row>
    <row r="730" spans="1:72" x14ac:dyDescent="0.15">
      <c r="A730" t="s">
        <v>72</v>
      </c>
      <c r="B730" t="s">
        <v>13679</v>
      </c>
      <c r="C730" t="s">
        <v>74</v>
      </c>
      <c r="D730" t="s">
        <v>74</v>
      </c>
      <c r="E730" t="s">
        <v>74</v>
      </c>
      <c r="F730" t="s">
        <v>13680</v>
      </c>
      <c r="G730" t="s">
        <v>74</v>
      </c>
      <c r="H730" t="s">
        <v>74</v>
      </c>
      <c r="I730" t="s">
        <v>13681</v>
      </c>
      <c r="J730" t="s">
        <v>6650</v>
      </c>
      <c r="K730" t="s">
        <v>74</v>
      </c>
      <c r="L730" t="s">
        <v>74</v>
      </c>
      <c r="M730" t="s">
        <v>200</v>
      </c>
      <c r="N730" t="s">
        <v>79</v>
      </c>
      <c r="O730" t="s">
        <v>74</v>
      </c>
      <c r="P730" t="s">
        <v>74</v>
      </c>
      <c r="Q730" t="s">
        <v>74</v>
      </c>
      <c r="R730" t="s">
        <v>74</v>
      </c>
      <c r="S730" t="s">
        <v>74</v>
      </c>
      <c r="T730" t="s">
        <v>13682</v>
      </c>
      <c r="U730" t="s">
        <v>13683</v>
      </c>
      <c r="V730" t="s">
        <v>13684</v>
      </c>
      <c r="W730" t="s">
        <v>13685</v>
      </c>
      <c r="X730" t="s">
        <v>13686</v>
      </c>
      <c r="Y730" t="s">
        <v>13687</v>
      </c>
      <c r="Z730" t="s">
        <v>13688</v>
      </c>
      <c r="AA730" t="s">
        <v>74</v>
      </c>
      <c r="AB730" t="s">
        <v>13689</v>
      </c>
      <c r="AC730" t="s">
        <v>13690</v>
      </c>
      <c r="AD730" t="s">
        <v>13691</v>
      </c>
      <c r="AE730" t="s">
        <v>13692</v>
      </c>
      <c r="AF730" t="s">
        <v>74</v>
      </c>
      <c r="AG730">
        <v>43</v>
      </c>
      <c r="AH730">
        <v>1</v>
      </c>
      <c r="AI730">
        <v>2</v>
      </c>
      <c r="AJ730">
        <v>1</v>
      </c>
      <c r="AK730">
        <v>30</v>
      </c>
      <c r="AL730" t="s">
        <v>6662</v>
      </c>
      <c r="AM730" t="s">
        <v>6663</v>
      </c>
      <c r="AN730" t="s">
        <v>6664</v>
      </c>
      <c r="AO730" t="s">
        <v>6665</v>
      </c>
      <c r="AP730" t="s">
        <v>6666</v>
      </c>
      <c r="AQ730" t="s">
        <v>74</v>
      </c>
      <c r="AR730" t="s">
        <v>6667</v>
      </c>
      <c r="AS730" t="s">
        <v>6668</v>
      </c>
      <c r="AT730" t="s">
        <v>12574</v>
      </c>
      <c r="AU730">
        <v>2015</v>
      </c>
      <c r="AV730">
        <v>28</v>
      </c>
      <c r="AW730">
        <v>23</v>
      </c>
      <c r="AX730" t="s">
        <v>74</v>
      </c>
      <c r="AY730" t="s">
        <v>74</v>
      </c>
      <c r="AZ730" t="s">
        <v>74</v>
      </c>
      <c r="BA730" t="s">
        <v>74</v>
      </c>
      <c r="BB730">
        <v>9235</v>
      </c>
      <c r="BC730">
        <v>9249</v>
      </c>
      <c r="BD730" t="s">
        <v>74</v>
      </c>
      <c r="BE730" t="s">
        <v>13693</v>
      </c>
      <c r="BF730" t="str">
        <f>HYPERLINK("http://dx.doi.org/10.1175/JCLI-D-15-0134.1","http://dx.doi.org/10.1175/JCLI-D-15-0134.1")</f>
        <v>http://dx.doi.org/10.1175/JCLI-D-15-0134.1</v>
      </c>
      <c r="BG730" t="s">
        <v>74</v>
      </c>
      <c r="BH730" t="s">
        <v>74</v>
      </c>
      <c r="BI730">
        <v>15</v>
      </c>
      <c r="BJ730" t="s">
        <v>1721</v>
      </c>
      <c r="BK730" t="s">
        <v>264</v>
      </c>
      <c r="BL730" t="s">
        <v>1721</v>
      </c>
      <c r="BM730" t="s">
        <v>13677</v>
      </c>
      <c r="BN730" t="s">
        <v>74</v>
      </c>
      <c r="BO730" t="s">
        <v>74</v>
      </c>
      <c r="BP730" t="s">
        <v>74</v>
      </c>
      <c r="BQ730" t="s">
        <v>74</v>
      </c>
      <c r="BR730" t="s">
        <v>100</v>
      </c>
      <c r="BS730" t="s">
        <v>13694</v>
      </c>
      <c r="BT730" t="str">
        <f>HYPERLINK("https%3A%2F%2Fwww.webofscience.com%2Fwos%2Fwoscc%2Ffull-record%2FWOS:000365860500011","View Full Record in Web of Science")</f>
        <v>View Full Record in Web of Science</v>
      </c>
    </row>
    <row r="731" spans="1:72" x14ac:dyDescent="0.15">
      <c r="A731" t="s">
        <v>72</v>
      </c>
      <c r="B731" t="s">
        <v>13695</v>
      </c>
      <c r="C731" t="s">
        <v>74</v>
      </c>
      <c r="D731" t="s">
        <v>74</v>
      </c>
      <c r="E731" t="s">
        <v>74</v>
      </c>
      <c r="F731" t="s">
        <v>13696</v>
      </c>
      <c r="G731" t="s">
        <v>74</v>
      </c>
      <c r="H731" t="s">
        <v>74</v>
      </c>
      <c r="I731" t="s">
        <v>13697</v>
      </c>
      <c r="J731" t="s">
        <v>6650</v>
      </c>
      <c r="K731" t="s">
        <v>74</v>
      </c>
      <c r="L731" t="s">
        <v>74</v>
      </c>
      <c r="M731" t="s">
        <v>200</v>
      </c>
      <c r="N731" t="s">
        <v>79</v>
      </c>
      <c r="O731" t="s">
        <v>74</v>
      </c>
      <c r="P731" t="s">
        <v>74</v>
      </c>
      <c r="Q731" t="s">
        <v>74</v>
      </c>
      <c r="R731" t="s">
        <v>74</v>
      </c>
      <c r="S731" t="s">
        <v>74</v>
      </c>
      <c r="T731" t="s">
        <v>13698</v>
      </c>
      <c r="U731" t="s">
        <v>13699</v>
      </c>
      <c r="V731" t="s">
        <v>13700</v>
      </c>
      <c r="W731" t="s">
        <v>13701</v>
      </c>
      <c r="X731" t="s">
        <v>13702</v>
      </c>
      <c r="Y731" t="s">
        <v>13703</v>
      </c>
      <c r="Z731" t="s">
        <v>13704</v>
      </c>
      <c r="AA731" t="s">
        <v>13705</v>
      </c>
      <c r="AB731" t="s">
        <v>13706</v>
      </c>
      <c r="AC731" t="s">
        <v>13707</v>
      </c>
      <c r="AD731" t="s">
        <v>13708</v>
      </c>
      <c r="AE731" t="s">
        <v>13709</v>
      </c>
      <c r="AF731" t="s">
        <v>74</v>
      </c>
      <c r="AG731">
        <v>49</v>
      </c>
      <c r="AH731">
        <v>18</v>
      </c>
      <c r="AI731">
        <v>19</v>
      </c>
      <c r="AJ731">
        <v>3</v>
      </c>
      <c r="AK731">
        <v>24</v>
      </c>
      <c r="AL731" t="s">
        <v>6662</v>
      </c>
      <c r="AM731" t="s">
        <v>6663</v>
      </c>
      <c r="AN731" t="s">
        <v>6664</v>
      </c>
      <c r="AO731" t="s">
        <v>6665</v>
      </c>
      <c r="AP731" t="s">
        <v>6666</v>
      </c>
      <c r="AQ731" t="s">
        <v>74</v>
      </c>
      <c r="AR731" t="s">
        <v>6667</v>
      </c>
      <c r="AS731" t="s">
        <v>6668</v>
      </c>
      <c r="AT731" t="s">
        <v>12574</v>
      </c>
      <c r="AU731">
        <v>2015</v>
      </c>
      <c r="AV731">
        <v>28</v>
      </c>
      <c r="AW731">
        <v>23</v>
      </c>
      <c r="AX731" t="s">
        <v>74</v>
      </c>
      <c r="AY731" t="s">
        <v>74</v>
      </c>
      <c r="AZ731" t="s">
        <v>74</v>
      </c>
      <c r="BA731" t="s">
        <v>74</v>
      </c>
      <c r="BB731">
        <v>9250</v>
      </c>
      <c r="BC731">
        <v>9257</v>
      </c>
      <c r="BD731" t="s">
        <v>74</v>
      </c>
      <c r="BE731" t="s">
        <v>13710</v>
      </c>
      <c r="BF731" t="str">
        <f>HYPERLINK("http://dx.doi.org/10.1175/JCLI-D-15-0263.1","http://dx.doi.org/10.1175/JCLI-D-15-0263.1")</f>
        <v>http://dx.doi.org/10.1175/JCLI-D-15-0263.1</v>
      </c>
      <c r="BG731" t="s">
        <v>74</v>
      </c>
      <c r="BH731" t="s">
        <v>74</v>
      </c>
      <c r="BI731">
        <v>8</v>
      </c>
      <c r="BJ731" t="s">
        <v>1721</v>
      </c>
      <c r="BK731" t="s">
        <v>264</v>
      </c>
      <c r="BL731" t="s">
        <v>1721</v>
      </c>
      <c r="BM731" t="s">
        <v>13677</v>
      </c>
      <c r="BN731" t="s">
        <v>74</v>
      </c>
      <c r="BO731" t="s">
        <v>486</v>
      </c>
      <c r="BP731" t="s">
        <v>74</v>
      </c>
      <c r="BQ731" t="s">
        <v>74</v>
      </c>
      <c r="BR731" t="s">
        <v>100</v>
      </c>
      <c r="BS731" t="s">
        <v>13711</v>
      </c>
      <c r="BT731" t="str">
        <f>HYPERLINK("https%3A%2F%2Fwww.webofscience.com%2Fwos%2Fwoscc%2Ffull-record%2FWOS:000365860500012","View Full Record in Web of Science")</f>
        <v>View Full Record in Web of Science</v>
      </c>
    </row>
    <row r="732" spans="1:72" x14ac:dyDescent="0.15">
      <c r="A732" t="s">
        <v>72</v>
      </c>
      <c r="B732" t="s">
        <v>13712</v>
      </c>
      <c r="C732" t="s">
        <v>74</v>
      </c>
      <c r="D732" t="s">
        <v>74</v>
      </c>
      <c r="E732" t="s">
        <v>74</v>
      </c>
      <c r="F732" t="s">
        <v>13713</v>
      </c>
      <c r="G732" t="s">
        <v>74</v>
      </c>
      <c r="H732" t="s">
        <v>74</v>
      </c>
      <c r="I732" t="s">
        <v>13714</v>
      </c>
      <c r="J732" t="s">
        <v>6650</v>
      </c>
      <c r="K732" t="s">
        <v>74</v>
      </c>
      <c r="L732" t="s">
        <v>74</v>
      </c>
      <c r="M732" t="s">
        <v>200</v>
      </c>
      <c r="N732" t="s">
        <v>79</v>
      </c>
      <c r="O732" t="s">
        <v>74</v>
      </c>
      <c r="P732" t="s">
        <v>74</v>
      </c>
      <c r="Q732" t="s">
        <v>74</v>
      </c>
      <c r="R732" t="s">
        <v>74</v>
      </c>
      <c r="S732" t="s">
        <v>74</v>
      </c>
      <c r="T732" t="s">
        <v>13715</v>
      </c>
      <c r="U732" t="s">
        <v>13716</v>
      </c>
      <c r="V732" t="s">
        <v>13717</v>
      </c>
      <c r="W732" t="s">
        <v>13718</v>
      </c>
      <c r="X732" t="s">
        <v>13719</v>
      </c>
      <c r="Y732" t="s">
        <v>13720</v>
      </c>
      <c r="Z732" t="s">
        <v>13721</v>
      </c>
      <c r="AA732" t="s">
        <v>13722</v>
      </c>
      <c r="AB732" t="s">
        <v>13723</v>
      </c>
      <c r="AC732" t="s">
        <v>13724</v>
      </c>
      <c r="AD732" t="s">
        <v>13725</v>
      </c>
      <c r="AE732" t="s">
        <v>13726</v>
      </c>
      <c r="AF732" t="s">
        <v>74</v>
      </c>
      <c r="AG732">
        <v>65</v>
      </c>
      <c r="AH732">
        <v>35</v>
      </c>
      <c r="AI732">
        <v>36</v>
      </c>
      <c r="AJ732">
        <v>2</v>
      </c>
      <c r="AK732">
        <v>20</v>
      </c>
      <c r="AL732" t="s">
        <v>6662</v>
      </c>
      <c r="AM732" t="s">
        <v>6663</v>
      </c>
      <c r="AN732" t="s">
        <v>6664</v>
      </c>
      <c r="AO732" t="s">
        <v>6665</v>
      </c>
      <c r="AP732" t="s">
        <v>6666</v>
      </c>
      <c r="AQ732" t="s">
        <v>74</v>
      </c>
      <c r="AR732" t="s">
        <v>6667</v>
      </c>
      <c r="AS732" t="s">
        <v>6668</v>
      </c>
      <c r="AT732" t="s">
        <v>12574</v>
      </c>
      <c r="AU732">
        <v>2015</v>
      </c>
      <c r="AV732">
        <v>28</v>
      </c>
      <c r="AW732">
        <v>23</v>
      </c>
      <c r="AX732" t="s">
        <v>74</v>
      </c>
      <c r="AY732" t="s">
        <v>74</v>
      </c>
      <c r="AZ732" t="s">
        <v>74</v>
      </c>
      <c r="BA732" t="s">
        <v>74</v>
      </c>
      <c r="BB732">
        <v>9350</v>
      </c>
      <c r="BC732">
        <v>9372</v>
      </c>
      <c r="BD732" t="s">
        <v>74</v>
      </c>
      <c r="BE732" t="s">
        <v>13727</v>
      </c>
      <c r="BF732" t="str">
        <f>HYPERLINK("http://dx.doi.org/10.1175/JCLI-D-15-0090.1","http://dx.doi.org/10.1175/JCLI-D-15-0090.1")</f>
        <v>http://dx.doi.org/10.1175/JCLI-D-15-0090.1</v>
      </c>
      <c r="BG732" t="s">
        <v>74</v>
      </c>
      <c r="BH732" t="s">
        <v>74</v>
      </c>
      <c r="BI732">
        <v>23</v>
      </c>
      <c r="BJ732" t="s">
        <v>1721</v>
      </c>
      <c r="BK732" t="s">
        <v>264</v>
      </c>
      <c r="BL732" t="s">
        <v>1721</v>
      </c>
      <c r="BM732" t="s">
        <v>13677</v>
      </c>
      <c r="BN732" t="s">
        <v>74</v>
      </c>
      <c r="BO732" t="s">
        <v>5581</v>
      </c>
      <c r="BP732" t="s">
        <v>74</v>
      </c>
      <c r="BQ732" t="s">
        <v>74</v>
      </c>
      <c r="BR732" t="s">
        <v>100</v>
      </c>
      <c r="BS732" t="s">
        <v>13728</v>
      </c>
      <c r="BT732" t="str">
        <f>HYPERLINK("https%3A%2F%2Fwww.webofscience.com%2Fwos%2Fwoscc%2Ffull-record%2FWOS:000365860500018","View Full Record in Web of Science")</f>
        <v>View Full Record in Web of Science</v>
      </c>
    </row>
    <row r="733" spans="1:72" x14ac:dyDescent="0.15">
      <c r="A733" t="s">
        <v>72</v>
      </c>
      <c r="B733" t="s">
        <v>13729</v>
      </c>
      <c r="C733" t="s">
        <v>74</v>
      </c>
      <c r="D733" t="s">
        <v>74</v>
      </c>
      <c r="E733" t="s">
        <v>74</v>
      </c>
      <c r="F733" t="s">
        <v>13730</v>
      </c>
      <c r="G733" t="s">
        <v>74</v>
      </c>
      <c r="H733" t="s">
        <v>74</v>
      </c>
      <c r="I733" t="s">
        <v>13731</v>
      </c>
      <c r="J733" t="s">
        <v>6650</v>
      </c>
      <c r="K733" t="s">
        <v>74</v>
      </c>
      <c r="L733" t="s">
        <v>74</v>
      </c>
      <c r="M733" t="s">
        <v>200</v>
      </c>
      <c r="N733" t="s">
        <v>79</v>
      </c>
      <c r="O733" t="s">
        <v>74</v>
      </c>
      <c r="P733" t="s">
        <v>74</v>
      </c>
      <c r="Q733" t="s">
        <v>74</v>
      </c>
      <c r="R733" t="s">
        <v>74</v>
      </c>
      <c r="S733" t="s">
        <v>74</v>
      </c>
      <c r="T733" t="s">
        <v>13732</v>
      </c>
      <c r="U733" t="s">
        <v>13733</v>
      </c>
      <c r="V733" t="s">
        <v>13734</v>
      </c>
      <c r="W733" t="s">
        <v>13735</v>
      </c>
      <c r="X733" t="s">
        <v>13736</v>
      </c>
      <c r="Y733" t="s">
        <v>13737</v>
      </c>
      <c r="Z733" t="s">
        <v>13738</v>
      </c>
      <c r="AA733" t="s">
        <v>13739</v>
      </c>
      <c r="AB733" t="s">
        <v>13740</v>
      </c>
      <c r="AC733" t="s">
        <v>13741</v>
      </c>
      <c r="AD733" t="s">
        <v>13742</v>
      </c>
      <c r="AE733" t="s">
        <v>13743</v>
      </c>
      <c r="AF733" t="s">
        <v>74</v>
      </c>
      <c r="AG733">
        <v>61</v>
      </c>
      <c r="AH733">
        <v>69</v>
      </c>
      <c r="AI733">
        <v>77</v>
      </c>
      <c r="AJ733">
        <v>6</v>
      </c>
      <c r="AK733">
        <v>58</v>
      </c>
      <c r="AL733" t="s">
        <v>6662</v>
      </c>
      <c r="AM733" t="s">
        <v>6663</v>
      </c>
      <c r="AN733" t="s">
        <v>6664</v>
      </c>
      <c r="AO733" t="s">
        <v>6665</v>
      </c>
      <c r="AP733" t="s">
        <v>6666</v>
      </c>
      <c r="AQ733" t="s">
        <v>74</v>
      </c>
      <c r="AR733" t="s">
        <v>6667</v>
      </c>
      <c r="AS733" t="s">
        <v>6668</v>
      </c>
      <c r="AT733" t="s">
        <v>12574</v>
      </c>
      <c r="AU733">
        <v>2015</v>
      </c>
      <c r="AV733">
        <v>28</v>
      </c>
      <c r="AW733">
        <v>23</v>
      </c>
      <c r="AX733" t="s">
        <v>74</v>
      </c>
      <c r="AY733" t="s">
        <v>74</v>
      </c>
      <c r="AZ733" t="s">
        <v>74</v>
      </c>
      <c r="BA733" t="s">
        <v>74</v>
      </c>
      <c r="BB733">
        <v>9393</v>
      </c>
      <c r="BC733">
        <v>9408</v>
      </c>
      <c r="BD733" t="s">
        <v>74</v>
      </c>
      <c r="BE733" t="s">
        <v>13744</v>
      </c>
      <c r="BF733" t="str">
        <f>HYPERLINK("http://dx.doi.org/10.1175/JCLI-D-15-0335.1","http://dx.doi.org/10.1175/JCLI-D-15-0335.1")</f>
        <v>http://dx.doi.org/10.1175/JCLI-D-15-0335.1</v>
      </c>
      <c r="BG733" t="s">
        <v>74</v>
      </c>
      <c r="BH733" t="s">
        <v>74</v>
      </c>
      <c r="BI733">
        <v>16</v>
      </c>
      <c r="BJ733" t="s">
        <v>1721</v>
      </c>
      <c r="BK733" t="s">
        <v>264</v>
      </c>
      <c r="BL733" t="s">
        <v>1721</v>
      </c>
      <c r="BM733" t="s">
        <v>13677</v>
      </c>
      <c r="BN733" t="s">
        <v>74</v>
      </c>
      <c r="BO733" t="s">
        <v>7618</v>
      </c>
      <c r="BP733" t="s">
        <v>74</v>
      </c>
      <c r="BQ733" t="s">
        <v>74</v>
      </c>
      <c r="BR733" t="s">
        <v>100</v>
      </c>
      <c r="BS733" t="s">
        <v>13745</v>
      </c>
      <c r="BT733" t="str">
        <f>HYPERLINK("https%3A%2F%2Fwww.webofscience.com%2Fwos%2Fwoscc%2Ffull-record%2FWOS:000365860500020","View Full Record in Web of Science")</f>
        <v>View Full Record in Web of Science</v>
      </c>
    </row>
    <row r="734" spans="1:72" x14ac:dyDescent="0.15">
      <c r="A734" t="s">
        <v>72</v>
      </c>
      <c r="B734" t="s">
        <v>13746</v>
      </c>
      <c r="C734" t="s">
        <v>74</v>
      </c>
      <c r="D734" t="s">
        <v>74</v>
      </c>
      <c r="E734" t="s">
        <v>74</v>
      </c>
      <c r="F734" t="s">
        <v>13747</v>
      </c>
      <c r="G734" t="s">
        <v>74</v>
      </c>
      <c r="H734" t="s">
        <v>74</v>
      </c>
      <c r="I734" t="s">
        <v>13748</v>
      </c>
      <c r="J734" t="s">
        <v>13749</v>
      </c>
      <c r="K734" t="s">
        <v>74</v>
      </c>
      <c r="L734" t="s">
        <v>74</v>
      </c>
      <c r="M734" t="s">
        <v>200</v>
      </c>
      <c r="N734" t="s">
        <v>79</v>
      </c>
      <c r="O734" t="s">
        <v>74</v>
      </c>
      <c r="P734" t="s">
        <v>74</v>
      </c>
      <c r="Q734" t="s">
        <v>74</v>
      </c>
      <c r="R734" t="s">
        <v>74</v>
      </c>
      <c r="S734" t="s">
        <v>74</v>
      </c>
      <c r="T734" t="s">
        <v>13750</v>
      </c>
      <c r="U734" t="s">
        <v>13751</v>
      </c>
      <c r="V734" t="s">
        <v>13752</v>
      </c>
      <c r="W734" t="s">
        <v>13753</v>
      </c>
      <c r="X734" t="s">
        <v>13754</v>
      </c>
      <c r="Y734" t="s">
        <v>13755</v>
      </c>
      <c r="Z734" t="s">
        <v>13756</v>
      </c>
      <c r="AA734" t="s">
        <v>13757</v>
      </c>
      <c r="AB734" t="s">
        <v>13758</v>
      </c>
      <c r="AC734" t="s">
        <v>13759</v>
      </c>
      <c r="AD734" t="s">
        <v>13760</v>
      </c>
      <c r="AE734" t="s">
        <v>13761</v>
      </c>
      <c r="AF734" t="s">
        <v>74</v>
      </c>
      <c r="AG734">
        <v>86</v>
      </c>
      <c r="AH734">
        <v>11</v>
      </c>
      <c r="AI734">
        <v>12</v>
      </c>
      <c r="AJ734">
        <v>2</v>
      </c>
      <c r="AK734">
        <v>20</v>
      </c>
      <c r="AL734" t="s">
        <v>6373</v>
      </c>
      <c r="AM734" t="s">
        <v>6374</v>
      </c>
      <c r="AN734" t="s">
        <v>6375</v>
      </c>
      <c r="AO734" t="s">
        <v>13762</v>
      </c>
      <c r="AP734" t="s">
        <v>13763</v>
      </c>
      <c r="AQ734" t="s">
        <v>74</v>
      </c>
      <c r="AR734" t="s">
        <v>13764</v>
      </c>
      <c r="AS734" t="s">
        <v>13765</v>
      </c>
      <c r="AT734" t="s">
        <v>12574</v>
      </c>
      <c r="AU734">
        <v>2015</v>
      </c>
      <c r="AV734">
        <v>45</v>
      </c>
      <c r="AW734">
        <v>4</v>
      </c>
      <c r="AX734" t="s">
        <v>74</v>
      </c>
      <c r="AY734" t="s">
        <v>74</v>
      </c>
      <c r="AZ734" t="s">
        <v>74</v>
      </c>
      <c r="BA734" t="s">
        <v>74</v>
      </c>
      <c r="BB734">
        <v>701</v>
      </c>
      <c r="BC734">
        <v>709</v>
      </c>
      <c r="BD734" t="s">
        <v>74</v>
      </c>
      <c r="BE734" t="s">
        <v>13766</v>
      </c>
      <c r="BF734" t="str">
        <f>HYPERLINK("http://dx.doi.org/10.1007/s12526-014-0272-x","http://dx.doi.org/10.1007/s12526-014-0272-x")</f>
        <v>http://dx.doi.org/10.1007/s12526-014-0272-x</v>
      </c>
      <c r="BG734" t="s">
        <v>74</v>
      </c>
      <c r="BH734" t="s">
        <v>74</v>
      </c>
      <c r="BI734">
        <v>9</v>
      </c>
      <c r="BJ734" t="s">
        <v>384</v>
      </c>
      <c r="BK734" t="s">
        <v>264</v>
      </c>
      <c r="BL734" t="s">
        <v>385</v>
      </c>
      <c r="BM734" t="s">
        <v>13767</v>
      </c>
      <c r="BN734" t="s">
        <v>74</v>
      </c>
      <c r="BO734" t="s">
        <v>74</v>
      </c>
      <c r="BP734" t="s">
        <v>74</v>
      </c>
      <c r="BQ734" t="s">
        <v>74</v>
      </c>
      <c r="BR734" t="s">
        <v>100</v>
      </c>
      <c r="BS734" t="s">
        <v>13768</v>
      </c>
      <c r="BT734" t="str">
        <f>HYPERLINK("https%3A%2F%2Fwww.webofscience.com%2Fwos%2Fwoscc%2Ffull-record%2FWOS:000365873600025","View Full Record in Web of Science")</f>
        <v>View Full Record in Web of Science</v>
      </c>
    </row>
    <row r="735" spans="1:72" x14ac:dyDescent="0.15">
      <c r="A735" t="s">
        <v>72</v>
      </c>
      <c r="B735" t="s">
        <v>13769</v>
      </c>
      <c r="C735" t="s">
        <v>74</v>
      </c>
      <c r="D735" t="s">
        <v>74</v>
      </c>
      <c r="E735" t="s">
        <v>74</v>
      </c>
      <c r="F735" t="s">
        <v>13770</v>
      </c>
      <c r="G735" t="s">
        <v>74</v>
      </c>
      <c r="H735" t="s">
        <v>74</v>
      </c>
      <c r="I735" t="s">
        <v>13771</v>
      </c>
      <c r="J735" t="s">
        <v>13749</v>
      </c>
      <c r="K735" t="s">
        <v>74</v>
      </c>
      <c r="L735" t="s">
        <v>74</v>
      </c>
      <c r="M735" t="s">
        <v>200</v>
      </c>
      <c r="N735" t="s">
        <v>79</v>
      </c>
      <c r="O735" t="s">
        <v>74</v>
      </c>
      <c r="P735" t="s">
        <v>74</v>
      </c>
      <c r="Q735" t="s">
        <v>74</v>
      </c>
      <c r="R735" t="s">
        <v>74</v>
      </c>
      <c r="S735" t="s">
        <v>74</v>
      </c>
      <c r="T735" t="s">
        <v>13772</v>
      </c>
      <c r="U735" t="s">
        <v>13773</v>
      </c>
      <c r="V735" t="s">
        <v>13774</v>
      </c>
      <c r="W735" t="s">
        <v>13775</v>
      </c>
      <c r="X735" t="s">
        <v>13776</v>
      </c>
      <c r="Y735" t="s">
        <v>13777</v>
      </c>
      <c r="Z735" t="s">
        <v>10334</v>
      </c>
      <c r="AA735" t="s">
        <v>13778</v>
      </c>
      <c r="AB735" t="s">
        <v>13779</v>
      </c>
      <c r="AC735" t="s">
        <v>13780</v>
      </c>
      <c r="AD735" t="s">
        <v>13781</v>
      </c>
      <c r="AE735" t="s">
        <v>13782</v>
      </c>
      <c r="AF735" t="s">
        <v>74</v>
      </c>
      <c r="AG735">
        <v>23</v>
      </c>
      <c r="AH735">
        <v>4</v>
      </c>
      <c r="AI735">
        <v>5</v>
      </c>
      <c r="AJ735">
        <v>2</v>
      </c>
      <c r="AK735">
        <v>13</v>
      </c>
      <c r="AL735" t="s">
        <v>6373</v>
      </c>
      <c r="AM735" t="s">
        <v>6374</v>
      </c>
      <c r="AN735" t="s">
        <v>6375</v>
      </c>
      <c r="AO735" t="s">
        <v>13762</v>
      </c>
      <c r="AP735" t="s">
        <v>13763</v>
      </c>
      <c r="AQ735" t="s">
        <v>74</v>
      </c>
      <c r="AR735" t="s">
        <v>13764</v>
      </c>
      <c r="AS735" t="s">
        <v>13765</v>
      </c>
      <c r="AT735" t="s">
        <v>12574</v>
      </c>
      <c r="AU735">
        <v>2015</v>
      </c>
      <c r="AV735">
        <v>45</v>
      </c>
      <c r="AW735">
        <v>4</v>
      </c>
      <c r="AX735" t="s">
        <v>74</v>
      </c>
      <c r="AY735" t="s">
        <v>74</v>
      </c>
      <c r="AZ735" t="s">
        <v>74</v>
      </c>
      <c r="BA735" t="s">
        <v>74</v>
      </c>
      <c r="BB735">
        <v>873</v>
      </c>
      <c r="BC735">
        <v>876</v>
      </c>
      <c r="BD735" t="s">
        <v>74</v>
      </c>
      <c r="BE735" t="s">
        <v>13783</v>
      </c>
      <c r="BF735" t="str">
        <f>HYPERLINK("http://dx.doi.org/10.1007/s12526-014-0296-2","http://dx.doi.org/10.1007/s12526-014-0296-2")</f>
        <v>http://dx.doi.org/10.1007/s12526-014-0296-2</v>
      </c>
      <c r="BG735" t="s">
        <v>74</v>
      </c>
      <c r="BH735" t="s">
        <v>74</v>
      </c>
      <c r="BI735">
        <v>4</v>
      </c>
      <c r="BJ735" t="s">
        <v>384</v>
      </c>
      <c r="BK735" t="s">
        <v>264</v>
      </c>
      <c r="BL735" t="s">
        <v>385</v>
      </c>
      <c r="BM735" t="s">
        <v>13767</v>
      </c>
      <c r="BN735" t="s">
        <v>74</v>
      </c>
      <c r="BO735" t="s">
        <v>403</v>
      </c>
      <c r="BP735" t="s">
        <v>74</v>
      </c>
      <c r="BQ735" t="s">
        <v>74</v>
      </c>
      <c r="BR735" t="s">
        <v>100</v>
      </c>
      <c r="BS735" t="s">
        <v>13784</v>
      </c>
      <c r="BT735" t="str">
        <f>HYPERLINK("https%3A%2F%2Fwww.webofscience.com%2Fwos%2Fwoscc%2Ffull-record%2FWOS:000365873600039","View Full Record in Web of Science")</f>
        <v>View Full Record in Web of Science</v>
      </c>
    </row>
    <row r="736" spans="1:72" x14ac:dyDescent="0.15">
      <c r="A736" t="s">
        <v>72</v>
      </c>
      <c r="B736" t="s">
        <v>13785</v>
      </c>
      <c r="C736" t="s">
        <v>74</v>
      </c>
      <c r="D736" t="s">
        <v>74</v>
      </c>
      <c r="E736" t="s">
        <v>74</v>
      </c>
      <c r="F736" t="s">
        <v>13786</v>
      </c>
      <c r="G736" t="s">
        <v>74</v>
      </c>
      <c r="H736" t="s">
        <v>74</v>
      </c>
      <c r="I736" t="s">
        <v>13787</v>
      </c>
      <c r="J736" t="s">
        <v>13788</v>
      </c>
      <c r="K736" t="s">
        <v>74</v>
      </c>
      <c r="L736" t="s">
        <v>74</v>
      </c>
      <c r="M736" t="s">
        <v>200</v>
      </c>
      <c r="N736" t="s">
        <v>13789</v>
      </c>
      <c r="O736" t="s">
        <v>74</v>
      </c>
      <c r="P736" t="s">
        <v>74</v>
      </c>
      <c r="Q736" t="s">
        <v>74</v>
      </c>
      <c r="R736" t="s">
        <v>74</v>
      </c>
      <c r="S736" t="s">
        <v>74</v>
      </c>
      <c r="T736" t="s">
        <v>74</v>
      </c>
      <c r="U736" t="s">
        <v>74</v>
      </c>
      <c r="V736" t="s">
        <v>74</v>
      </c>
      <c r="W736" t="s">
        <v>74</v>
      </c>
      <c r="X736" t="s">
        <v>74</v>
      </c>
      <c r="Y736" t="s">
        <v>74</v>
      </c>
      <c r="Z736" t="s">
        <v>74</v>
      </c>
      <c r="AA736" t="s">
        <v>74</v>
      </c>
      <c r="AB736" t="s">
        <v>74</v>
      </c>
      <c r="AC736" t="s">
        <v>74</v>
      </c>
      <c r="AD736" t="s">
        <v>74</v>
      </c>
      <c r="AE736" t="s">
        <v>74</v>
      </c>
      <c r="AF736" t="s">
        <v>74</v>
      </c>
      <c r="AG736">
        <v>1</v>
      </c>
      <c r="AH736">
        <v>0</v>
      </c>
      <c r="AI736">
        <v>1</v>
      </c>
      <c r="AJ736">
        <v>1</v>
      </c>
      <c r="AK736">
        <v>17</v>
      </c>
      <c r="AL736" t="s">
        <v>7256</v>
      </c>
      <c r="AM736" t="s">
        <v>2100</v>
      </c>
      <c r="AN736" t="s">
        <v>7257</v>
      </c>
      <c r="AO736" t="s">
        <v>13790</v>
      </c>
      <c r="AP736" t="s">
        <v>13791</v>
      </c>
      <c r="AQ736" t="s">
        <v>74</v>
      </c>
      <c r="AR736" t="s">
        <v>13792</v>
      </c>
      <c r="AS736" t="s">
        <v>13793</v>
      </c>
      <c r="AT736" t="s">
        <v>12574</v>
      </c>
      <c r="AU736">
        <v>2015</v>
      </c>
      <c r="AV736">
        <v>13</v>
      </c>
      <c r="AW736">
        <v>12</v>
      </c>
      <c r="AX736" t="s">
        <v>74</v>
      </c>
      <c r="AY736" t="s">
        <v>74</v>
      </c>
      <c r="AZ736" t="s">
        <v>74</v>
      </c>
      <c r="BA736" t="s">
        <v>74</v>
      </c>
      <c r="BB736">
        <v>795</v>
      </c>
      <c r="BC736">
        <v>795</v>
      </c>
      <c r="BD736" t="s">
        <v>74</v>
      </c>
      <c r="BE736" t="s">
        <v>74</v>
      </c>
      <c r="BF736" t="s">
        <v>74</v>
      </c>
      <c r="BG736" t="s">
        <v>74</v>
      </c>
      <c r="BH736" t="s">
        <v>74</v>
      </c>
      <c r="BI736">
        <v>1</v>
      </c>
      <c r="BJ736" t="s">
        <v>5726</v>
      </c>
      <c r="BK736" t="s">
        <v>264</v>
      </c>
      <c r="BL736" t="s">
        <v>5726</v>
      </c>
      <c r="BM736" t="s">
        <v>13794</v>
      </c>
      <c r="BN736" t="s">
        <v>74</v>
      </c>
      <c r="BO736" t="s">
        <v>74</v>
      </c>
      <c r="BP736" t="s">
        <v>74</v>
      </c>
      <c r="BQ736" t="s">
        <v>74</v>
      </c>
      <c r="BR736" t="s">
        <v>100</v>
      </c>
      <c r="BS736" t="s">
        <v>13795</v>
      </c>
      <c r="BT736" t="str">
        <f>HYPERLINK("https%3A%2F%2Fwww.webofscience.com%2Fwos%2Fwoscc%2Ffull-record%2FWOS:000365839200009","View Full Record in Web of Science")</f>
        <v>View Full Record in Web of Science</v>
      </c>
    </row>
    <row r="737" spans="1:72" x14ac:dyDescent="0.15">
      <c r="A737" t="s">
        <v>72</v>
      </c>
      <c r="B737" t="s">
        <v>13796</v>
      </c>
      <c r="C737" t="s">
        <v>74</v>
      </c>
      <c r="D737" t="s">
        <v>74</v>
      </c>
      <c r="E737" t="s">
        <v>74</v>
      </c>
      <c r="F737" t="s">
        <v>13797</v>
      </c>
      <c r="G737" t="s">
        <v>74</v>
      </c>
      <c r="H737" t="s">
        <v>74</v>
      </c>
      <c r="I737" t="s">
        <v>13798</v>
      </c>
      <c r="J737" t="s">
        <v>6454</v>
      </c>
      <c r="K737" t="s">
        <v>74</v>
      </c>
      <c r="L737" t="s">
        <v>74</v>
      </c>
      <c r="M737" t="s">
        <v>200</v>
      </c>
      <c r="N737" t="s">
        <v>717</v>
      </c>
      <c r="O737" t="s">
        <v>74</v>
      </c>
      <c r="P737" t="s">
        <v>74</v>
      </c>
      <c r="Q737" t="s">
        <v>74</v>
      </c>
      <c r="R737" t="s">
        <v>74</v>
      </c>
      <c r="S737" t="s">
        <v>74</v>
      </c>
      <c r="T737" t="s">
        <v>13799</v>
      </c>
      <c r="U737" t="s">
        <v>13800</v>
      </c>
      <c r="V737" t="s">
        <v>13801</v>
      </c>
      <c r="W737" t="s">
        <v>13802</v>
      </c>
      <c r="X737" t="s">
        <v>13803</v>
      </c>
      <c r="Y737" t="s">
        <v>13804</v>
      </c>
      <c r="Z737" t="s">
        <v>13805</v>
      </c>
      <c r="AA737" t="s">
        <v>13806</v>
      </c>
      <c r="AB737" t="s">
        <v>13807</v>
      </c>
      <c r="AC737" t="s">
        <v>13808</v>
      </c>
      <c r="AD737" t="s">
        <v>13809</v>
      </c>
      <c r="AE737" t="s">
        <v>13810</v>
      </c>
      <c r="AF737" t="s">
        <v>74</v>
      </c>
      <c r="AG737">
        <v>126</v>
      </c>
      <c r="AH737">
        <v>22</v>
      </c>
      <c r="AI737">
        <v>25</v>
      </c>
      <c r="AJ737">
        <v>0</v>
      </c>
      <c r="AK737">
        <v>50</v>
      </c>
      <c r="AL737" t="s">
        <v>3560</v>
      </c>
      <c r="AM737" t="s">
        <v>289</v>
      </c>
      <c r="AN737" t="s">
        <v>5440</v>
      </c>
      <c r="AO737" t="s">
        <v>6470</v>
      </c>
      <c r="AP737" t="s">
        <v>6471</v>
      </c>
      <c r="AQ737" t="s">
        <v>74</v>
      </c>
      <c r="AR737" t="s">
        <v>6472</v>
      </c>
      <c r="AS737" t="s">
        <v>6473</v>
      </c>
      <c r="AT737" t="s">
        <v>12574</v>
      </c>
      <c r="AU737">
        <v>2015</v>
      </c>
      <c r="AV737">
        <v>38</v>
      </c>
      <c r="AW737">
        <v>12</v>
      </c>
      <c r="AX737" t="s">
        <v>74</v>
      </c>
      <c r="AY737" t="s">
        <v>74</v>
      </c>
      <c r="AZ737" t="s">
        <v>74</v>
      </c>
      <c r="BA737" t="s">
        <v>74</v>
      </c>
      <c r="BB737">
        <v>1949</v>
      </c>
      <c r="BC737">
        <v>1969</v>
      </c>
      <c r="BD737" t="s">
        <v>74</v>
      </c>
      <c r="BE737" t="s">
        <v>13811</v>
      </c>
      <c r="BF737" t="str">
        <f>HYPERLINK("http://dx.doi.org/10.1007/s00300-015-1789-6","http://dx.doi.org/10.1007/s00300-015-1789-6")</f>
        <v>http://dx.doi.org/10.1007/s00300-015-1789-6</v>
      </c>
      <c r="BG737" t="s">
        <v>74</v>
      </c>
      <c r="BH737" t="s">
        <v>74</v>
      </c>
      <c r="BI737">
        <v>21</v>
      </c>
      <c r="BJ737" t="s">
        <v>6475</v>
      </c>
      <c r="BK737" t="s">
        <v>264</v>
      </c>
      <c r="BL737" t="s">
        <v>6476</v>
      </c>
      <c r="BM737" t="s">
        <v>13812</v>
      </c>
      <c r="BN737" t="s">
        <v>74</v>
      </c>
      <c r="BO737" t="s">
        <v>74</v>
      </c>
      <c r="BP737" t="s">
        <v>74</v>
      </c>
      <c r="BQ737" t="s">
        <v>74</v>
      </c>
      <c r="BR737" t="s">
        <v>100</v>
      </c>
      <c r="BS737" t="s">
        <v>13813</v>
      </c>
      <c r="BT737" t="str">
        <f>HYPERLINK("https%3A%2F%2Fwww.webofscience.com%2Fwos%2Fwoscc%2Ffull-record%2FWOS:000365791300001","View Full Record in Web of Science")</f>
        <v>View Full Record in Web of Science</v>
      </c>
    </row>
    <row r="738" spans="1:72" x14ac:dyDescent="0.15">
      <c r="A738" t="s">
        <v>72</v>
      </c>
      <c r="B738" t="s">
        <v>13814</v>
      </c>
      <c r="C738" t="s">
        <v>74</v>
      </c>
      <c r="D738" t="s">
        <v>74</v>
      </c>
      <c r="E738" t="s">
        <v>74</v>
      </c>
      <c r="F738" t="s">
        <v>13815</v>
      </c>
      <c r="G738" t="s">
        <v>74</v>
      </c>
      <c r="H738" t="s">
        <v>74</v>
      </c>
      <c r="I738" t="s">
        <v>13816</v>
      </c>
      <c r="J738" t="s">
        <v>6454</v>
      </c>
      <c r="K738" t="s">
        <v>74</v>
      </c>
      <c r="L738" t="s">
        <v>74</v>
      </c>
      <c r="M738" t="s">
        <v>200</v>
      </c>
      <c r="N738" t="s">
        <v>79</v>
      </c>
      <c r="O738" t="s">
        <v>74</v>
      </c>
      <c r="P738" t="s">
        <v>74</v>
      </c>
      <c r="Q738" t="s">
        <v>74</v>
      </c>
      <c r="R738" t="s">
        <v>74</v>
      </c>
      <c r="S738" t="s">
        <v>74</v>
      </c>
      <c r="T738" t="s">
        <v>13817</v>
      </c>
      <c r="U738" t="s">
        <v>13818</v>
      </c>
      <c r="V738" t="s">
        <v>13819</v>
      </c>
      <c r="W738" t="s">
        <v>13820</v>
      </c>
      <c r="X738" t="s">
        <v>13821</v>
      </c>
      <c r="Y738" t="s">
        <v>13822</v>
      </c>
      <c r="Z738" t="s">
        <v>13823</v>
      </c>
      <c r="AA738" t="s">
        <v>13824</v>
      </c>
      <c r="AB738" t="s">
        <v>13825</v>
      </c>
      <c r="AC738" t="s">
        <v>13826</v>
      </c>
      <c r="AD738" t="s">
        <v>13827</v>
      </c>
      <c r="AE738" t="s">
        <v>13828</v>
      </c>
      <c r="AF738" t="s">
        <v>74</v>
      </c>
      <c r="AG738">
        <v>89</v>
      </c>
      <c r="AH738">
        <v>27</v>
      </c>
      <c r="AI738">
        <v>27</v>
      </c>
      <c r="AJ738">
        <v>0</v>
      </c>
      <c r="AK738">
        <v>30</v>
      </c>
      <c r="AL738" t="s">
        <v>3560</v>
      </c>
      <c r="AM738" t="s">
        <v>289</v>
      </c>
      <c r="AN738" t="s">
        <v>6124</v>
      </c>
      <c r="AO738" t="s">
        <v>6470</v>
      </c>
      <c r="AP738" t="s">
        <v>6471</v>
      </c>
      <c r="AQ738" t="s">
        <v>74</v>
      </c>
      <c r="AR738" t="s">
        <v>6472</v>
      </c>
      <c r="AS738" t="s">
        <v>6473</v>
      </c>
      <c r="AT738" t="s">
        <v>12574</v>
      </c>
      <c r="AU738">
        <v>2015</v>
      </c>
      <c r="AV738">
        <v>38</v>
      </c>
      <c r="AW738">
        <v>12</v>
      </c>
      <c r="AX738" t="s">
        <v>74</v>
      </c>
      <c r="AY738" t="s">
        <v>74</v>
      </c>
      <c r="AZ738" t="s">
        <v>74</v>
      </c>
      <c r="BA738" t="s">
        <v>74</v>
      </c>
      <c r="BB738">
        <v>2021</v>
      </c>
      <c r="BC738">
        <v>2034</v>
      </c>
      <c r="BD738" t="s">
        <v>74</v>
      </c>
      <c r="BE738" t="s">
        <v>13829</v>
      </c>
      <c r="BF738" t="str">
        <f>HYPERLINK("http://dx.doi.org/10.1007/s00300-015-1762-4","http://dx.doi.org/10.1007/s00300-015-1762-4")</f>
        <v>http://dx.doi.org/10.1007/s00300-015-1762-4</v>
      </c>
      <c r="BG738" t="s">
        <v>74</v>
      </c>
      <c r="BH738" t="s">
        <v>74</v>
      </c>
      <c r="BI738">
        <v>14</v>
      </c>
      <c r="BJ738" t="s">
        <v>6475</v>
      </c>
      <c r="BK738" t="s">
        <v>264</v>
      </c>
      <c r="BL738" t="s">
        <v>6476</v>
      </c>
      <c r="BM738" t="s">
        <v>13812</v>
      </c>
      <c r="BN738" t="s">
        <v>74</v>
      </c>
      <c r="BO738" t="s">
        <v>403</v>
      </c>
      <c r="BP738" t="s">
        <v>74</v>
      </c>
      <c r="BQ738" t="s">
        <v>74</v>
      </c>
      <c r="BR738" t="s">
        <v>100</v>
      </c>
      <c r="BS738" t="s">
        <v>13830</v>
      </c>
      <c r="BT738" t="str">
        <f>HYPERLINK("https%3A%2F%2Fwww.webofscience.com%2Fwos%2Fwoscc%2Ffull-record%2FWOS:000365791300006","View Full Record in Web of Science")</f>
        <v>View Full Record in Web of Science</v>
      </c>
    </row>
    <row r="739" spans="1:72" x14ac:dyDescent="0.15">
      <c r="A739" t="s">
        <v>72</v>
      </c>
      <c r="B739" t="s">
        <v>13831</v>
      </c>
      <c r="C739" t="s">
        <v>74</v>
      </c>
      <c r="D739" t="s">
        <v>74</v>
      </c>
      <c r="E739" t="s">
        <v>74</v>
      </c>
      <c r="F739" t="s">
        <v>13832</v>
      </c>
      <c r="G739" t="s">
        <v>74</v>
      </c>
      <c r="H739" t="s">
        <v>74</v>
      </c>
      <c r="I739" t="s">
        <v>13833</v>
      </c>
      <c r="J739" t="s">
        <v>6454</v>
      </c>
      <c r="K739" t="s">
        <v>74</v>
      </c>
      <c r="L739" t="s">
        <v>74</v>
      </c>
      <c r="M739" t="s">
        <v>200</v>
      </c>
      <c r="N739" t="s">
        <v>79</v>
      </c>
      <c r="O739" t="s">
        <v>74</v>
      </c>
      <c r="P739" t="s">
        <v>74</v>
      </c>
      <c r="Q739" t="s">
        <v>74</v>
      </c>
      <c r="R739" t="s">
        <v>74</v>
      </c>
      <c r="S739" t="s">
        <v>74</v>
      </c>
      <c r="T739" t="s">
        <v>13834</v>
      </c>
      <c r="U739" t="s">
        <v>13835</v>
      </c>
      <c r="V739" t="s">
        <v>13836</v>
      </c>
      <c r="W739" t="s">
        <v>13837</v>
      </c>
      <c r="X739" t="s">
        <v>13838</v>
      </c>
      <c r="Y739" t="s">
        <v>13839</v>
      </c>
      <c r="Z739" t="s">
        <v>13840</v>
      </c>
      <c r="AA739" t="s">
        <v>13841</v>
      </c>
      <c r="AB739" t="s">
        <v>13842</v>
      </c>
      <c r="AC739" t="s">
        <v>13843</v>
      </c>
      <c r="AD739" t="s">
        <v>13843</v>
      </c>
      <c r="AE739" t="s">
        <v>13844</v>
      </c>
      <c r="AF739" t="s">
        <v>74</v>
      </c>
      <c r="AG739">
        <v>33</v>
      </c>
      <c r="AH739">
        <v>4</v>
      </c>
      <c r="AI739">
        <v>4</v>
      </c>
      <c r="AJ739">
        <v>0</v>
      </c>
      <c r="AK739">
        <v>15</v>
      </c>
      <c r="AL739" t="s">
        <v>3560</v>
      </c>
      <c r="AM739" t="s">
        <v>289</v>
      </c>
      <c r="AN739" t="s">
        <v>5440</v>
      </c>
      <c r="AO739" t="s">
        <v>6470</v>
      </c>
      <c r="AP739" t="s">
        <v>6471</v>
      </c>
      <c r="AQ739" t="s">
        <v>74</v>
      </c>
      <c r="AR739" t="s">
        <v>6472</v>
      </c>
      <c r="AS739" t="s">
        <v>6473</v>
      </c>
      <c r="AT739" t="s">
        <v>12574</v>
      </c>
      <c r="AU739">
        <v>2015</v>
      </c>
      <c r="AV739">
        <v>38</v>
      </c>
      <c r="AW739">
        <v>12</v>
      </c>
      <c r="AX739" t="s">
        <v>74</v>
      </c>
      <c r="AY739" t="s">
        <v>74</v>
      </c>
      <c r="AZ739" t="s">
        <v>74</v>
      </c>
      <c r="BA739" t="s">
        <v>74</v>
      </c>
      <c r="BB739">
        <v>2035</v>
      </c>
      <c r="BC739">
        <v>2046</v>
      </c>
      <c r="BD739" t="s">
        <v>74</v>
      </c>
      <c r="BE739" t="s">
        <v>13845</v>
      </c>
      <c r="BF739" t="str">
        <f>HYPERLINK("http://dx.doi.org/10.1007/s00300-015-1763-3","http://dx.doi.org/10.1007/s00300-015-1763-3")</f>
        <v>http://dx.doi.org/10.1007/s00300-015-1763-3</v>
      </c>
      <c r="BG739" t="s">
        <v>74</v>
      </c>
      <c r="BH739" t="s">
        <v>74</v>
      </c>
      <c r="BI739">
        <v>12</v>
      </c>
      <c r="BJ739" t="s">
        <v>6475</v>
      </c>
      <c r="BK739" t="s">
        <v>264</v>
      </c>
      <c r="BL739" t="s">
        <v>6476</v>
      </c>
      <c r="BM739" t="s">
        <v>13812</v>
      </c>
      <c r="BN739" t="s">
        <v>74</v>
      </c>
      <c r="BO739" t="s">
        <v>74</v>
      </c>
      <c r="BP739" t="s">
        <v>74</v>
      </c>
      <c r="BQ739" t="s">
        <v>74</v>
      </c>
      <c r="BR739" t="s">
        <v>100</v>
      </c>
      <c r="BS739" t="s">
        <v>13846</v>
      </c>
      <c r="BT739" t="str">
        <f>HYPERLINK("https%3A%2F%2Fwww.webofscience.com%2Fwos%2Fwoscc%2Ffull-record%2FWOS:000365791300007","View Full Record in Web of Science")</f>
        <v>View Full Record in Web of Science</v>
      </c>
    </row>
    <row r="740" spans="1:72" x14ac:dyDescent="0.15">
      <c r="A740" t="s">
        <v>72</v>
      </c>
      <c r="B740" t="s">
        <v>13847</v>
      </c>
      <c r="C740" t="s">
        <v>74</v>
      </c>
      <c r="D740" t="s">
        <v>74</v>
      </c>
      <c r="E740" t="s">
        <v>74</v>
      </c>
      <c r="F740" t="s">
        <v>13848</v>
      </c>
      <c r="G740" t="s">
        <v>74</v>
      </c>
      <c r="H740" t="s">
        <v>74</v>
      </c>
      <c r="I740" t="s">
        <v>13849</v>
      </c>
      <c r="J740" t="s">
        <v>6454</v>
      </c>
      <c r="K740" t="s">
        <v>74</v>
      </c>
      <c r="L740" t="s">
        <v>74</v>
      </c>
      <c r="M740" t="s">
        <v>200</v>
      </c>
      <c r="N740" t="s">
        <v>79</v>
      </c>
      <c r="O740" t="s">
        <v>74</v>
      </c>
      <c r="P740" t="s">
        <v>74</v>
      </c>
      <c r="Q740" t="s">
        <v>74</v>
      </c>
      <c r="R740" t="s">
        <v>74</v>
      </c>
      <c r="S740" t="s">
        <v>74</v>
      </c>
      <c r="T740" t="s">
        <v>13850</v>
      </c>
      <c r="U740" t="s">
        <v>13851</v>
      </c>
      <c r="V740" t="s">
        <v>13852</v>
      </c>
      <c r="W740" t="s">
        <v>13853</v>
      </c>
      <c r="X740" t="s">
        <v>13854</v>
      </c>
      <c r="Y740" t="s">
        <v>13855</v>
      </c>
      <c r="Z740" t="s">
        <v>13856</v>
      </c>
      <c r="AA740" t="s">
        <v>13857</v>
      </c>
      <c r="AB740" t="s">
        <v>13858</v>
      </c>
      <c r="AC740" t="s">
        <v>13859</v>
      </c>
      <c r="AD740" t="s">
        <v>13860</v>
      </c>
      <c r="AE740" t="s">
        <v>13861</v>
      </c>
      <c r="AF740" t="s">
        <v>74</v>
      </c>
      <c r="AG740">
        <v>87</v>
      </c>
      <c r="AH740">
        <v>12</v>
      </c>
      <c r="AI740">
        <v>12</v>
      </c>
      <c r="AJ740">
        <v>0</v>
      </c>
      <c r="AK740">
        <v>16</v>
      </c>
      <c r="AL740" t="s">
        <v>3560</v>
      </c>
      <c r="AM740" t="s">
        <v>289</v>
      </c>
      <c r="AN740" t="s">
        <v>5440</v>
      </c>
      <c r="AO740" t="s">
        <v>6470</v>
      </c>
      <c r="AP740" t="s">
        <v>6471</v>
      </c>
      <c r="AQ740" t="s">
        <v>74</v>
      </c>
      <c r="AR740" t="s">
        <v>6472</v>
      </c>
      <c r="AS740" t="s">
        <v>6473</v>
      </c>
      <c r="AT740" t="s">
        <v>12574</v>
      </c>
      <c r="AU740">
        <v>2015</v>
      </c>
      <c r="AV740">
        <v>38</v>
      </c>
      <c r="AW740">
        <v>12</v>
      </c>
      <c r="AX740" t="s">
        <v>74</v>
      </c>
      <c r="AY740" t="s">
        <v>74</v>
      </c>
      <c r="AZ740" t="s">
        <v>74</v>
      </c>
      <c r="BA740" t="s">
        <v>74</v>
      </c>
      <c r="BB740">
        <v>2047</v>
      </c>
      <c r="BC740">
        <v>2058</v>
      </c>
      <c r="BD740" t="s">
        <v>74</v>
      </c>
      <c r="BE740" t="s">
        <v>13862</v>
      </c>
      <c r="BF740" t="str">
        <f>HYPERLINK("http://dx.doi.org/10.1007/s00300-015-1765-1","http://dx.doi.org/10.1007/s00300-015-1765-1")</f>
        <v>http://dx.doi.org/10.1007/s00300-015-1765-1</v>
      </c>
      <c r="BG740" t="s">
        <v>74</v>
      </c>
      <c r="BH740" t="s">
        <v>74</v>
      </c>
      <c r="BI740">
        <v>12</v>
      </c>
      <c r="BJ740" t="s">
        <v>6475</v>
      </c>
      <c r="BK740" t="s">
        <v>264</v>
      </c>
      <c r="BL740" t="s">
        <v>6476</v>
      </c>
      <c r="BM740" t="s">
        <v>13812</v>
      </c>
      <c r="BN740" t="s">
        <v>74</v>
      </c>
      <c r="BO740" t="s">
        <v>5581</v>
      </c>
      <c r="BP740" t="s">
        <v>74</v>
      </c>
      <c r="BQ740" t="s">
        <v>74</v>
      </c>
      <c r="BR740" t="s">
        <v>100</v>
      </c>
      <c r="BS740" t="s">
        <v>13863</v>
      </c>
      <c r="BT740" t="str">
        <f>HYPERLINK("https%3A%2F%2Fwww.webofscience.com%2Fwos%2Fwoscc%2Ffull-record%2FWOS:000365791300008","View Full Record in Web of Science")</f>
        <v>View Full Record in Web of Science</v>
      </c>
    </row>
    <row r="741" spans="1:72" x14ac:dyDescent="0.15">
      <c r="A741" t="s">
        <v>72</v>
      </c>
      <c r="B741" t="s">
        <v>13864</v>
      </c>
      <c r="C741" t="s">
        <v>74</v>
      </c>
      <c r="D741" t="s">
        <v>74</v>
      </c>
      <c r="E741" t="s">
        <v>74</v>
      </c>
      <c r="F741" t="s">
        <v>13865</v>
      </c>
      <c r="G741" t="s">
        <v>74</v>
      </c>
      <c r="H741" t="s">
        <v>74</v>
      </c>
      <c r="I741" t="s">
        <v>13866</v>
      </c>
      <c r="J741" t="s">
        <v>6454</v>
      </c>
      <c r="K741" t="s">
        <v>74</v>
      </c>
      <c r="L741" t="s">
        <v>74</v>
      </c>
      <c r="M741" t="s">
        <v>200</v>
      </c>
      <c r="N741" t="s">
        <v>79</v>
      </c>
      <c r="O741" t="s">
        <v>74</v>
      </c>
      <c r="P741" t="s">
        <v>74</v>
      </c>
      <c r="Q741" t="s">
        <v>74</v>
      </c>
      <c r="R741" t="s">
        <v>74</v>
      </c>
      <c r="S741" t="s">
        <v>74</v>
      </c>
      <c r="T741" t="s">
        <v>13867</v>
      </c>
      <c r="U741" t="s">
        <v>13868</v>
      </c>
      <c r="V741" t="s">
        <v>13869</v>
      </c>
      <c r="W741" t="s">
        <v>13870</v>
      </c>
      <c r="X741" t="s">
        <v>13871</v>
      </c>
      <c r="Y741" t="s">
        <v>13872</v>
      </c>
      <c r="Z741" t="s">
        <v>13873</v>
      </c>
      <c r="AA741" t="s">
        <v>74</v>
      </c>
      <c r="AB741" t="s">
        <v>13874</v>
      </c>
      <c r="AC741" t="s">
        <v>13875</v>
      </c>
      <c r="AD741" t="s">
        <v>13876</v>
      </c>
      <c r="AE741" t="s">
        <v>13877</v>
      </c>
      <c r="AF741" t="s">
        <v>74</v>
      </c>
      <c r="AG741">
        <v>69</v>
      </c>
      <c r="AH741">
        <v>12</v>
      </c>
      <c r="AI741">
        <v>13</v>
      </c>
      <c r="AJ741">
        <v>1</v>
      </c>
      <c r="AK741">
        <v>15</v>
      </c>
      <c r="AL741" t="s">
        <v>3560</v>
      </c>
      <c r="AM741" t="s">
        <v>289</v>
      </c>
      <c r="AN741" t="s">
        <v>6124</v>
      </c>
      <c r="AO741" t="s">
        <v>6470</v>
      </c>
      <c r="AP741" t="s">
        <v>6471</v>
      </c>
      <c r="AQ741" t="s">
        <v>74</v>
      </c>
      <c r="AR741" t="s">
        <v>6472</v>
      </c>
      <c r="AS741" t="s">
        <v>6473</v>
      </c>
      <c r="AT741" t="s">
        <v>12574</v>
      </c>
      <c r="AU741">
        <v>2015</v>
      </c>
      <c r="AV741">
        <v>38</v>
      </c>
      <c r="AW741">
        <v>12</v>
      </c>
      <c r="AX741" t="s">
        <v>74</v>
      </c>
      <c r="AY741" t="s">
        <v>74</v>
      </c>
      <c r="AZ741" t="s">
        <v>74</v>
      </c>
      <c r="BA741" t="s">
        <v>74</v>
      </c>
      <c r="BB741">
        <v>2097</v>
      </c>
      <c r="BC741">
        <v>2107</v>
      </c>
      <c r="BD741" t="s">
        <v>74</v>
      </c>
      <c r="BE741" t="s">
        <v>13878</v>
      </c>
      <c r="BF741" t="str">
        <f>HYPERLINK("http://dx.doi.org/10.1007/s00300-015-1770-4","http://dx.doi.org/10.1007/s00300-015-1770-4")</f>
        <v>http://dx.doi.org/10.1007/s00300-015-1770-4</v>
      </c>
      <c r="BG741" t="s">
        <v>74</v>
      </c>
      <c r="BH741" t="s">
        <v>74</v>
      </c>
      <c r="BI741">
        <v>11</v>
      </c>
      <c r="BJ741" t="s">
        <v>6475</v>
      </c>
      <c r="BK741" t="s">
        <v>264</v>
      </c>
      <c r="BL741" t="s">
        <v>6476</v>
      </c>
      <c r="BM741" t="s">
        <v>13812</v>
      </c>
      <c r="BN741" t="s">
        <v>74</v>
      </c>
      <c r="BO741" t="s">
        <v>8842</v>
      </c>
      <c r="BP741" t="s">
        <v>74</v>
      </c>
      <c r="BQ741" t="s">
        <v>74</v>
      </c>
      <c r="BR741" t="s">
        <v>100</v>
      </c>
      <c r="BS741" t="s">
        <v>13879</v>
      </c>
      <c r="BT741" t="str">
        <f>HYPERLINK("https%3A%2F%2Fwww.webofscience.com%2Fwos%2Fwoscc%2Ffull-record%2FWOS:000365791300012","View Full Record in Web of Science")</f>
        <v>View Full Record in Web of Science</v>
      </c>
    </row>
    <row r="742" spans="1:72" x14ac:dyDescent="0.15">
      <c r="A742" t="s">
        <v>72</v>
      </c>
      <c r="B742" t="s">
        <v>12104</v>
      </c>
      <c r="C742" t="s">
        <v>74</v>
      </c>
      <c r="D742" t="s">
        <v>74</v>
      </c>
      <c r="E742" t="s">
        <v>74</v>
      </c>
      <c r="F742" t="s">
        <v>12104</v>
      </c>
      <c r="G742" t="s">
        <v>74</v>
      </c>
      <c r="H742" t="s">
        <v>74</v>
      </c>
      <c r="I742" t="s">
        <v>13880</v>
      </c>
      <c r="J742" t="s">
        <v>13881</v>
      </c>
      <c r="K742" t="s">
        <v>74</v>
      </c>
      <c r="L742" t="s">
        <v>74</v>
      </c>
      <c r="M742" t="s">
        <v>200</v>
      </c>
      <c r="N742" t="s">
        <v>5662</v>
      </c>
      <c r="O742" t="s">
        <v>74</v>
      </c>
      <c r="P742" t="s">
        <v>74</v>
      </c>
      <c r="Q742" t="s">
        <v>74</v>
      </c>
      <c r="R742" t="s">
        <v>74</v>
      </c>
      <c r="S742" t="s">
        <v>74</v>
      </c>
      <c r="T742" t="s">
        <v>74</v>
      </c>
      <c r="U742" t="s">
        <v>74</v>
      </c>
      <c r="V742" t="s">
        <v>74</v>
      </c>
      <c r="W742" t="s">
        <v>74</v>
      </c>
      <c r="X742" t="s">
        <v>74</v>
      </c>
      <c r="Y742" t="s">
        <v>74</v>
      </c>
      <c r="Z742" t="s">
        <v>74</v>
      </c>
      <c r="AA742" t="s">
        <v>74</v>
      </c>
      <c r="AB742" t="s">
        <v>74</v>
      </c>
      <c r="AC742" t="s">
        <v>74</v>
      </c>
      <c r="AD742" t="s">
        <v>74</v>
      </c>
      <c r="AE742" t="s">
        <v>74</v>
      </c>
      <c r="AF742" t="s">
        <v>74</v>
      </c>
      <c r="AG742">
        <v>0</v>
      </c>
      <c r="AH742">
        <v>0</v>
      </c>
      <c r="AI742">
        <v>0</v>
      </c>
      <c r="AJ742">
        <v>0</v>
      </c>
      <c r="AK742">
        <v>0</v>
      </c>
      <c r="AL742" t="s">
        <v>13882</v>
      </c>
      <c r="AM742" t="s">
        <v>13883</v>
      </c>
      <c r="AN742" t="s">
        <v>13884</v>
      </c>
      <c r="AO742" t="s">
        <v>13885</v>
      </c>
      <c r="AP742" t="s">
        <v>74</v>
      </c>
      <c r="AQ742" t="s">
        <v>74</v>
      </c>
      <c r="AR742" t="s">
        <v>13881</v>
      </c>
      <c r="AS742" t="s">
        <v>13886</v>
      </c>
      <c r="AT742" t="s">
        <v>12574</v>
      </c>
      <c r="AU742">
        <v>2015</v>
      </c>
      <c r="AV742">
        <v>28</v>
      </c>
      <c r="AW742">
        <v>12</v>
      </c>
      <c r="AX742" t="s">
        <v>74</v>
      </c>
      <c r="AY742" t="s">
        <v>74</v>
      </c>
      <c r="AZ742" t="s">
        <v>74</v>
      </c>
      <c r="BA742" t="s">
        <v>74</v>
      </c>
      <c r="BB742">
        <v>962</v>
      </c>
      <c r="BC742">
        <v>962</v>
      </c>
      <c r="BD742" t="s">
        <v>74</v>
      </c>
      <c r="BE742" t="s">
        <v>74</v>
      </c>
      <c r="BF742" t="s">
        <v>74</v>
      </c>
      <c r="BG742" t="s">
        <v>74</v>
      </c>
      <c r="BH742" t="s">
        <v>74</v>
      </c>
      <c r="BI742">
        <v>1</v>
      </c>
      <c r="BJ742" t="s">
        <v>13887</v>
      </c>
      <c r="BK742" t="s">
        <v>1208</v>
      </c>
      <c r="BL742" t="s">
        <v>13888</v>
      </c>
      <c r="BM742" t="s">
        <v>13889</v>
      </c>
      <c r="BN742" t="s">
        <v>74</v>
      </c>
      <c r="BO742" t="s">
        <v>74</v>
      </c>
      <c r="BP742" t="s">
        <v>74</v>
      </c>
      <c r="BQ742" t="s">
        <v>74</v>
      </c>
      <c r="BR742" t="s">
        <v>100</v>
      </c>
      <c r="BS742" t="s">
        <v>13890</v>
      </c>
      <c r="BT742" t="str">
        <f>HYPERLINK("https%3A%2F%2Fwww.webofscience.com%2Fwos%2Fwoscc%2Ffull-record%2FWOS:000365381400016","View Full Record in Web of Science")</f>
        <v>View Full Record in Web of Science</v>
      </c>
    </row>
    <row r="743" spans="1:72" x14ac:dyDescent="0.15">
      <c r="A743" t="s">
        <v>72</v>
      </c>
      <c r="B743" t="s">
        <v>13891</v>
      </c>
      <c r="C743" t="s">
        <v>74</v>
      </c>
      <c r="D743" t="s">
        <v>74</v>
      </c>
      <c r="E743" t="s">
        <v>74</v>
      </c>
      <c r="F743" t="s">
        <v>13892</v>
      </c>
      <c r="G743" t="s">
        <v>74</v>
      </c>
      <c r="H743" t="s">
        <v>74</v>
      </c>
      <c r="I743" t="s">
        <v>13893</v>
      </c>
      <c r="J743" t="s">
        <v>13894</v>
      </c>
      <c r="K743" t="s">
        <v>74</v>
      </c>
      <c r="L743" t="s">
        <v>74</v>
      </c>
      <c r="M743" t="s">
        <v>200</v>
      </c>
      <c r="N743" t="s">
        <v>79</v>
      </c>
      <c r="O743" t="s">
        <v>74</v>
      </c>
      <c r="P743" t="s">
        <v>74</v>
      </c>
      <c r="Q743" t="s">
        <v>74</v>
      </c>
      <c r="R743" t="s">
        <v>74</v>
      </c>
      <c r="S743" t="s">
        <v>74</v>
      </c>
      <c r="T743" t="s">
        <v>13895</v>
      </c>
      <c r="U743" t="s">
        <v>74</v>
      </c>
      <c r="V743" t="s">
        <v>13896</v>
      </c>
      <c r="W743" t="s">
        <v>13897</v>
      </c>
      <c r="X743" t="s">
        <v>4512</v>
      </c>
      <c r="Y743" t="s">
        <v>13898</v>
      </c>
      <c r="Z743" t="s">
        <v>13899</v>
      </c>
      <c r="AA743" t="s">
        <v>13900</v>
      </c>
      <c r="AB743" t="s">
        <v>13901</v>
      </c>
      <c r="AC743" t="s">
        <v>74</v>
      </c>
      <c r="AD743" t="s">
        <v>74</v>
      </c>
      <c r="AE743" t="s">
        <v>74</v>
      </c>
      <c r="AF743" t="s">
        <v>74</v>
      </c>
      <c r="AG743">
        <v>1</v>
      </c>
      <c r="AH743">
        <v>3</v>
      </c>
      <c r="AI743">
        <v>8</v>
      </c>
      <c r="AJ743">
        <v>1</v>
      </c>
      <c r="AK743">
        <v>2</v>
      </c>
      <c r="AL743" t="s">
        <v>7137</v>
      </c>
      <c r="AM743" t="s">
        <v>209</v>
      </c>
      <c r="AN743" t="s">
        <v>7138</v>
      </c>
      <c r="AO743" t="s">
        <v>13902</v>
      </c>
      <c r="AP743" t="s">
        <v>13903</v>
      </c>
      <c r="AQ743" t="s">
        <v>74</v>
      </c>
      <c r="AR743" t="s">
        <v>13904</v>
      </c>
      <c r="AS743" t="s">
        <v>13905</v>
      </c>
      <c r="AT743" t="s">
        <v>12574</v>
      </c>
      <c r="AU743">
        <v>2015</v>
      </c>
      <c r="AV743">
        <v>9</v>
      </c>
      <c r="AW743">
        <v>4</v>
      </c>
      <c r="AX743" t="s">
        <v>74</v>
      </c>
      <c r="AY743" t="s">
        <v>74</v>
      </c>
      <c r="AZ743" t="s">
        <v>2540</v>
      </c>
      <c r="BA743" t="s">
        <v>74</v>
      </c>
      <c r="BB743">
        <v>338</v>
      </c>
      <c r="BC743">
        <v>344</v>
      </c>
      <c r="BD743" t="s">
        <v>74</v>
      </c>
      <c r="BE743" t="s">
        <v>13906</v>
      </c>
      <c r="BF743" t="str">
        <f>HYPERLINK("http://dx.doi.org/10.1016/j.polar.2015.08.004","http://dx.doi.org/10.1016/j.polar.2015.08.004")</f>
        <v>http://dx.doi.org/10.1016/j.polar.2015.08.004</v>
      </c>
      <c r="BG743" t="s">
        <v>74</v>
      </c>
      <c r="BH743" t="s">
        <v>74</v>
      </c>
      <c r="BI743">
        <v>7</v>
      </c>
      <c r="BJ743" t="s">
        <v>2839</v>
      </c>
      <c r="BK743" t="s">
        <v>264</v>
      </c>
      <c r="BL743" t="s">
        <v>2840</v>
      </c>
      <c r="BM743" t="s">
        <v>13907</v>
      </c>
      <c r="BN743" t="s">
        <v>74</v>
      </c>
      <c r="BO743" t="s">
        <v>5581</v>
      </c>
      <c r="BP743" t="s">
        <v>74</v>
      </c>
      <c r="BQ743" t="s">
        <v>74</v>
      </c>
      <c r="BR743" t="s">
        <v>100</v>
      </c>
      <c r="BS743" t="s">
        <v>13908</v>
      </c>
      <c r="BT743" t="str">
        <f>HYPERLINK("https%3A%2F%2Fwww.webofscience.com%2Fwos%2Fwoscc%2Ffull-record%2FWOS:000365384900002","View Full Record in Web of Science")</f>
        <v>View Full Record in Web of Science</v>
      </c>
    </row>
    <row r="744" spans="1:72" x14ac:dyDescent="0.15">
      <c r="A744" t="s">
        <v>72</v>
      </c>
      <c r="B744" t="s">
        <v>13909</v>
      </c>
      <c r="C744" t="s">
        <v>74</v>
      </c>
      <c r="D744" t="s">
        <v>74</v>
      </c>
      <c r="E744" t="s">
        <v>74</v>
      </c>
      <c r="F744" t="s">
        <v>13910</v>
      </c>
      <c r="G744" t="s">
        <v>74</v>
      </c>
      <c r="H744" t="s">
        <v>74</v>
      </c>
      <c r="I744" t="s">
        <v>13911</v>
      </c>
      <c r="J744" t="s">
        <v>13894</v>
      </c>
      <c r="K744" t="s">
        <v>74</v>
      </c>
      <c r="L744" t="s">
        <v>74</v>
      </c>
      <c r="M744" t="s">
        <v>200</v>
      </c>
      <c r="N744" t="s">
        <v>79</v>
      </c>
      <c r="O744" t="s">
        <v>74</v>
      </c>
      <c r="P744" t="s">
        <v>74</v>
      </c>
      <c r="Q744" t="s">
        <v>74</v>
      </c>
      <c r="R744" t="s">
        <v>74</v>
      </c>
      <c r="S744" t="s">
        <v>74</v>
      </c>
      <c r="T744" t="s">
        <v>13912</v>
      </c>
      <c r="U744" t="s">
        <v>13913</v>
      </c>
      <c r="V744" t="s">
        <v>13914</v>
      </c>
      <c r="W744" t="s">
        <v>13915</v>
      </c>
      <c r="X744" t="s">
        <v>13916</v>
      </c>
      <c r="Y744" t="s">
        <v>13917</v>
      </c>
      <c r="Z744" t="s">
        <v>13918</v>
      </c>
      <c r="AA744" t="s">
        <v>13919</v>
      </c>
      <c r="AB744" t="s">
        <v>13920</v>
      </c>
      <c r="AC744" t="s">
        <v>13921</v>
      </c>
      <c r="AD744" t="s">
        <v>13922</v>
      </c>
      <c r="AE744" t="s">
        <v>13923</v>
      </c>
      <c r="AF744" t="s">
        <v>74</v>
      </c>
      <c r="AG744">
        <v>17</v>
      </c>
      <c r="AH744">
        <v>7</v>
      </c>
      <c r="AI744">
        <v>9</v>
      </c>
      <c r="AJ744">
        <v>0</v>
      </c>
      <c r="AK744">
        <v>14</v>
      </c>
      <c r="AL744" t="s">
        <v>7137</v>
      </c>
      <c r="AM744" t="s">
        <v>209</v>
      </c>
      <c r="AN744" t="s">
        <v>7138</v>
      </c>
      <c r="AO744" t="s">
        <v>13902</v>
      </c>
      <c r="AP744" t="s">
        <v>13903</v>
      </c>
      <c r="AQ744" t="s">
        <v>74</v>
      </c>
      <c r="AR744" t="s">
        <v>13904</v>
      </c>
      <c r="AS744" t="s">
        <v>13905</v>
      </c>
      <c r="AT744" t="s">
        <v>12574</v>
      </c>
      <c r="AU744">
        <v>2015</v>
      </c>
      <c r="AV744">
        <v>9</v>
      </c>
      <c r="AW744">
        <v>4</v>
      </c>
      <c r="AX744" t="s">
        <v>74</v>
      </c>
      <c r="AY744" t="s">
        <v>74</v>
      </c>
      <c r="AZ744" t="s">
        <v>2540</v>
      </c>
      <c r="BA744" t="s">
        <v>74</v>
      </c>
      <c r="BB744">
        <v>354</v>
      </c>
      <c r="BC744">
        <v>358</v>
      </c>
      <c r="BD744" t="s">
        <v>74</v>
      </c>
      <c r="BE744" t="s">
        <v>13924</v>
      </c>
      <c r="BF744" t="str">
        <f>HYPERLINK("http://dx.doi.org/10.1016/j.polar.2015.09.003","http://dx.doi.org/10.1016/j.polar.2015.09.003")</f>
        <v>http://dx.doi.org/10.1016/j.polar.2015.09.003</v>
      </c>
      <c r="BG744" t="s">
        <v>74</v>
      </c>
      <c r="BH744" t="s">
        <v>74</v>
      </c>
      <c r="BI744">
        <v>5</v>
      </c>
      <c r="BJ744" t="s">
        <v>2839</v>
      </c>
      <c r="BK744" t="s">
        <v>264</v>
      </c>
      <c r="BL744" t="s">
        <v>2840</v>
      </c>
      <c r="BM744" t="s">
        <v>13907</v>
      </c>
      <c r="BN744" t="s">
        <v>74</v>
      </c>
      <c r="BO744" t="s">
        <v>5581</v>
      </c>
      <c r="BP744" t="s">
        <v>74</v>
      </c>
      <c r="BQ744" t="s">
        <v>74</v>
      </c>
      <c r="BR744" t="s">
        <v>100</v>
      </c>
      <c r="BS744" t="s">
        <v>13925</v>
      </c>
      <c r="BT744" t="str">
        <f>HYPERLINK("https%3A%2F%2Fwww.webofscience.com%2Fwos%2Fwoscc%2Ffull-record%2FWOS:000365384900004","View Full Record in Web of Science")</f>
        <v>View Full Record in Web of Science</v>
      </c>
    </row>
    <row r="745" spans="1:72" x14ac:dyDescent="0.15">
      <c r="A745" t="s">
        <v>72</v>
      </c>
      <c r="B745" t="s">
        <v>13926</v>
      </c>
      <c r="C745" t="s">
        <v>74</v>
      </c>
      <c r="D745" t="s">
        <v>74</v>
      </c>
      <c r="E745" t="s">
        <v>74</v>
      </c>
      <c r="F745" t="s">
        <v>13927</v>
      </c>
      <c r="G745" t="s">
        <v>74</v>
      </c>
      <c r="H745" t="s">
        <v>74</v>
      </c>
      <c r="I745" t="s">
        <v>13928</v>
      </c>
      <c r="J745" t="s">
        <v>13894</v>
      </c>
      <c r="K745" t="s">
        <v>74</v>
      </c>
      <c r="L745" t="s">
        <v>74</v>
      </c>
      <c r="M745" t="s">
        <v>200</v>
      </c>
      <c r="N745" t="s">
        <v>79</v>
      </c>
      <c r="O745" t="s">
        <v>74</v>
      </c>
      <c r="P745" t="s">
        <v>74</v>
      </c>
      <c r="Q745" t="s">
        <v>74</v>
      </c>
      <c r="R745" t="s">
        <v>74</v>
      </c>
      <c r="S745" t="s">
        <v>74</v>
      </c>
      <c r="T745" t="s">
        <v>13929</v>
      </c>
      <c r="U745" t="s">
        <v>13930</v>
      </c>
      <c r="V745" t="s">
        <v>13931</v>
      </c>
      <c r="W745" t="s">
        <v>13932</v>
      </c>
      <c r="X745" t="s">
        <v>13933</v>
      </c>
      <c r="Y745" t="s">
        <v>13934</v>
      </c>
      <c r="Z745" t="s">
        <v>13935</v>
      </c>
      <c r="AA745" t="s">
        <v>74</v>
      </c>
      <c r="AB745" t="s">
        <v>74</v>
      </c>
      <c r="AC745" t="s">
        <v>74</v>
      </c>
      <c r="AD745" t="s">
        <v>74</v>
      </c>
      <c r="AE745" t="s">
        <v>74</v>
      </c>
      <c r="AF745" t="s">
        <v>74</v>
      </c>
      <c r="AG745">
        <v>25</v>
      </c>
      <c r="AH745">
        <v>12</v>
      </c>
      <c r="AI745">
        <v>13</v>
      </c>
      <c r="AJ745">
        <v>0</v>
      </c>
      <c r="AK745">
        <v>7</v>
      </c>
      <c r="AL745" t="s">
        <v>7137</v>
      </c>
      <c r="AM745" t="s">
        <v>209</v>
      </c>
      <c r="AN745" t="s">
        <v>7138</v>
      </c>
      <c r="AO745" t="s">
        <v>13902</v>
      </c>
      <c r="AP745" t="s">
        <v>13903</v>
      </c>
      <c r="AQ745" t="s">
        <v>74</v>
      </c>
      <c r="AR745" t="s">
        <v>13904</v>
      </c>
      <c r="AS745" t="s">
        <v>13905</v>
      </c>
      <c r="AT745" t="s">
        <v>12574</v>
      </c>
      <c r="AU745">
        <v>2015</v>
      </c>
      <c r="AV745">
        <v>9</v>
      </c>
      <c r="AW745">
        <v>4</v>
      </c>
      <c r="AX745" t="s">
        <v>74</v>
      </c>
      <c r="AY745" t="s">
        <v>74</v>
      </c>
      <c r="AZ745" t="s">
        <v>2540</v>
      </c>
      <c r="BA745" t="s">
        <v>74</v>
      </c>
      <c r="BB745">
        <v>368</v>
      </c>
      <c r="BC745">
        <v>373</v>
      </c>
      <c r="BD745" t="s">
        <v>74</v>
      </c>
      <c r="BE745" t="s">
        <v>13936</v>
      </c>
      <c r="BF745" t="str">
        <f>HYPERLINK("http://dx.doi.org/10.1016/j.polar.2015.08.002","http://dx.doi.org/10.1016/j.polar.2015.08.002")</f>
        <v>http://dx.doi.org/10.1016/j.polar.2015.08.002</v>
      </c>
      <c r="BG745" t="s">
        <v>74</v>
      </c>
      <c r="BH745" t="s">
        <v>74</v>
      </c>
      <c r="BI745">
        <v>6</v>
      </c>
      <c r="BJ745" t="s">
        <v>2839</v>
      </c>
      <c r="BK745" t="s">
        <v>264</v>
      </c>
      <c r="BL745" t="s">
        <v>2840</v>
      </c>
      <c r="BM745" t="s">
        <v>13907</v>
      </c>
      <c r="BN745" t="s">
        <v>74</v>
      </c>
      <c r="BO745" t="s">
        <v>5581</v>
      </c>
      <c r="BP745" t="s">
        <v>74</v>
      </c>
      <c r="BQ745" t="s">
        <v>74</v>
      </c>
      <c r="BR745" t="s">
        <v>100</v>
      </c>
      <c r="BS745" t="s">
        <v>13937</v>
      </c>
      <c r="BT745" t="str">
        <f>HYPERLINK("https%3A%2F%2Fwww.webofscience.com%2Fwos%2Fwoscc%2Ffull-record%2FWOS:000365384900006","View Full Record in Web of Science")</f>
        <v>View Full Record in Web of Science</v>
      </c>
    </row>
    <row r="746" spans="1:72" x14ac:dyDescent="0.15">
      <c r="A746" t="s">
        <v>72</v>
      </c>
      <c r="B746" t="s">
        <v>13938</v>
      </c>
      <c r="C746" t="s">
        <v>74</v>
      </c>
      <c r="D746" t="s">
        <v>74</v>
      </c>
      <c r="E746" t="s">
        <v>74</v>
      </c>
      <c r="F746" t="s">
        <v>13939</v>
      </c>
      <c r="G746" t="s">
        <v>74</v>
      </c>
      <c r="H746" t="s">
        <v>74</v>
      </c>
      <c r="I746" t="s">
        <v>13940</v>
      </c>
      <c r="J746" t="s">
        <v>13894</v>
      </c>
      <c r="K746" t="s">
        <v>74</v>
      </c>
      <c r="L746" t="s">
        <v>74</v>
      </c>
      <c r="M746" t="s">
        <v>200</v>
      </c>
      <c r="N746" t="s">
        <v>79</v>
      </c>
      <c r="O746" t="s">
        <v>74</v>
      </c>
      <c r="P746" t="s">
        <v>74</v>
      </c>
      <c r="Q746" t="s">
        <v>74</v>
      </c>
      <c r="R746" t="s">
        <v>74</v>
      </c>
      <c r="S746" t="s">
        <v>74</v>
      </c>
      <c r="T746" t="s">
        <v>13941</v>
      </c>
      <c r="U746" t="s">
        <v>13942</v>
      </c>
      <c r="V746" t="s">
        <v>13943</v>
      </c>
      <c r="W746" t="s">
        <v>13944</v>
      </c>
      <c r="X746" t="s">
        <v>13945</v>
      </c>
      <c r="Y746" t="s">
        <v>13946</v>
      </c>
      <c r="Z746" t="s">
        <v>4501</v>
      </c>
      <c r="AA746" t="s">
        <v>13947</v>
      </c>
      <c r="AB746" t="s">
        <v>13948</v>
      </c>
      <c r="AC746" t="s">
        <v>13949</v>
      </c>
      <c r="AD746" t="s">
        <v>13950</v>
      </c>
      <c r="AE746" t="s">
        <v>13951</v>
      </c>
      <c r="AF746" t="s">
        <v>74</v>
      </c>
      <c r="AG746">
        <v>45</v>
      </c>
      <c r="AH746">
        <v>11</v>
      </c>
      <c r="AI746">
        <v>12</v>
      </c>
      <c r="AJ746">
        <v>0</v>
      </c>
      <c r="AK746">
        <v>4</v>
      </c>
      <c r="AL746" t="s">
        <v>7137</v>
      </c>
      <c r="AM746" t="s">
        <v>209</v>
      </c>
      <c r="AN746" t="s">
        <v>7138</v>
      </c>
      <c r="AO746" t="s">
        <v>13902</v>
      </c>
      <c r="AP746" t="s">
        <v>13903</v>
      </c>
      <c r="AQ746" t="s">
        <v>74</v>
      </c>
      <c r="AR746" t="s">
        <v>13904</v>
      </c>
      <c r="AS746" t="s">
        <v>13905</v>
      </c>
      <c r="AT746" t="s">
        <v>12574</v>
      </c>
      <c r="AU746">
        <v>2015</v>
      </c>
      <c r="AV746">
        <v>9</v>
      </c>
      <c r="AW746">
        <v>4</v>
      </c>
      <c r="AX746" t="s">
        <v>74</v>
      </c>
      <c r="AY746" t="s">
        <v>74</v>
      </c>
      <c r="AZ746" t="s">
        <v>2540</v>
      </c>
      <c r="BA746" t="s">
        <v>74</v>
      </c>
      <c r="BB746">
        <v>374</v>
      </c>
      <c r="BC746">
        <v>381</v>
      </c>
      <c r="BD746" t="s">
        <v>74</v>
      </c>
      <c r="BE746" t="s">
        <v>13952</v>
      </c>
      <c r="BF746" t="str">
        <f>HYPERLINK("http://dx.doi.org/10.1016/j.polar.2015.08.005","http://dx.doi.org/10.1016/j.polar.2015.08.005")</f>
        <v>http://dx.doi.org/10.1016/j.polar.2015.08.005</v>
      </c>
      <c r="BG746" t="s">
        <v>74</v>
      </c>
      <c r="BH746" t="s">
        <v>74</v>
      </c>
      <c r="BI746">
        <v>8</v>
      </c>
      <c r="BJ746" t="s">
        <v>2839</v>
      </c>
      <c r="BK746" t="s">
        <v>264</v>
      </c>
      <c r="BL746" t="s">
        <v>2840</v>
      </c>
      <c r="BM746" t="s">
        <v>13907</v>
      </c>
      <c r="BN746" t="s">
        <v>74</v>
      </c>
      <c r="BO746" t="s">
        <v>5581</v>
      </c>
      <c r="BP746" t="s">
        <v>74</v>
      </c>
      <c r="BQ746" t="s">
        <v>74</v>
      </c>
      <c r="BR746" t="s">
        <v>100</v>
      </c>
      <c r="BS746" t="s">
        <v>13953</v>
      </c>
      <c r="BT746" t="str">
        <f>HYPERLINK("https%3A%2F%2Fwww.webofscience.com%2Fwos%2Fwoscc%2Ffull-record%2FWOS:000365384900007","View Full Record in Web of Science")</f>
        <v>View Full Record in Web of Science</v>
      </c>
    </row>
    <row r="747" spans="1:72" x14ac:dyDescent="0.15">
      <c r="A747" t="s">
        <v>72</v>
      </c>
      <c r="B747" t="s">
        <v>13954</v>
      </c>
      <c r="C747" t="s">
        <v>74</v>
      </c>
      <c r="D747" t="s">
        <v>74</v>
      </c>
      <c r="E747" t="s">
        <v>74</v>
      </c>
      <c r="F747" t="s">
        <v>13955</v>
      </c>
      <c r="G747" t="s">
        <v>74</v>
      </c>
      <c r="H747" t="s">
        <v>74</v>
      </c>
      <c r="I747" t="s">
        <v>13956</v>
      </c>
      <c r="J747" t="s">
        <v>13894</v>
      </c>
      <c r="K747" t="s">
        <v>74</v>
      </c>
      <c r="L747" t="s">
        <v>74</v>
      </c>
      <c r="M747" t="s">
        <v>200</v>
      </c>
      <c r="N747" t="s">
        <v>79</v>
      </c>
      <c r="O747" t="s">
        <v>74</v>
      </c>
      <c r="P747" t="s">
        <v>74</v>
      </c>
      <c r="Q747" t="s">
        <v>74</v>
      </c>
      <c r="R747" t="s">
        <v>74</v>
      </c>
      <c r="S747" t="s">
        <v>74</v>
      </c>
      <c r="T747" t="s">
        <v>13957</v>
      </c>
      <c r="U747" t="s">
        <v>13958</v>
      </c>
      <c r="V747" t="s">
        <v>13959</v>
      </c>
      <c r="W747" t="s">
        <v>13960</v>
      </c>
      <c r="X747" t="s">
        <v>13961</v>
      </c>
      <c r="Y747" t="s">
        <v>13962</v>
      </c>
      <c r="Z747" t="s">
        <v>13963</v>
      </c>
      <c r="AA747" t="s">
        <v>13964</v>
      </c>
      <c r="AB747" t="s">
        <v>13965</v>
      </c>
      <c r="AC747" t="s">
        <v>13966</v>
      </c>
      <c r="AD747" t="s">
        <v>13967</v>
      </c>
      <c r="AE747" t="s">
        <v>13968</v>
      </c>
      <c r="AF747" t="s">
        <v>74</v>
      </c>
      <c r="AG747">
        <v>24</v>
      </c>
      <c r="AH747">
        <v>1</v>
      </c>
      <c r="AI747">
        <v>1</v>
      </c>
      <c r="AJ747">
        <v>2</v>
      </c>
      <c r="AK747">
        <v>25</v>
      </c>
      <c r="AL747" t="s">
        <v>7137</v>
      </c>
      <c r="AM747" t="s">
        <v>209</v>
      </c>
      <c r="AN747" t="s">
        <v>7138</v>
      </c>
      <c r="AO747" t="s">
        <v>13902</v>
      </c>
      <c r="AP747" t="s">
        <v>13903</v>
      </c>
      <c r="AQ747" t="s">
        <v>74</v>
      </c>
      <c r="AR747" t="s">
        <v>13904</v>
      </c>
      <c r="AS747" t="s">
        <v>13905</v>
      </c>
      <c r="AT747" t="s">
        <v>12574</v>
      </c>
      <c r="AU747">
        <v>2015</v>
      </c>
      <c r="AV747">
        <v>9</v>
      </c>
      <c r="AW747">
        <v>4</v>
      </c>
      <c r="AX747" t="s">
        <v>74</v>
      </c>
      <c r="AY747" t="s">
        <v>74</v>
      </c>
      <c r="AZ747" t="s">
        <v>2540</v>
      </c>
      <c r="BA747" t="s">
        <v>74</v>
      </c>
      <c r="BB747">
        <v>389</v>
      </c>
      <c r="BC747">
        <v>392</v>
      </c>
      <c r="BD747" t="s">
        <v>74</v>
      </c>
      <c r="BE747" t="s">
        <v>13969</v>
      </c>
      <c r="BF747" t="str">
        <f>HYPERLINK("http://dx.doi.org/10.1016/j.polar.2015.09.001","http://dx.doi.org/10.1016/j.polar.2015.09.001")</f>
        <v>http://dx.doi.org/10.1016/j.polar.2015.09.001</v>
      </c>
      <c r="BG747" t="s">
        <v>74</v>
      </c>
      <c r="BH747" t="s">
        <v>74</v>
      </c>
      <c r="BI747">
        <v>4</v>
      </c>
      <c r="BJ747" t="s">
        <v>2839</v>
      </c>
      <c r="BK747" t="s">
        <v>264</v>
      </c>
      <c r="BL747" t="s">
        <v>2840</v>
      </c>
      <c r="BM747" t="s">
        <v>13907</v>
      </c>
      <c r="BN747" t="s">
        <v>74</v>
      </c>
      <c r="BO747" t="s">
        <v>5581</v>
      </c>
      <c r="BP747" t="s">
        <v>74</v>
      </c>
      <c r="BQ747" t="s">
        <v>74</v>
      </c>
      <c r="BR747" t="s">
        <v>100</v>
      </c>
      <c r="BS747" t="s">
        <v>13970</v>
      </c>
      <c r="BT747" t="str">
        <f>HYPERLINK("https%3A%2F%2Fwww.webofscience.com%2Fwos%2Fwoscc%2Ffull-record%2FWOS:000365384900009","View Full Record in Web of Science")</f>
        <v>View Full Record in Web of Science</v>
      </c>
    </row>
    <row r="748" spans="1:72" x14ac:dyDescent="0.15">
      <c r="A748" t="s">
        <v>72</v>
      </c>
      <c r="B748" t="s">
        <v>13971</v>
      </c>
      <c r="C748" t="s">
        <v>74</v>
      </c>
      <c r="D748" t="s">
        <v>74</v>
      </c>
      <c r="E748" t="s">
        <v>74</v>
      </c>
      <c r="F748" t="s">
        <v>13972</v>
      </c>
      <c r="G748" t="s">
        <v>74</v>
      </c>
      <c r="H748" t="s">
        <v>74</v>
      </c>
      <c r="I748" t="s">
        <v>13973</v>
      </c>
      <c r="J748" t="s">
        <v>13974</v>
      </c>
      <c r="K748" t="s">
        <v>74</v>
      </c>
      <c r="L748" t="s">
        <v>74</v>
      </c>
      <c r="M748" t="s">
        <v>200</v>
      </c>
      <c r="N748" t="s">
        <v>79</v>
      </c>
      <c r="O748" t="s">
        <v>74</v>
      </c>
      <c r="P748" t="s">
        <v>74</v>
      </c>
      <c r="Q748" t="s">
        <v>74</v>
      </c>
      <c r="R748" t="s">
        <v>74</v>
      </c>
      <c r="S748" t="s">
        <v>74</v>
      </c>
      <c r="T748" t="s">
        <v>74</v>
      </c>
      <c r="U748" t="s">
        <v>13975</v>
      </c>
      <c r="V748" t="s">
        <v>13976</v>
      </c>
      <c r="W748" t="s">
        <v>13977</v>
      </c>
      <c r="X748" t="s">
        <v>13978</v>
      </c>
      <c r="Y748" t="s">
        <v>13979</v>
      </c>
      <c r="Z748" t="s">
        <v>13980</v>
      </c>
      <c r="AA748" t="s">
        <v>13981</v>
      </c>
      <c r="AB748" t="s">
        <v>13982</v>
      </c>
      <c r="AC748" t="s">
        <v>13983</v>
      </c>
      <c r="AD748" t="s">
        <v>13984</v>
      </c>
      <c r="AE748" t="s">
        <v>13985</v>
      </c>
      <c r="AF748" t="s">
        <v>74</v>
      </c>
      <c r="AG748">
        <v>66</v>
      </c>
      <c r="AH748">
        <v>5</v>
      </c>
      <c r="AI748">
        <v>6</v>
      </c>
      <c r="AJ748">
        <v>0</v>
      </c>
      <c r="AK748">
        <v>12</v>
      </c>
      <c r="AL748" t="s">
        <v>6637</v>
      </c>
      <c r="AM748" t="s">
        <v>6638</v>
      </c>
      <c r="AN748" t="s">
        <v>6639</v>
      </c>
      <c r="AO748" t="s">
        <v>13986</v>
      </c>
      <c r="AP748" t="s">
        <v>13987</v>
      </c>
      <c r="AQ748" t="s">
        <v>74</v>
      </c>
      <c r="AR748" t="s">
        <v>13988</v>
      </c>
      <c r="AS748" t="s">
        <v>13989</v>
      </c>
      <c r="AT748" t="s">
        <v>12574</v>
      </c>
      <c r="AU748">
        <v>2015</v>
      </c>
      <c r="AV748">
        <v>109</v>
      </c>
      <c r="AW748">
        <v>6</v>
      </c>
      <c r="AX748" t="s">
        <v>74</v>
      </c>
      <c r="AY748" t="s">
        <v>74</v>
      </c>
      <c r="AZ748" t="s">
        <v>74</v>
      </c>
      <c r="BA748" t="s">
        <v>74</v>
      </c>
      <c r="BB748">
        <v>741</v>
      </c>
      <c r="BC748">
        <v>759</v>
      </c>
      <c r="BD748" t="s">
        <v>74</v>
      </c>
      <c r="BE748" t="s">
        <v>13990</v>
      </c>
      <c r="BF748" t="str">
        <f>HYPERLINK("http://dx.doi.org/10.1007/s00710-015-0404-4","http://dx.doi.org/10.1007/s00710-015-0404-4")</f>
        <v>http://dx.doi.org/10.1007/s00710-015-0404-4</v>
      </c>
      <c r="BG748" t="s">
        <v>74</v>
      </c>
      <c r="BH748" t="s">
        <v>74</v>
      </c>
      <c r="BI748">
        <v>19</v>
      </c>
      <c r="BJ748" t="s">
        <v>13991</v>
      </c>
      <c r="BK748" t="s">
        <v>264</v>
      </c>
      <c r="BL748" t="s">
        <v>13991</v>
      </c>
      <c r="BM748" t="s">
        <v>13992</v>
      </c>
      <c r="BN748" t="s">
        <v>74</v>
      </c>
      <c r="BO748" t="s">
        <v>74</v>
      </c>
      <c r="BP748" t="s">
        <v>74</v>
      </c>
      <c r="BQ748" t="s">
        <v>74</v>
      </c>
      <c r="BR748" t="s">
        <v>100</v>
      </c>
      <c r="BS748" t="s">
        <v>13993</v>
      </c>
      <c r="BT748" t="str">
        <f>HYPERLINK("https%3A%2F%2Fwww.webofscience.com%2Fwos%2Fwoscc%2Ffull-record%2FWOS:000365098200008","View Full Record in Web of Science")</f>
        <v>View Full Record in Web of Science</v>
      </c>
    </row>
    <row r="749" spans="1:72" x14ac:dyDescent="0.15">
      <c r="A749" t="s">
        <v>72</v>
      </c>
      <c r="B749" t="s">
        <v>13994</v>
      </c>
      <c r="C749" t="s">
        <v>74</v>
      </c>
      <c r="D749" t="s">
        <v>74</v>
      </c>
      <c r="E749" t="s">
        <v>74</v>
      </c>
      <c r="F749" t="s">
        <v>13995</v>
      </c>
      <c r="G749" t="s">
        <v>74</v>
      </c>
      <c r="H749" t="s">
        <v>74</v>
      </c>
      <c r="I749" t="s">
        <v>13996</v>
      </c>
      <c r="J749" t="s">
        <v>13997</v>
      </c>
      <c r="K749" t="s">
        <v>74</v>
      </c>
      <c r="L749" t="s">
        <v>74</v>
      </c>
      <c r="M749" t="s">
        <v>200</v>
      </c>
      <c r="N749" t="s">
        <v>79</v>
      </c>
      <c r="O749" t="s">
        <v>74</v>
      </c>
      <c r="P749" t="s">
        <v>74</v>
      </c>
      <c r="Q749" t="s">
        <v>74</v>
      </c>
      <c r="R749" t="s">
        <v>74</v>
      </c>
      <c r="S749" t="s">
        <v>74</v>
      </c>
      <c r="T749" t="s">
        <v>13998</v>
      </c>
      <c r="U749" t="s">
        <v>13999</v>
      </c>
      <c r="V749" t="s">
        <v>14000</v>
      </c>
      <c r="W749" t="s">
        <v>14001</v>
      </c>
      <c r="X749" t="s">
        <v>13916</v>
      </c>
      <c r="Y749" t="s">
        <v>14002</v>
      </c>
      <c r="Z749" t="s">
        <v>14003</v>
      </c>
      <c r="AA749" t="s">
        <v>74</v>
      </c>
      <c r="AB749" t="s">
        <v>14004</v>
      </c>
      <c r="AC749" t="s">
        <v>14005</v>
      </c>
      <c r="AD749" t="s">
        <v>14006</v>
      </c>
      <c r="AE749" t="s">
        <v>14007</v>
      </c>
      <c r="AF749" t="s">
        <v>74</v>
      </c>
      <c r="AG749">
        <v>33</v>
      </c>
      <c r="AH749">
        <v>7</v>
      </c>
      <c r="AI749">
        <v>8</v>
      </c>
      <c r="AJ749">
        <v>0</v>
      </c>
      <c r="AK749">
        <v>13</v>
      </c>
      <c r="AL749" t="s">
        <v>3560</v>
      </c>
      <c r="AM749" t="s">
        <v>4093</v>
      </c>
      <c r="AN749" t="s">
        <v>6706</v>
      </c>
      <c r="AO749" t="s">
        <v>14008</v>
      </c>
      <c r="AP749" t="s">
        <v>14009</v>
      </c>
      <c r="AQ749" t="s">
        <v>74</v>
      </c>
      <c r="AR749" t="s">
        <v>14010</v>
      </c>
      <c r="AS749" t="s">
        <v>14011</v>
      </c>
      <c r="AT749" t="s">
        <v>12574</v>
      </c>
      <c r="AU749">
        <v>2015</v>
      </c>
      <c r="AV749">
        <v>108</v>
      </c>
      <c r="AW749">
        <v>6</v>
      </c>
      <c r="AX749" t="s">
        <v>74</v>
      </c>
      <c r="AY749" t="s">
        <v>74</v>
      </c>
      <c r="AZ749" t="s">
        <v>74</v>
      </c>
      <c r="BA749" t="s">
        <v>74</v>
      </c>
      <c r="BB749">
        <v>1283</v>
      </c>
      <c r="BC749">
        <v>1292</v>
      </c>
      <c r="BD749" t="s">
        <v>74</v>
      </c>
      <c r="BE749" t="s">
        <v>14012</v>
      </c>
      <c r="BF749" t="str">
        <f>HYPERLINK("http://dx.doi.org/10.1007/s10482-015-0580-6","http://dx.doi.org/10.1007/s10482-015-0580-6")</f>
        <v>http://dx.doi.org/10.1007/s10482-015-0580-6</v>
      </c>
      <c r="BG749" t="s">
        <v>74</v>
      </c>
      <c r="BH749" t="s">
        <v>74</v>
      </c>
      <c r="BI749">
        <v>10</v>
      </c>
      <c r="BJ749" t="s">
        <v>5726</v>
      </c>
      <c r="BK749" t="s">
        <v>264</v>
      </c>
      <c r="BL749" t="s">
        <v>5726</v>
      </c>
      <c r="BM749" t="s">
        <v>14013</v>
      </c>
      <c r="BN749">
        <v>26362329</v>
      </c>
      <c r="BO749" t="s">
        <v>74</v>
      </c>
      <c r="BP749" t="s">
        <v>74</v>
      </c>
      <c r="BQ749" t="s">
        <v>74</v>
      </c>
      <c r="BR749" t="s">
        <v>100</v>
      </c>
      <c r="BS749" t="s">
        <v>14014</v>
      </c>
      <c r="BT749" t="str">
        <f>HYPERLINK("https%3A%2F%2Fwww.webofscience.com%2Fwos%2Fwoscc%2Ffull-record%2FWOS:000364504500001","View Full Record in Web of Science")</f>
        <v>View Full Record in Web of Science</v>
      </c>
    </row>
    <row r="750" spans="1:72" x14ac:dyDescent="0.15">
      <c r="A750" t="s">
        <v>72</v>
      </c>
      <c r="B750" t="s">
        <v>14015</v>
      </c>
      <c r="C750" t="s">
        <v>74</v>
      </c>
      <c r="D750" t="s">
        <v>74</v>
      </c>
      <c r="E750" t="s">
        <v>74</v>
      </c>
      <c r="F750" t="s">
        <v>14016</v>
      </c>
      <c r="G750" t="s">
        <v>74</v>
      </c>
      <c r="H750" t="s">
        <v>74</v>
      </c>
      <c r="I750" t="s">
        <v>14017</v>
      </c>
      <c r="J750" t="s">
        <v>14018</v>
      </c>
      <c r="K750" t="s">
        <v>74</v>
      </c>
      <c r="L750" t="s">
        <v>74</v>
      </c>
      <c r="M750" t="s">
        <v>200</v>
      </c>
      <c r="N750" t="s">
        <v>79</v>
      </c>
      <c r="O750" t="s">
        <v>74</v>
      </c>
      <c r="P750" t="s">
        <v>74</v>
      </c>
      <c r="Q750" t="s">
        <v>74</v>
      </c>
      <c r="R750" t="s">
        <v>74</v>
      </c>
      <c r="S750" t="s">
        <v>74</v>
      </c>
      <c r="T750" t="s">
        <v>14019</v>
      </c>
      <c r="U750" t="s">
        <v>14020</v>
      </c>
      <c r="V750" t="s">
        <v>14021</v>
      </c>
      <c r="W750" t="s">
        <v>14022</v>
      </c>
      <c r="X750" t="s">
        <v>14023</v>
      </c>
      <c r="Y750" t="s">
        <v>14024</v>
      </c>
      <c r="Z750" t="s">
        <v>14025</v>
      </c>
      <c r="AA750" t="s">
        <v>14026</v>
      </c>
      <c r="AB750" t="s">
        <v>14027</v>
      </c>
      <c r="AC750" t="s">
        <v>14028</v>
      </c>
      <c r="AD750" t="s">
        <v>14029</v>
      </c>
      <c r="AE750" t="s">
        <v>14030</v>
      </c>
      <c r="AF750" t="s">
        <v>74</v>
      </c>
      <c r="AG750">
        <v>67</v>
      </c>
      <c r="AH750">
        <v>2</v>
      </c>
      <c r="AI750">
        <v>3</v>
      </c>
      <c r="AJ750">
        <v>0</v>
      </c>
      <c r="AK750">
        <v>21</v>
      </c>
      <c r="AL750" t="s">
        <v>5888</v>
      </c>
      <c r="AM750" t="s">
        <v>1386</v>
      </c>
      <c r="AN750" t="s">
        <v>5889</v>
      </c>
      <c r="AO750" t="s">
        <v>14031</v>
      </c>
      <c r="AP750" t="s">
        <v>14032</v>
      </c>
      <c r="AQ750" t="s">
        <v>74</v>
      </c>
      <c r="AR750" t="s">
        <v>14033</v>
      </c>
      <c r="AS750" t="s">
        <v>14034</v>
      </c>
      <c r="AT750" t="s">
        <v>13519</v>
      </c>
      <c r="AU750">
        <v>2015</v>
      </c>
      <c r="AV750">
        <v>25</v>
      </c>
      <c r="AW750">
        <v>23</v>
      </c>
      <c r="AX750" t="s">
        <v>74</v>
      </c>
      <c r="AY750" t="s">
        <v>74</v>
      </c>
      <c r="AZ750" t="s">
        <v>74</v>
      </c>
      <c r="BA750" t="s">
        <v>74</v>
      </c>
      <c r="BB750">
        <v>5485</v>
      </c>
      <c r="BC750">
        <v>5489</v>
      </c>
      <c r="BD750" t="s">
        <v>74</v>
      </c>
      <c r="BE750" t="s">
        <v>14035</v>
      </c>
      <c r="BF750" t="str">
        <f>HYPERLINK("http://dx.doi.org/10.1016/j.bmcl.2015.10.074","http://dx.doi.org/10.1016/j.bmcl.2015.10.074")</f>
        <v>http://dx.doi.org/10.1016/j.bmcl.2015.10.074</v>
      </c>
      <c r="BG750" t="s">
        <v>74</v>
      </c>
      <c r="BH750" t="s">
        <v>74</v>
      </c>
      <c r="BI750">
        <v>5</v>
      </c>
      <c r="BJ750" t="s">
        <v>14036</v>
      </c>
      <c r="BK750" t="s">
        <v>264</v>
      </c>
      <c r="BL750" t="s">
        <v>14037</v>
      </c>
      <c r="BM750" t="s">
        <v>14038</v>
      </c>
      <c r="BN750">
        <v>26525863</v>
      </c>
      <c r="BO750" t="s">
        <v>74</v>
      </c>
      <c r="BP750" t="s">
        <v>74</v>
      </c>
      <c r="BQ750" t="s">
        <v>74</v>
      </c>
      <c r="BR750" t="s">
        <v>100</v>
      </c>
      <c r="BS750" t="s">
        <v>14039</v>
      </c>
      <c r="BT750" t="str">
        <f>HYPERLINK("https%3A%2F%2Fwww.webofscience.com%2Fwos%2Fwoscc%2Ffull-record%2FWOS:000364535400005","View Full Record in Web of Science")</f>
        <v>View Full Record in Web of Science</v>
      </c>
    </row>
    <row r="751" spans="1:72" x14ac:dyDescent="0.15">
      <c r="A751" t="s">
        <v>72</v>
      </c>
      <c r="B751" t="s">
        <v>14040</v>
      </c>
      <c r="C751" t="s">
        <v>74</v>
      </c>
      <c r="D751" t="s">
        <v>74</v>
      </c>
      <c r="E751" t="s">
        <v>74</v>
      </c>
      <c r="F751" t="s">
        <v>14041</v>
      </c>
      <c r="G751" t="s">
        <v>74</v>
      </c>
      <c r="H751" t="s">
        <v>74</v>
      </c>
      <c r="I751" t="s">
        <v>14042</v>
      </c>
      <c r="J751" t="s">
        <v>14043</v>
      </c>
      <c r="K751" t="s">
        <v>74</v>
      </c>
      <c r="L751" t="s">
        <v>74</v>
      </c>
      <c r="M751" t="s">
        <v>200</v>
      </c>
      <c r="N751" t="s">
        <v>79</v>
      </c>
      <c r="O751" t="s">
        <v>74</v>
      </c>
      <c r="P751" t="s">
        <v>74</v>
      </c>
      <c r="Q751" t="s">
        <v>74</v>
      </c>
      <c r="R751" t="s">
        <v>74</v>
      </c>
      <c r="S751" t="s">
        <v>74</v>
      </c>
      <c r="T751" t="s">
        <v>14044</v>
      </c>
      <c r="U751" t="s">
        <v>14045</v>
      </c>
      <c r="V751" t="s">
        <v>14046</v>
      </c>
      <c r="W751" t="s">
        <v>14047</v>
      </c>
      <c r="X751" t="s">
        <v>14048</v>
      </c>
      <c r="Y751" t="s">
        <v>14049</v>
      </c>
      <c r="Z751" t="s">
        <v>14050</v>
      </c>
      <c r="AA751" t="s">
        <v>14051</v>
      </c>
      <c r="AB751" t="s">
        <v>14052</v>
      </c>
      <c r="AC751" t="s">
        <v>14053</v>
      </c>
      <c r="AD751" t="s">
        <v>6964</v>
      </c>
      <c r="AE751" t="s">
        <v>14054</v>
      </c>
      <c r="AF751" t="s">
        <v>74</v>
      </c>
      <c r="AG751">
        <v>53</v>
      </c>
      <c r="AH751">
        <v>42</v>
      </c>
      <c r="AI751">
        <v>46</v>
      </c>
      <c r="AJ751">
        <v>5</v>
      </c>
      <c r="AK751">
        <v>54</v>
      </c>
      <c r="AL751" t="s">
        <v>3560</v>
      </c>
      <c r="AM751" t="s">
        <v>4093</v>
      </c>
      <c r="AN751" t="s">
        <v>6706</v>
      </c>
      <c r="AO751" t="s">
        <v>14055</v>
      </c>
      <c r="AP751" t="s">
        <v>14056</v>
      </c>
      <c r="AQ751" t="s">
        <v>74</v>
      </c>
      <c r="AR751" t="s">
        <v>14057</v>
      </c>
      <c r="AS751" t="s">
        <v>14058</v>
      </c>
      <c r="AT751" t="s">
        <v>12574</v>
      </c>
      <c r="AU751">
        <v>2015</v>
      </c>
      <c r="AV751">
        <v>41</v>
      </c>
      <c r="AW751">
        <v>6</v>
      </c>
      <c r="AX751" t="s">
        <v>74</v>
      </c>
      <c r="AY751" t="s">
        <v>74</v>
      </c>
      <c r="AZ751" t="s">
        <v>74</v>
      </c>
      <c r="BA751" t="s">
        <v>74</v>
      </c>
      <c r="BB751">
        <v>1369</v>
      </c>
      <c r="BC751">
        <v>1381</v>
      </c>
      <c r="BD751" t="s">
        <v>74</v>
      </c>
      <c r="BE751" t="s">
        <v>14059</v>
      </c>
      <c r="BF751" t="str">
        <f>HYPERLINK("http://dx.doi.org/10.1007/s10695-015-0092-3","http://dx.doi.org/10.1007/s10695-015-0092-3")</f>
        <v>http://dx.doi.org/10.1007/s10695-015-0092-3</v>
      </c>
      <c r="BG751" t="s">
        <v>74</v>
      </c>
      <c r="BH751" t="s">
        <v>74</v>
      </c>
      <c r="BI751">
        <v>13</v>
      </c>
      <c r="BJ751" t="s">
        <v>14060</v>
      </c>
      <c r="BK751" t="s">
        <v>264</v>
      </c>
      <c r="BL751" t="s">
        <v>14060</v>
      </c>
      <c r="BM751" t="s">
        <v>14061</v>
      </c>
      <c r="BN751">
        <v>26148800</v>
      </c>
      <c r="BO751" t="s">
        <v>74</v>
      </c>
      <c r="BP751" t="s">
        <v>74</v>
      </c>
      <c r="BQ751" t="s">
        <v>74</v>
      </c>
      <c r="BR751" t="s">
        <v>100</v>
      </c>
      <c r="BS751" t="s">
        <v>14062</v>
      </c>
      <c r="BT751" t="str">
        <f>HYPERLINK("https%3A%2F%2Fwww.webofscience.com%2Fwos%2Fwoscc%2Ffull-record%2FWOS:000364517600002","View Full Record in Web of Science")</f>
        <v>View Full Record in Web of Science</v>
      </c>
    </row>
    <row r="752" spans="1:72" x14ac:dyDescent="0.15">
      <c r="A752" t="s">
        <v>72</v>
      </c>
      <c r="B752" t="s">
        <v>14063</v>
      </c>
      <c r="C752" t="s">
        <v>74</v>
      </c>
      <c r="D752" t="s">
        <v>74</v>
      </c>
      <c r="E752" t="s">
        <v>74</v>
      </c>
      <c r="F752" t="s">
        <v>14064</v>
      </c>
      <c r="G752" t="s">
        <v>74</v>
      </c>
      <c r="H752" t="s">
        <v>74</v>
      </c>
      <c r="I752" t="s">
        <v>14065</v>
      </c>
      <c r="J752" t="s">
        <v>14066</v>
      </c>
      <c r="K752" t="s">
        <v>74</v>
      </c>
      <c r="L752" t="s">
        <v>74</v>
      </c>
      <c r="M752" t="s">
        <v>200</v>
      </c>
      <c r="N752" t="s">
        <v>79</v>
      </c>
      <c r="O752" t="s">
        <v>74</v>
      </c>
      <c r="P752" t="s">
        <v>74</v>
      </c>
      <c r="Q752" t="s">
        <v>74</v>
      </c>
      <c r="R752" t="s">
        <v>74</v>
      </c>
      <c r="S752" t="s">
        <v>74</v>
      </c>
      <c r="T752" t="s">
        <v>14067</v>
      </c>
      <c r="U752" t="s">
        <v>14068</v>
      </c>
      <c r="V752" t="s">
        <v>14069</v>
      </c>
      <c r="W752" t="s">
        <v>14070</v>
      </c>
      <c r="X752" t="s">
        <v>3480</v>
      </c>
      <c r="Y752" t="s">
        <v>14071</v>
      </c>
      <c r="Z752" t="s">
        <v>14072</v>
      </c>
      <c r="AA752" t="s">
        <v>14073</v>
      </c>
      <c r="AB752" t="s">
        <v>14074</v>
      </c>
      <c r="AC752" t="s">
        <v>74</v>
      </c>
      <c r="AD752" t="s">
        <v>74</v>
      </c>
      <c r="AE752" t="s">
        <v>74</v>
      </c>
      <c r="AF752" t="s">
        <v>74</v>
      </c>
      <c r="AG752">
        <v>68</v>
      </c>
      <c r="AH752">
        <v>3</v>
      </c>
      <c r="AI752">
        <v>3</v>
      </c>
      <c r="AJ752">
        <v>0</v>
      </c>
      <c r="AK752">
        <v>38</v>
      </c>
      <c r="AL752" t="s">
        <v>3560</v>
      </c>
      <c r="AM752" t="s">
        <v>289</v>
      </c>
      <c r="AN752" t="s">
        <v>6124</v>
      </c>
      <c r="AO752" t="s">
        <v>14075</v>
      </c>
      <c r="AP752" t="s">
        <v>14076</v>
      </c>
      <c r="AQ752" t="s">
        <v>74</v>
      </c>
      <c r="AR752" t="s">
        <v>14077</v>
      </c>
      <c r="AS752" t="s">
        <v>14078</v>
      </c>
      <c r="AT752" t="s">
        <v>12574</v>
      </c>
      <c r="AU752">
        <v>2015</v>
      </c>
      <c r="AV752">
        <v>17</v>
      </c>
      <c r="AW752">
        <v>6</v>
      </c>
      <c r="AX752" t="s">
        <v>74</v>
      </c>
      <c r="AY752" t="s">
        <v>74</v>
      </c>
      <c r="AZ752" t="s">
        <v>74</v>
      </c>
      <c r="BA752" t="s">
        <v>74</v>
      </c>
      <c r="BB752">
        <v>841</v>
      </c>
      <c r="BC752">
        <v>853</v>
      </c>
      <c r="BD752" t="s">
        <v>74</v>
      </c>
      <c r="BE752" t="s">
        <v>14079</v>
      </c>
      <c r="BF752" t="str">
        <f>HYPERLINK("http://dx.doi.org/10.1007/s10126-015-9663-7","http://dx.doi.org/10.1007/s10126-015-9663-7")</f>
        <v>http://dx.doi.org/10.1007/s10126-015-9663-7</v>
      </c>
      <c r="BG752" t="s">
        <v>74</v>
      </c>
      <c r="BH752" t="s">
        <v>74</v>
      </c>
      <c r="BI752">
        <v>13</v>
      </c>
      <c r="BJ752" t="s">
        <v>4778</v>
      </c>
      <c r="BK752" t="s">
        <v>264</v>
      </c>
      <c r="BL752" t="s">
        <v>4778</v>
      </c>
      <c r="BM752" t="s">
        <v>14080</v>
      </c>
      <c r="BN752">
        <v>26410294</v>
      </c>
      <c r="BO752" t="s">
        <v>74</v>
      </c>
      <c r="BP752" t="s">
        <v>74</v>
      </c>
      <c r="BQ752" t="s">
        <v>74</v>
      </c>
      <c r="BR752" t="s">
        <v>100</v>
      </c>
      <c r="BS752" t="s">
        <v>14081</v>
      </c>
      <c r="BT752" t="str">
        <f>HYPERLINK("https%3A%2F%2Fwww.webofscience.com%2Fwos%2Fwoscc%2Ffull-record%2FWOS:000364512500013","View Full Record in Web of Science")</f>
        <v>View Full Record in Web of Science</v>
      </c>
    </row>
    <row r="753" spans="1:72" x14ac:dyDescent="0.15">
      <c r="A753" t="s">
        <v>72</v>
      </c>
      <c r="B753" t="s">
        <v>14082</v>
      </c>
      <c r="C753" t="s">
        <v>74</v>
      </c>
      <c r="D753" t="s">
        <v>74</v>
      </c>
      <c r="E753" t="s">
        <v>74</v>
      </c>
      <c r="F753" t="s">
        <v>14083</v>
      </c>
      <c r="G753" t="s">
        <v>74</v>
      </c>
      <c r="H753" t="s">
        <v>74</v>
      </c>
      <c r="I753" t="s">
        <v>14084</v>
      </c>
      <c r="J753" t="s">
        <v>14085</v>
      </c>
      <c r="K753" t="s">
        <v>74</v>
      </c>
      <c r="L753" t="s">
        <v>74</v>
      </c>
      <c r="M753" t="s">
        <v>200</v>
      </c>
      <c r="N753" t="s">
        <v>79</v>
      </c>
      <c r="O753" t="s">
        <v>74</v>
      </c>
      <c r="P753" t="s">
        <v>74</v>
      </c>
      <c r="Q753" t="s">
        <v>74</v>
      </c>
      <c r="R753" t="s">
        <v>74</v>
      </c>
      <c r="S753" t="s">
        <v>74</v>
      </c>
      <c r="T753" t="s">
        <v>14086</v>
      </c>
      <c r="U753" t="s">
        <v>14087</v>
      </c>
      <c r="V753" t="s">
        <v>14088</v>
      </c>
      <c r="W753" t="s">
        <v>14089</v>
      </c>
      <c r="X753" t="s">
        <v>8621</v>
      </c>
      <c r="Y753" t="s">
        <v>14090</v>
      </c>
      <c r="Z753" t="s">
        <v>14091</v>
      </c>
      <c r="AA753" t="s">
        <v>74</v>
      </c>
      <c r="AB753" t="s">
        <v>14092</v>
      </c>
      <c r="AC753" t="s">
        <v>14093</v>
      </c>
      <c r="AD753" t="s">
        <v>14094</v>
      </c>
      <c r="AE753" t="s">
        <v>14095</v>
      </c>
      <c r="AF753" t="s">
        <v>74</v>
      </c>
      <c r="AG753">
        <v>77</v>
      </c>
      <c r="AH753">
        <v>8</v>
      </c>
      <c r="AI753">
        <v>8</v>
      </c>
      <c r="AJ753">
        <v>0</v>
      </c>
      <c r="AK753">
        <v>22</v>
      </c>
      <c r="AL753" t="s">
        <v>3560</v>
      </c>
      <c r="AM753" t="s">
        <v>4093</v>
      </c>
      <c r="AN753" t="s">
        <v>6706</v>
      </c>
      <c r="AO753" t="s">
        <v>14096</v>
      </c>
      <c r="AP753" t="s">
        <v>14097</v>
      </c>
      <c r="AQ753" t="s">
        <v>74</v>
      </c>
      <c r="AR753" t="s">
        <v>14098</v>
      </c>
      <c r="AS753" t="s">
        <v>14099</v>
      </c>
      <c r="AT753" t="s">
        <v>12574</v>
      </c>
      <c r="AU753">
        <v>2015</v>
      </c>
      <c r="AV753">
        <v>36</v>
      </c>
      <c r="AW753">
        <v>4</v>
      </c>
      <c r="AX753" t="s">
        <v>74</v>
      </c>
      <c r="AY753" t="s">
        <v>74</v>
      </c>
      <c r="AZ753" t="s">
        <v>74</v>
      </c>
      <c r="BA753" t="s">
        <v>74</v>
      </c>
      <c r="BB753">
        <v>263</v>
      </c>
      <c r="BC753">
        <v>279</v>
      </c>
      <c r="BD753" t="s">
        <v>74</v>
      </c>
      <c r="BE753" t="s">
        <v>14100</v>
      </c>
      <c r="BF753" t="str">
        <f>HYPERLINK("http://dx.doi.org/10.1007/s11001-015-9261-0","http://dx.doi.org/10.1007/s11001-015-9261-0")</f>
        <v>http://dx.doi.org/10.1007/s11001-015-9261-0</v>
      </c>
      <c r="BG753" t="s">
        <v>74</v>
      </c>
      <c r="BH753" t="s">
        <v>74</v>
      </c>
      <c r="BI753">
        <v>17</v>
      </c>
      <c r="BJ753" t="s">
        <v>14101</v>
      </c>
      <c r="BK753" t="s">
        <v>264</v>
      </c>
      <c r="BL753" t="s">
        <v>14101</v>
      </c>
      <c r="BM753" t="s">
        <v>14102</v>
      </c>
      <c r="BN753" t="s">
        <v>74</v>
      </c>
      <c r="BO753" t="s">
        <v>241</v>
      </c>
      <c r="BP753" t="s">
        <v>74</v>
      </c>
      <c r="BQ753" t="s">
        <v>74</v>
      </c>
      <c r="BR753" t="s">
        <v>100</v>
      </c>
      <c r="BS753" t="s">
        <v>14103</v>
      </c>
      <c r="BT753" t="str">
        <f>HYPERLINK("https%3A%2F%2Fwww.webofscience.com%2Fwos%2Fwoscc%2Ffull-record%2FWOS:000364492900001","View Full Record in Web of Science")</f>
        <v>View Full Record in Web of Science</v>
      </c>
    </row>
    <row r="754" spans="1:72" x14ac:dyDescent="0.15">
      <c r="A754" t="s">
        <v>72</v>
      </c>
      <c r="B754" t="s">
        <v>14104</v>
      </c>
      <c r="C754" t="s">
        <v>74</v>
      </c>
      <c r="D754" t="s">
        <v>74</v>
      </c>
      <c r="E754" t="s">
        <v>74</v>
      </c>
      <c r="F754" t="s">
        <v>14105</v>
      </c>
      <c r="G754" t="s">
        <v>74</v>
      </c>
      <c r="H754" t="s">
        <v>74</v>
      </c>
      <c r="I754" t="s">
        <v>14106</v>
      </c>
      <c r="J754" t="s">
        <v>14085</v>
      </c>
      <c r="K754" t="s">
        <v>74</v>
      </c>
      <c r="L754" t="s">
        <v>74</v>
      </c>
      <c r="M754" t="s">
        <v>200</v>
      </c>
      <c r="N754" t="s">
        <v>79</v>
      </c>
      <c r="O754" t="s">
        <v>74</v>
      </c>
      <c r="P754" t="s">
        <v>74</v>
      </c>
      <c r="Q754" t="s">
        <v>74</v>
      </c>
      <c r="R754" t="s">
        <v>74</v>
      </c>
      <c r="S754" t="s">
        <v>74</v>
      </c>
      <c r="T754" t="s">
        <v>14107</v>
      </c>
      <c r="U754" t="s">
        <v>14108</v>
      </c>
      <c r="V754" t="s">
        <v>14109</v>
      </c>
      <c r="W754" t="s">
        <v>14110</v>
      </c>
      <c r="X754" t="s">
        <v>14111</v>
      </c>
      <c r="Y754" t="s">
        <v>14112</v>
      </c>
      <c r="Z754" t="s">
        <v>14113</v>
      </c>
      <c r="AA754" t="s">
        <v>14114</v>
      </c>
      <c r="AB754" t="s">
        <v>14115</v>
      </c>
      <c r="AC754" t="s">
        <v>14116</v>
      </c>
      <c r="AD754" t="s">
        <v>14117</v>
      </c>
      <c r="AE754" t="s">
        <v>14118</v>
      </c>
      <c r="AF754" t="s">
        <v>74</v>
      </c>
      <c r="AG754">
        <v>56</v>
      </c>
      <c r="AH754">
        <v>4</v>
      </c>
      <c r="AI754">
        <v>4</v>
      </c>
      <c r="AJ754">
        <v>0</v>
      </c>
      <c r="AK754">
        <v>7</v>
      </c>
      <c r="AL754" t="s">
        <v>3560</v>
      </c>
      <c r="AM754" t="s">
        <v>4093</v>
      </c>
      <c r="AN754" t="s">
        <v>6706</v>
      </c>
      <c r="AO754" t="s">
        <v>14096</v>
      </c>
      <c r="AP754" t="s">
        <v>14097</v>
      </c>
      <c r="AQ754" t="s">
        <v>74</v>
      </c>
      <c r="AR754" t="s">
        <v>14098</v>
      </c>
      <c r="AS754" t="s">
        <v>14099</v>
      </c>
      <c r="AT754" t="s">
        <v>12574</v>
      </c>
      <c r="AU754">
        <v>2015</v>
      </c>
      <c r="AV754">
        <v>36</v>
      </c>
      <c r="AW754">
        <v>4</v>
      </c>
      <c r="AX754" t="s">
        <v>74</v>
      </c>
      <c r="AY754" t="s">
        <v>74</v>
      </c>
      <c r="AZ754" t="s">
        <v>74</v>
      </c>
      <c r="BA754" t="s">
        <v>74</v>
      </c>
      <c r="BB754">
        <v>281</v>
      </c>
      <c r="BC754">
        <v>291</v>
      </c>
      <c r="BD754" t="s">
        <v>74</v>
      </c>
      <c r="BE754" t="s">
        <v>14119</v>
      </c>
      <c r="BF754" t="str">
        <f>HYPERLINK("http://dx.doi.org/10.1007/s11001-015-9250-3","http://dx.doi.org/10.1007/s11001-015-9250-3")</f>
        <v>http://dx.doi.org/10.1007/s11001-015-9250-3</v>
      </c>
      <c r="BG754" t="s">
        <v>74</v>
      </c>
      <c r="BH754" t="s">
        <v>74</v>
      </c>
      <c r="BI754">
        <v>11</v>
      </c>
      <c r="BJ754" t="s">
        <v>14101</v>
      </c>
      <c r="BK754" t="s">
        <v>264</v>
      </c>
      <c r="BL754" t="s">
        <v>14101</v>
      </c>
      <c r="BM754" t="s">
        <v>14102</v>
      </c>
      <c r="BN754" t="s">
        <v>74</v>
      </c>
      <c r="BO754" t="s">
        <v>74</v>
      </c>
      <c r="BP754" t="s">
        <v>74</v>
      </c>
      <c r="BQ754" t="s">
        <v>74</v>
      </c>
      <c r="BR754" t="s">
        <v>100</v>
      </c>
      <c r="BS754" t="s">
        <v>14120</v>
      </c>
      <c r="BT754" t="str">
        <f>HYPERLINK("https%3A%2F%2Fwww.webofscience.com%2Fwos%2Fwoscc%2Ffull-record%2FWOS:000364492900002","View Full Record in Web of Science")</f>
        <v>View Full Record in Web of Science</v>
      </c>
    </row>
    <row r="755" spans="1:72" x14ac:dyDescent="0.15">
      <c r="A755" t="s">
        <v>72</v>
      </c>
      <c r="B755" t="s">
        <v>14121</v>
      </c>
      <c r="C755" t="s">
        <v>74</v>
      </c>
      <c r="D755" t="s">
        <v>74</v>
      </c>
      <c r="E755" t="s">
        <v>74</v>
      </c>
      <c r="F755" t="s">
        <v>14122</v>
      </c>
      <c r="G755" t="s">
        <v>74</v>
      </c>
      <c r="H755" t="s">
        <v>74</v>
      </c>
      <c r="I755" t="s">
        <v>14123</v>
      </c>
      <c r="J755" t="s">
        <v>14124</v>
      </c>
      <c r="K755" t="s">
        <v>74</v>
      </c>
      <c r="L755" t="s">
        <v>74</v>
      </c>
      <c r="M755" t="s">
        <v>200</v>
      </c>
      <c r="N755" t="s">
        <v>79</v>
      </c>
      <c r="O755" t="s">
        <v>74</v>
      </c>
      <c r="P755" t="s">
        <v>74</v>
      </c>
      <c r="Q755" t="s">
        <v>74</v>
      </c>
      <c r="R755" t="s">
        <v>74</v>
      </c>
      <c r="S755" t="s">
        <v>74</v>
      </c>
      <c r="T755" t="s">
        <v>14125</v>
      </c>
      <c r="U755" t="s">
        <v>14126</v>
      </c>
      <c r="V755" t="s">
        <v>14127</v>
      </c>
      <c r="W755" t="s">
        <v>14128</v>
      </c>
      <c r="X755" t="s">
        <v>14129</v>
      </c>
      <c r="Y755" t="s">
        <v>14130</v>
      </c>
      <c r="Z755" t="s">
        <v>14131</v>
      </c>
      <c r="AA755" t="s">
        <v>14132</v>
      </c>
      <c r="AB755" t="s">
        <v>14133</v>
      </c>
      <c r="AC755" t="s">
        <v>14134</v>
      </c>
      <c r="AD755" t="s">
        <v>14135</v>
      </c>
      <c r="AE755" t="s">
        <v>14136</v>
      </c>
      <c r="AF755" t="s">
        <v>74</v>
      </c>
      <c r="AG755">
        <v>108</v>
      </c>
      <c r="AH755">
        <v>18</v>
      </c>
      <c r="AI755">
        <v>21</v>
      </c>
      <c r="AJ755">
        <v>0</v>
      </c>
      <c r="AK755">
        <v>52</v>
      </c>
      <c r="AL755" t="s">
        <v>3560</v>
      </c>
      <c r="AM755" t="s">
        <v>4093</v>
      </c>
      <c r="AN755" t="s">
        <v>6706</v>
      </c>
      <c r="AO755" t="s">
        <v>14137</v>
      </c>
      <c r="AP755" t="s">
        <v>14138</v>
      </c>
      <c r="AQ755" t="s">
        <v>74</v>
      </c>
      <c r="AR755" t="s">
        <v>14139</v>
      </c>
      <c r="AS755" t="s">
        <v>14140</v>
      </c>
      <c r="AT755" t="s">
        <v>12574</v>
      </c>
      <c r="AU755">
        <v>2015</v>
      </c>
      <c r="AV755">
        <v>48</v>
      </c>
      <c r="AW755">
        <v>4</v>
      </c>
      <c r="AX755" t="s">
        <v>74</v>
      </c>
      <c r="AY755" t="s">
        <v>74</v>
      </c>
      <c r="AZ755" t="s">
        <v>74</v>
      </c>
      <c r="BA755" t="s">
        <v>74</v>
      </c>
      <c r="BB755">
        <v>463</v>
      </c>
      <c r="BC755">
        <v>489</v>
      </c>
      <c r="BD755" t="s">
        <v>74</v>
      </c>
      <c r="BE755" t="s">
        <v>14141</v>
      </c>
      <c r="BF755" t="str">
        <f>HYPERLINK("http://dx.doi.org/10.1007/s11077-015-9222-0","http://dx.doi.org/10.1007/s11077-015-9222-0")</f>
        <v>http://dx.doi.org/10.1007/s11077-015-9222-0</v>
      </c>
      <c r="BG755" t="s">
        <v>74</v>
      </c>
      <c r="BH755" t="s">
        <v>74</v>
      </c>
      <c r="BI755">
        <v>27</v>
      </c>
      <c r="BJ755" t="s">
        <v>14142</v>
      </c>
      <c r="BK755" t="s">
        <v>1208</v>
      </c>
      <c r="BL755" t="s">
        <v>14143</v>
      </c>
      <c r="BM755" t="s">
        <v>14144</v>
      </c>
      <c r="BN755" t="s">
        <v>74</v>
      </c>
      <c r="BO755" t="s">
        <v>74</v>
      </c>
      <c r="BP755" t="s">
        <v>74</v>
      </c>
      <c r="BQ755" t="s">
        <v>74</v>
      </c>
      <c r="BR755" t="s">
        <v>100</v>
      </c>
      <c r="BS755" t="s">
        <v>14145</v>
      </c>
      <c r="BT755" t="str">
        <f>HYPERLINK("https%3A%2F%2Fwww.webofscience.com%2Fwos%2Fwoscc%2Ffull-record%2FWOS:000364573800004","View Full Record in Web of Science")</f>
        <v>View Full Record in Web of Science</v>
      </c>
    </row>
    <row r="756" spans="1:72" x14ac:dyDescent="0.15">
      <c r="A756" t="s">
        <v>72</v>
      </c>
      <c r="B756" t="s">
        <v>14146</v>
      </c>
      <c r="C756" t="s">
        <v>74</v>
      </c>
      <c r="D756" t="s">
        <v>74</v>
      </c>
      <c r="E756" t="s">
        <v>74</v>
      </c>
      <c r="F756" t="s">
        <v>14147</v>
      </c>
      <c r="G756" t="s">
        <v>74</v>
      </c>
      <c r="H756" t="s">
        <v>74</v>
      </c>
      <c r="I756" t="s">
        <v>14148</v>
      </c>
      <c r="J756" t="s">
        <v>14149</v>
      </c>
      <c r="K756" t="s">
        <v>74</v>
      </c>
      <c r="L756" t="s">
        <v>74</v>
      </c>
      <c r="M756" t="s">
        <v>200</v>
      </c>
      <c r="N756" t="s">
        <v>79</v>
      </c>
      <c r="O756" t="s">
        <v>74</v>
      </c>
      <c r="P756" t="s">
        <v>74</v>
      </c>
      <c r="Q756" t="s">
        <v>74</v>
      </c>
      <c r="R756" t="s">
        <v>74</v>
      </c>
      <c r="S756" t="s">
        <v>74</v>
      </c>
      <c r="T756" t="s">
        <v>14150</v>
      </c>
      <c r="U756" t="s">
        <v>74</v>
      </c>
      <c r="V756" t="s">
        <v>14151</v>
      </c>
      <c r="W756" t="s">
        <v>14152</v>
      </c>
      <c r="X756" t="s">
        <v>14153</v>
      </c>
      <c r="Y756" t="s">
        <v>14154</v>
      </c>
      <c r="Z756" t="s">
        <v>14155</v>
      </c>
      <c r="AA756" t="s">
        <v>14156</v>
      </c>
      <c r="AB756" t="s">
        <v>14157</v>
      </c>
      <c r="AC756" t="s">
        <v>14158</v>
      </c>
      <c r="AD756" t="s">
        <v>14159</v>
      </c>
      <c r="AE756" t="s">
        <v>14160</v>
      </c>
      <c r="AF756" t="s">
        <v>74</v>
      </c>
      <c r="AG756">
        <v>61</v>
      </c>
      <c r="AH756">
        <v>7</v>
      </c>
      <c r="AI756">
        <v>8</v>
      </c>
      <c r="AJ756">
        <v>0</v>
      </c>
      <c r="AK756">
        <v>23</v>
      </c>
      <c r="AL756" t="s">
        <v>14161</v>
      </c>
      <c r="AM756" t="s">
        <v>14162</v>
      </c>
      <c r="AN756" t="s">
        <v>14163</v>
      </c>
      <c r="AO756" t="s">
        <v>14164</v>
      </c>
      <c r="AP756" t="s">
        <v>14165</v>
      </c>
      <c r="AQ756" t="s">
        <v>74</v>
      </c>
      <c r="AR756" t="s">
        <v>14166</v>
      </c>
      <c r="AS756" t="s">
        <v>14167</v>
      </c>
      <c r="AT756" t="s">
        <v>12574</v>
      </c>
      <c r="AU756">
        <v>2015</v>
      </c>
      <c r="AV756">
        <v>15</v>
      </c>
      <c r="AW756">
        <v>3</v>
      </c>
      <c r="AX756" t="s">
        <v>74</v>
      </c>
      <c r="AY756" t="s">
        <v>74</v>
      </c>
      <c r="AZ756" t="s">
        <v>74</v>
      </c>
      <c r="BA756" t="s">
        <v>74</v>
      </c>
      <c r="BB756">
        <v>300</v>
      </c>
      <c r="BC756">
        <v>315</v>
      </c>
      <c r="BD756" t="s">
        <v>74</v>
      </c>
      <c r="BE756" t="s">
        <v>14168</v>
      </c>
      <c r="BF756" t="str">
        <f>HYPERLINK("http://dx.doi.org/10.1177/1468797615597858","http://dx.doi.org/10.1177/1468797615597858")</f>
        <v>http://dx.doi.org/10.1177/1468797615597858</v>
      </c>
      <c r="BG756" t="s">
        <v>74</v>
      </c>
      <c r="BH756" t="s">
        <v>74</v>
      </c>
      <c r="BI756">
        <v>16</v>
      </c>
      <c r="BJ756" t="s">
        <v>10144</v>
      </c>
      <c r="BK756" t="s">
        <v>1208</v>
      </c>
      <c r="BL756" t="s">
        <v>10145</v>
      </c>
      <c r="BM756" t="s">
        <v>14169</v>
      </c>
      <c r="BN756" t="s">
        <v>74</v>
      </c>
      <c r="BO756" t="s">
        <v>74</v>
      </c>
      <c r="BP756" t="s">
        <v>74</v>
      </c>
      <c r="BQ756" t="s">
        <v>74</v>
      </c>
      <c r="BR756" t="s">
        <v>100</v>
      </c>
      <c r="BS756" t="s">
        <v>14170</v>
      </c>
      <c r="BT756" t="str">
        <f>HYPERLINK("https%3A%2F%2Fwww.webofscience.com%2Fwos%2Fwoscc%2Ffull-record%2FWOS:000364822400005","View Full Record in Web of Science")</f>
        <v>View Full Record in Web of Science</v>
      </c>
    </row>
    <row r="757" spans="1:72" x14ac:dyDescent="0.15">
      <c r="A757" t="s">
        <v>72</v>
      </c>
      <c r="B757" t="s">
        <v>14171</v>
      </c>
      <c r="C757" t="s">
        <v>74</v>
      </c>
      <c r="D757" t="s">
        <v>74</v>
      </c>
      <c r="E757" t="s">
        <v>74</v>
      </c>
      <c r="F757" t="s">
        <v>14172</v>
      </c>
      <c r="G757" t="s">
        <v>74</v>
      </c>
      <c r="H757" t="s">
        <v>74</v>
      </c>
      <c r="I757" t="s">
        <v>14173</v>
      </c>
      <c r="J757" t="s">
        <v>14174</v>
      </c>
      <c r="K757" t="s">
        <v>74</v>
      </c>
      <c r="L757" t="s">
        <v>74</v>
      </c>
      <c r="M757" t="s">
        <v>200</v>
      </c>
      <c r="N757" t="s">
        <v>717</v>
      </c>
      <c r="O757" t="s">
        <v>74</v>
      </c>
      <c r="P757" t="s">
        <v>74</v>
      </c>
      <c r="Q757" t="s">
        <v>74</v>
      </c>
      <c r="R757" t="s">
        <v>74</v>
      </c>
      <c r="S757" t="s">
        <v>74</v>
      </c>
      <c r="T757" t="s">
        <v>14175</v>
      </c>
      <c r="U757" t="s">
        <v>14176</v>
      </c>
      <c r="V757" t="s">
        <v>14177</v>
      </c>
      <c r="W757" t="s">
        <v>14178</v>
      </c>
      <c r="X757" t="s">
        <v>14179</v>
      </c>
      <c r="Y757" t="s">
        <v>14180</v>
      </c>
      <c r="Z757" t="s">
        <v>14181</v>
      </c>
      <c r="AA757" t="s">
        <v>14182</v>
      </c>
      <c r="AB757" t="s">
        <v>14183</v>
      </c>
      <c r="AC757" t="s">
        <v>14184</v>
      </c>
      <c r="AD757" t="s">
        <v>14185</v>
      </c>
      <c r="AE757" t="s">
        <v>74</v>
      </c>
      <c r="AF757" t="s">
        <v>74</v>
      </c>
      <c r="AG757">
        <v>135</v>
      </c>
      <c r="AH757">
        <v>26</v>
      </c>
      <c r="AI757">
        <v>28</v>
      </c>
      <c r="AJ757">
        <v>1</v>
      </c>
      <c r="AK757">
        <v>39</v>
      </c>
      <c r="AL757" t="s">
        <v>7218</v>
      </c>
      <c r="AM757" t="s">
        <v>1386</v>
      </c>
      <c r="AN757" t="s">
        <v>7219</v>
      </c>
      <c r="AO757" t="s">
        <v>14186</v>
      </c>
      <c r="AP757" t="s">
        <v>14187</v>
      </c>
      <c r="AQ757" t="s">
        <v>74</v>
      </c>
      <c r="AR757" t="s">
        <v>14188</v>
      </c>
      <c r="AS757" t="s">
        <v>14189</v>
      </c>
      <c r="AT757" t="s">
        <v>12574</v>
      </c>
      <c r="AU757">
        <v>2015</v>
      </c>
      <c r="AV757">
        <v>19</v>
      </c>
      <c r="AW757" t="s">
        <v>74</v>
      </c>
      <c r="AX757" t="s">
        <v>6314</v>
      </c>
      <c r="AY757" t="s">
        <v>74</v>
      </c>
      <c r="AZ757" t="s">
        <v>74</v>
      </c>
      <c r="BA757" t="s">
        <v>74</v>
      </c>
      <c r="BB757">
        <v>37</v>
      </c>
      <c r="BC757">
        <v>54</v>
      </c>
      <c r="BD757" t="s">
        <v>74</v>
      </c>
      <c r="BE757" t="s">
        <v>14190</v>
      </c>
      <c r="BF757" t="str">
        <f>HYPERLINK("http://dx.doi.org/10.1016/j.aeolia.2015.09.004","http://dx.doi.org/10.1016/j.aeolia.2015.09.004")</f>
        <v>http://dx.doi.org/10.1016/j.aeolia.2015.09.004</v>
      </c>
      <c r="BG757" t="s">
        <v>74</v>
      </c>
      <c r="BH757" t="s">
        <v>74</v>
      </c>
      <c r="BI757">
        <v>18</v>
      </c>
      <c r="BJ757" t="s">
        <v>2747</v>
      </c>
      <c r="BK757" t="s">
        <v>264</v>
      </c>
      <c r="BL757" t="s">
        <v>2748</v>
      </c>
      <c r="BM757" t="s">
        <v>14191</v>
      </c>
      <c r="BN757" t="s">
        <v>74</v>
      </c>
      <c r="BO757" t="s">
        <v>431</v>
      </c>
      <c r="BP757" t="s">
        <v>74</v>
      </c>
      <c r="BQ757" t="s">
        <v>74</v>
      </c>
      <c r="BR757" t="s">
        <v>100</v>
      </c>
      <c r="BS757" t="s">
        <v>14192</v>
      </c>
      <c r="BT757" t="str">
        <f>HYPERLINK("https%3A%2F%2Fwww.webofscience.com%2Fwos%2Fwoscc%2Ffull-record%2FWOS:000367022900004","View Full Record in Web of Science")</f>
        <v>View Full Record in Web of Science</v>
      </c>
    </row>
    <row r="758" spans="1:72" x14ac:dyDescent="0.15">
      <c r="A758" t="s">
        <v>72</v>
      </c>
      <c r="B758" t="s">
        <v>14193</v>
      </c>
      <c r="C758" t="s">
        <v>74</v>
      </c>
      <c r="D758" t="s">
        <v>74</v>
      </c>
      <c r="E758" t="s">
        <v>74</v>
      </c>
      <c r="F758" t="s">
        <v>14194</v>
      </c>
      <c r="G758" t="s">
        <v>74</v>
      </c>
      <c r="H758" t="s">
        <v>74</v>
      </c>
      <c r="I758" t="s">
        <v>14195</v>
      </c>
      <c r="J758" t="s">
        <v>14196</v>
      </c>
      <c r="K758" t="s">
        <v>74</v>
      </c>
      <c r="L758" t="s">
        <v>74</v>
      </c>
      <c r="M758" t="s">
        <v>200</v>
      </c>
      <c r="N758" t="s">
        <v>8638</v>
      </c>
      <c r="O758" t="s">
        <v>74</v>
      </c>
      <c r="P758" t="s">
        <v>74</v>
      </c>
      <c r="Q758" t="s">
        <v>74</v>
      </c>
      <c r="R758" t="s">
        <v>74</v>
      </c>
      <c r="S758" t="s">
        <v>74</v>
      </c>
      <c r="T758" t="s">
        <v>74</v>
      </c>
      <c r="U758" t="s">
        <v>74</v>
      </c>
      <c r="V758" t="s">
        <v>74</v>
      </c>
      <c r="W758" t="s">
        <v>74</v>
      </c>
      <c r="X758" t="s">
        <v>74</v>
      </c>
      <c r="Y758" t="s">
        <v>74</v>
      </c>
      <c r="Z758" t="s">
        <v>74</v>
      </c>
      <c r="AA758" t="s">
        <v>74</v>
      </c>
      <c r="AB758" t="s">
        <v>74</v>
      </c>
      <c r="AC758" t="s">
        <v>74</v>
      </c>
      <c r="AD758" t="s">
        <v>74</v>
      </c>
      <c r="AE758" t="s">
        <v>74</v>
      </c>
      <c r="AF758" t="s">
        <v>74</v>
      </c>
      <c r="AG758">
        <v>0</v>
      </c>
      <c r="AH758">
        <v>0</v>
      </c>
      <c r="AI758">
        <v>0</v>
      </c>
      <c r="AJ758">
        <v>0</v>
      </c>
      <c r="AK758">
        <v>0</v>
      </c>
      <c r="AL758" t="s">
        <v>14197</v>
      </c>
      <c r="AM758" t="s">
        <v>14198</v>
      </c>
      <c r="AN758" t="s">
        <v>14199</v>
      </c>
      <c r="AO758" t="s">
        <v>14200</v>
      </c>
      <c r="AP758" t="s">
        <v>74</v>
      </c>
      <c r="AQ758" t="s">
        <v>74</v>
      </c>
      <c r="AR758" t="s">
        <v>14201</v>
      </c>
      <c r="AS758" t="s">
        <v>14202</v>
      </c>
      <c r="AT758" t="s">
        <v>12574</v>
      </c>
      <c r="AU758">
        <v>2015</v>
      </c>
      <c r="AV758">
        <v>53</v>
      </c>
      <c r="AW758">
        <v>11</v>
      </c>
      <c r="AX758" t="s">
        <v>74</v>
      </c>
      <c r="AY758" t="s">
        <v>74</v>
      </c>
      <c r="AZ758" t="s">
        <v>74</v>
      </c>
      <c r="BA758" t="s">
        <v>74</v>
      </c>
      <c r="BB758">
        <v>29</v>
      </c>
      <c r="BC758">
        <v>29</v>
      </c>
      <c r="BD758" t="s">
        <v>74</v>
      </c>
      <c r="BE758" t="s">
        <v>74</v>
      </c>
      <c r="BF758" t="s">
        <v>74</v>
      </c>
      <c r="BG758" t="s">
        <v>74</v>
      </c>
      <c r="BH758" t="s">
        <v>74</v>
      </c>
      <c r="BI758">
        <v>1</v>
      </c>
      <c r="BJ758" t="s">
        <v>2313</v>
      </c>
      <c r="BK758" t="s">
        <v>264</v>
      </c>
      <c r="BL758" t="s">
        <v>572</v>
      </c>
      <c r="BM758" t="s">
        <v>14203</v>
      </c>
      <c r="BN758" t="s">
        <v>74</v>
      </c>
      <c r="BO758" t="s">
        <v>74</v>
      </c>
      <c r="BP758" t="s">
        <v>74</v>
      </c>
      <c r="BQ758" t="s">
        <v>74</v>
      </c>
      <c r="BR758" t="s">
        <v>100</v>
      </c>
      <c r="BS758" t="s">
        <v>14204</v>
      </c>
      <c r="BT758" t="str">
        <f>HYPERLINK("https%3A%2F%2Fwww.webofscience.com%2Fwos%2Fwoscc%2Ffull-record%2FWOS:000367588400027","View Full Record in Web of Science")</f>
        <v>View Full Record in Web of Science</v>
      </c>
    </row>
    <row r="759" spans="1:72" x14ac:dyDescent="0.15">
      <c r="A759" t="s">
        <v>72</v>
      </c>
      <c r="B759" t="s">
        <v>14205</v>
      </c>
      <c r="C759" t="s">
        <v>74</v>
      </c>
      <c r="D759" t="s">
        <v>74</v>
      </c>
      <c r="E759" t="s">
        <v>74</v>
      </c>
      <c r="F759" t="s">
        <v>14206</v>
      </c>
      <c r="G759" t="s">
        <v>74</v>
      </c>
      <c r="H759" t="s">
        <v>74</v>
      </c>
      <c r="I759" t="s">
        <v>14207</v>
      </c>
      <c r="J759" t="s">
        <v>12886</v>
      </c>
      <c r="K759" t="s">
        <v>74</v>
      </c>
      <c r="L759" t="s">
        <v>74</v>
      </c>
      <c r="M759" t="s">
        <v>200</v>
      </c>
      <c r="N759" t="s">
        <v>8638</v>
      </c>
      <c r="O759" t="s">
        <v>74</v>
      </c>
      <c r="P759" t="s">
        <v>74</v>
      </c>
      <c r="Q759" t="s">
        <v>74</v>
      </c>
      <c r="R759" t="s">
        <v>74</v>
      </c>
      <c r="S759" t="s">
        <v>74</v>
      </c>
      <c r="T759" t="s">
        <v>74</v>
      </c>
      <c r="U759" t="s">
        <v>74</v>
      </c>
      <c r="V759" t="s">
        <v>74</v>
      </c>
      <c r="W759" t="s">
        <v>74</v>
      </c>
      <c r="X759" t="s">
        <v>74</v>
      </c>
      <c r="Y759" t="s">
        <v>74</v>
      </c>
      <c r="Z759" t="s">
        <v>74</v>
      </c>
      <c r="AA759" t="s">
        <v>14208</v>
      </c>
      <c r="AB759" t="s">
        <v>14209</v>
      </c>
      <c r="AC759" t="s">
        <v>74</v>
      </c>
      <c r="AD759" t="s">
        <v>74</v>
      </c>
      <c r="AE759" t="s">
        <v>74</v>
      </c>
      <c r="AF759" t="s">
        <v>74</v>
      </c>
      <c r="AG759">
        <v>0</v>
      </c>
      <c r="AH759">
        <v>1</v>
      </c>
      <c r="AI759">
        <v>1</v>
      </c>
      <c r="AJ759">
        <v>0</v>
      </c>
      <c r="AK759">
        <v>0</v>
      </c>
      <c r="AL759" t="s">
        <v>2239</v>
      </c>
      <c r="AM759" t="s">
        <v>289</v>
      </c>
      <c r="AN759" t="s">
        <v>7089</v>
      </c>
      <c r="AO759" t="s">
        <v>12899</v>
      </c>
      <c r="AP759" t="s">
        <v>12900</v>
      </c>
      <c r="AQ759" t="s">
        <v>74</v>
      </c>
      <c r="AR759" t="s">
        <v>12901</v>
      </c>
      <c r="AS759" t="s">
        <v>12902</v>
      </c>
      <c r="AT759" t="s">
        <v>12574</v>
      </c>
      <c r="AU759">
        <v>2015</v>
      </c>
      <c r="AV759">
        <v>27</v>
      </c>
      <c r="AW759">
        <v>6</v>
      </c>
      <c r="AX759" t="s">
        <v>74</v>
      </c>
      <c r="AY759" t="s">
        <v>74</v>
      </c>
      <c r="AZ759" t="s">
        <v>74</v>
      </c>
      <c r="BA759" t="s">
        <v>74</v>
      </c>
      <c r="BB759">
        <v>525</v>
      </c>
      <c r="BC759">
        <v>525</v>
      </c>
      <c r="BD759" t="s">
        <v>74</v>
      </c>
      <c r="BE759" t="s">
        <v>14210</v>
      </c>
      <c r="BF759" t="str">
        <f>HYPERLINK("http://dx.doi.org/10.1017/S0954102015000528","http://dx.doi.org/10.1017/S0954102015000528")</f>
        <v>http://dx.doi.org/10.1017/S0954102015000528</v>
      </c>
      <c r="BG759" t="s">
        <v>74</v>
      </c>
      <c r="BH759" t="s">
        <v>74</v>
      </c>
      <c r="BI759">
        <v>1</v>
      </c>
      <c r="BJ759" t="s">
        <v>12576</v>
      </c>
      <c r="BK759" t="s">
        <v>264</v>
      </c>
      <c r="BL759" t="s">
        <v>12577</v>
      </c>
      <c r="BM759" t="s">
        <v>12904</v>
      </c>
      <c r="BN759" t="s">
        <v>74</v>
      </c>
      <c r="BO759" t="s">
        <v>486</v>
      </c>
      <c r="BP759" t="s">
        <v>74</v>
      </c>
      <c r="BQ759" t="s">
        <v>74</v>
      </c>
      <c r="BR759" t="s">
        <v>100</v>
      </c>
      <c r="BS759" t="s">
        <v>14211</v>
      </c>
      <c r="BT759" t="str">
        <f>HYPERLINK("https%3A%2F%2Fwww.webofscience.com%2Fwos%2Fwoscc%2Ffull-record%2FWOS:000367904800001","View Full Record in Web of Science")</f>
        <v>View Full Record in Web of Science</v>
      </c>
    </row>
    <row r="760" spans="1:72" x14ac:dyDescent="0.15">
      <c r="A760" t="s">
        <v>72</v>
      </c>
      <c r="B760" t="s">
        <v>14212</v>
      </c>
      <c r="C760" t="s">
        <v>74</v>
      </c>
      <c r="D760" t="s">
        <v>74</v>
      </c>
      <c r="E760" t="s">
        <v>74</v>
      </c>
      <c r="F760" t="s">
        <v>14213</v>
      </c>
      <c r="G760" t="s">
        <v>74</v>
      </c>
      <c r="H760" t="s">
        <v>74</v>
      </c>
      <c r="I760" t="s">
        <v>14214</v>
      </c>
      <c r="J760" t="s">
        <v>12560</v>
      </c>
      <c r="K760" t="s">
        <v>74</v>
      </c>
      <c r="L760" t="s">
        <v>74</v>
      </c>
      <c r="M760" t="s">
        <v>200</v>
      </c>
      <c r="N760" t="s">
        <v>79</v>
      </c>
      <c r="O760" t="s">
        <v>74</v>
      </c>
      <c r="P760" t="s">
        <v>74</v>
      </c>
      <c r="Q760" t="s">
        <v>74</v>
      </c>
      <c r="R760" t="s">
        <v>74</v>
      </c>
      <c r="S760" t="s">
        <v>74</v>
      </c>
      <c r="T760" t="s">
        <v>14215</v>
      </c>
      <c r="U760" t="s">
        <v>14216</v>
      </c>
      <c r="V760" t="s">
        <v>14217</v>
      </c>
      <c r="W760" t="s">
        <v>14218</v>
      </c>
      <c r="X760" t="s">
        <v>14219</v>
      </c>
      <c r="Y760" t="s">
        <v>14220</v>
      </c>
      <c r="Z760" t="s">
        <v>14221</v>
      </c>
      <c r="AA760" t="s">
        <v>14222</v>
      </c>
      <c r="AB760" t="s">
        <v>14223</v>
      </c>
      <c r="AC760" t="s">
        <v>14224</v>
      </c>
      <c r="AD760" t="s">
        <v>14225</v>
      </c>
      <c r="AE760" t="s">
        <v>74</v>
      </c>
      <c r="AF760" t="s">
        <v>74</v>
      </c>
      <c r="AG760">
        <v>102</v>
      </c>
      <c r="AH760">
        <v>8</v>
      </c>
      <c r="AI760">
        <v>9</v>
      </c>
      <c r="AJ760">
        <v>0</v>
      </c>
      <c r="AK760">
        <v>15</v>
      </c>
      <c r="AL760" t="s">
        <v>7218</v>
      </c>
      <c r="AM760" t="s">
        <v>1386</v>
      </c>
      <c r="AN760" t="s">
        <v>7219</v>
      </c>
      <c r="AO760" t="s">
        <v>12572</v>
      </c>
      <c r="AP760" t="s">
        <v>74</v>
      </c>
      <c r="AQ760" t="s">
        <v>74</v>
      </c>
      <c r="AR760" t="s">
        <v>12560</v>
      </c>
      <c r="AS760" t="s">
        <v>12573</v>
      </c>
      <c r="AT760" t="s">
        <v>12574</v>
      </c>
      <c r="AU760">
        <v>2015</v>
      </c>
      <c r="AV760">
        <v>12</v>
      </c>
      <c r="AW760" t="s">
        <v>74</v>
      </c>
      <c r="AX760" t="s">
        <v>74</v>
      </c>
      <c r="AY760" t="s">
        <v>74</v>
      </c>
      <c r="AZ760" t="s">
        <v>74</v>
      </c>
      <c r="BA760" t="s">
        <v>74</v>
      </c>
      <c r="BB760">
        <v>42</v>
      </c>
      <c r="BC760">
        <v>53</v>
      </c>
      <c r="BD760" t="s">
        <v>74</v>
      </c>
      <c r="BE760" t="s">
        <v>14226</v>
      </c>
      <c r="BF760" t="str">
        <f>HYPERLINK("http://dx.doi.org/10.1016/j.ancene.2015.12.002","http://dx.doi.org/10.1016/j.ancene.2015.12.002")</f>
        <v>http://dx.doi.org/10.1016/j.ancene.2015.12.002</v>
      </c>
      <c r="BG760" t="s">
        <v>74</v>
      </c>
      <c r="BH760" t="s">
        <v>74</v>
      </c>
      <c r="BI760">
        <v>12</v>
      </c>
      <c r="BJ760" t="s">
        <v>12576</v>
      </c>
      <c r="BK760" t="s">
        <v>96</v>
      </c>
      <c r="BL760" t="s">
        <v>12577</v>
      </c>
      <c r="BM760" t="s">
        <v>12578</v>
      </c>
      <c r="BN760" t="s">
        <v>74</v>
      </c>
      <c r="BO760" t="s">
        <v>14227</v>
      </c>
      <c r="BP760" t="s">
        <v>74</v>
      </c>
      <c r="BQ760" t="s">
        <v>74</v>
      </c>
      <c r="BR760" t="s">
        <v>100</v>
      </c>
      <c r="BS760" t="s">
        <v>14228</v>
      </c>
      <c r="BT760" t="str">
        <f>HYPERLINK("https%3A%2F%2Fwww.webofscience.com%2Fwos%2Fwoscc%2Ffull-record%2FWOS:000381903600005","View Full Record in Web of Science")</f>
        <v>View Full Record in Web of Science</v>
      </c>
    </row>
    <row r="761" spans="1:72" x14ac:dyDescent="0.15">
      <c r="A761" t="s">
        <v>72</v>
      </c>
      <c r="B761" t="s">
        <v>14229</v>
      </c>
      <c r="C761" t="s">
        <v>74</v>
      </c>
      <c r="D761" t="s">
        <v>74</v>
      </c>
      <c r="E761" t="s">
        <v>74</v>
      </c>
      <c r="F761" t="s">
        <v>14230</v>
      </c>
      <c r="G761" t="s">
        <v>74</v>
      </c>
      <c r="H761" t="s">
        <v>74</v>
      </c>
      <c r="I761" t="s">
        <v>14231</v>
      </c>
      <c r="J761" t="s">
        <v>14232</v>
      </c>
      <c r="K761" t="s">
        <v>74</v>
      </c>
      <c r="L761" t="s">
        <v>74</v>
      </c>
      <c r="M761" t="s">
        <v>200</v>
      </c>
      <c r="N761" t="s">
        <v>79</v>
      </c>
      <c r="O761" t="s">
        <v>74</v>
      </c>
      <c r="P761" t="s">
        <v>74</v>
      </c>
      <c r="Q761" t="s">
        <v>74</v>
      </c>
      <c r="R761" t="s">
        <v>74</v>
      </c>
      <c r="S761" t="s">
        <v>74</v>
      </c>
      <c r="T761" t="s">
        <v>14233</v>
      </c>
      <c r="U761" t="s">
        <v>14234</v>
      </c>
      <c r="V761" t="s">
        <v>14235</v>
      </c>
      <c r="W761" t="s">
        <v>14236</v>
      </c>
      <c r="X761" t="s">
        <v>14237</v>
      </c>
      <c r="Y761" t="s">
        <v>14238</v>
      </c>
      <c r="Z761" t="s">
        <v>14239</v>
      </c>
      <c r="AA761" t="s">
        <v>14240</v>
      </c>
      <c r="AB761" t="s">
        <v>14241</v>
      </c>
      <c r="AC761" t="s">
        <v>14242</v>
      </c>
      <c r="AD761" t="s">
        <v>14243</v>
      </c>
      <c r="AE761" t="s">
        <v>14244</v>
      </c>
      <c r="AF761" t="s">
        <v>74</v>
      </c>
      <c r="AG761">
        <v>41</v>
      </c>
      <c r="AH761">
        <v>22</v>
      </c>
      <c r="AI761">
        <v>23</v>
      </c>
      <c r="AJ761">
        <v>0</v>
      </c>
      <c r="AK761">
        <v>45</v>
      </c>
      <c r="AL761" t="s">
        <v>3560</v>
      </c>
      <c r="AM761" t="s">
        <v>289</v>
      </c>
      <c r="AN761" t="s">
        <v>5440</v>
      </c>
      <c r="AO761" t="s">
        <v>14245</v>
      </c>
      <c r="AP761" t="s">
        <v>14246</v>
      </c>
      <c r="AQ761" t="s">
        <v>74</v>
      </c>
      <c r="AR761" t="s">
        <v>14247</v>
      </c>
      <c r="AS761" t="s">
        <v>14248</v>
      </c>
      <c r="AT761" t="s">
        <v>12574</v>
      </c>
      <c r="AU761">
        <v>2015</v>
      </c>
      <c r="AV761">
        <v>99</v>
      </c>
      <c r="AW761">
        <v>24</v>
      </c>
      <c r="AX761" t="s">
        <v>74</v>
      </c>
      <c r="AY761" t="s">
        <v>74</v>
      </c>
      <c r="AZ761" t="s">
        <v>74</v>
      </c>
      <c r="BA761" t="s">
        <v>74</v>
      </c>
      <c r="BB761">
        <v>10815</v>
      </c>
      <c r="BC761">
        <v>10827</v>
      </c>
      <c r="BD761" t="s">
        <v>74</v>
      </c>
      <c r="BE761" t="s">
        <v>14249</v>
      </c>
      <c r="BF761" t="str">
        <f>HYPERLINK("http://dx.doi.org/10.1007/s00253-015-6919-0","http://dx.doi.org/10.1007/s00253-015-6919-0")</f>
        <v>http://dx.doi.org/10.1007/s00253-015-6919-0</v>
      </c>
      <c r="BG761" t="s">
        <v>74</v>
      </c>
      <c r="BH761" t="s">
        <v>74</v>
      </c>
      <c r="BI761">
        <v>13</v>
      </c>
      <c r="BJ761" t="s">
        <v>14250</v>
      </c>
      <c r="BK761" t="s">
        <v>264</v>
      </c>
      <c r="BL761" t="s">
        <v>14250</v>
      </c>
      <c r="BM761" t="s">
        <v>14251</v>
      </c>
      <c r="BN761">
        <v>26286513</v>
      </c>
      <c r="BO761" t="s">
        <v>241</v>
      </c>
      <c r="BP761" t="s">
        <v>74</v>
      </c>
      <c r="BQ761" t="s">
        <v>74</v>
      </c>
      <c r="BR761" t="s">
        <v>100</v>
      </c>
      <c r="BS761" t="s">
        <v>14252</v>
      </c>
      <c r="BT761" t="str">
        <f>HYPERLINK("https%3A%2F%2Fwww.webofscience.com%2Fwos%2Fwoscc%2Ffull-record%2FWOS:000365712300038","View Full Record in Web of Science")</f>
        <v>View Full Record in Web of Science</v>
      </c>
    </row>
    <row r="762" spans="1:72" x14ac:dyDescent="0.15">
      <c r="A762" t="s">
        <v>72</v>
      </c>
      <c r="B762" t="s">
        <v>14253</v>
      </c>
      <c r="C762" t="s">
        <v>74</v>
      </c>
      <c r="D762" t="s">
        <v>74</v>
      </c>
      <c r="E762" t="s">
        <v>74</v>
      </c>
      <c r="F762" t="s">
        <v>14254</v>
      </c>
      <c r="G762" t="s">
        <v>74</v>
      </c>
      <c r="H762" t="s">
        <v>74</v>
      </c>
      <c r="I762" t="s">
        <v>14255</v>
      </c>
      <c r="J762" t="s">
        <v>14256</v>
      </c>
      <c r="K762" t="s">
        <v>74</v>
      </c>
      <c r="L762" t="s">
        <v>74</v>
      </c>
      <c r="M762" t="s">
        <v>200</v>
      </c>
      <c r="N762" t="s">
        <v>79</v>
      </c>
      <c r="O762" t="s">
        <v>74</v>
      </c>
      <c r="P762" t="s">
        <v>74</v>
      </c>
      <c r="Q762" t="s">
        <v>74</v>
      </c>
      <c r="R762" t="s">
        <v>74</v>
      </c>
      <c r="S762" t="s">
        <v>74</v>
      </c>
      <c r="T762" t="s">
        <v>14257</v>
      </c>
      <c r="U762" t="s">
        <v>14258</v>
      </c>
      <c r="V762" t="s">
        <v>14259</v>
      </c>
      <c r="W762" t="s">
        <v>14260</v>
      </c>
      <c r="X762" t="s">
        <v>14261</v>
      </c>
      <c r="Y762" t="s">
        <v>14262</v>
      </c>
      <c r="Z762" t="s">
        <v>14263</v>
      </c>
      <c r="AA762" t="s">
        <v>14264</v>
      </c>
      <c r="AB762" t="s">
        <v>14265</v>
      </c>
      <c r="AC762" t="s">
        <v>14266</v>
      </c>
      <c r="AD762" t="s">
        <v>14267</v>
      </c>
      <c r="AE762" t="s">
        <v>14268</v>
      </c>
      <c r="AF762" t="s">
        <v>74</v>
      </c>
      <c r="AG762">
        <v>45</v>
      </c>
      <c r="AH762">
        <v>67</v>
      </c>
      <c r="AI762">
        <v>70</v>
      </c>
      <c r="AJ762">
        <v>1</v>
      </c>
      <c r="AK762">
        <v>56</v>
      </c>
      <c r="AL762" t="s">
        <v>14269</v>
      </c>
      <c r="AM762" t="s">
        <v>14270</v>
      </c>
      <c r="AN762" t="s">
        <v>14271</v>
      </c>
      <c r="AO762" t="s">
        <v>14272</v>
      </c>
      <c r="AP762" t="s">
        <v>14273</v>
      </c>
      <c r="AQ762" t="s">
        <v>74</v>
      </c>
      <c r="AR762" t="s">
        <v>14256</v>
      </c>
      <c r="AS762" t="s">
        <v>14274</v>
      </c>
      <c r="AT762" t="s">
        <v>13519</v>
      </c>
      <c r="AU762">
        <v>2015</v>
      </c>
      <c r="AV762">
        <v>15</v>
      </c>
      <c r="AW762">
        <v>12</v>
      </c>
      <c r="AX762" t="s">
        <v>74</v>
      </c>
      <c r="AY762" t="s">
        <v>74</v>
      </c>
      <c r="AZ762" t="s">
        <v>74</v>
      </c>
      <c r="BA762" t="s">
        <v>74</v>
      </c>
      <c r="BB762">
        <v>1052</v>
      </c>
      <c r="BC762">
        <v>1059</v>
      </c>
      <c r="BD762" t="s">
        <v>74</v>
      </c>
      <c r="BE762" t="s">
        <v>14275</v>
      </c>
      <c r="BF762" t="str">
        <f>HYPERLINK("http://dx.doi.org/10.1089/ast.2015.1324","http://dx.doi.org/10.1089/ast.2015.1324")</f>
        <v>http://dx.doi.org/10.1089/ast.2015.1324</v>
      </c>
      <c r="BG762" t="s">
        <v>74</v>
      </c>
      <c r="BH762" t="s">
        <v>74</v>
      </c>
      <c r="BI762">
        <v>8</v>
      </c>
      <c r="BJ762" t="s">
        <v>14276</v>
      </c>
      <c r="BK762" t="s">
        <v>264</v>
      </c>
      <c r="BL762" t="s">
        <v>14277</v>
      </c>
      <c r="BM762" t="s">
        <v>14278</v>
      </c>
      <c r="BN762">
        <v>26684504</v>
      </c>
      <c r="BO762" t="s">
        <v>74</v>
      </c>
      <c r="BP762" t="s">
        <v>74</v>
      </c>
      <c r="BQ762" t="s">
        <v>74</v>
      </c>
      <c r="BR762" t="s">
        <v>100</v>
      </c>
      <c r="BS762" t="s">
        <v>14279</v>
      </c>
      <c r="BT762" t="str">
        <f>HYPERLINK("https%3A%2F%2Fwww.webofscience.com%2Fwos%2Fwoscc%2Ffull-record%2FWOS:000366722500003","View Full Record in Web of Science")</f>
        <v>View Full Record in Web of Science</v>
      </c>
    </row>
    <row r="763" spans="1:72" x14ac:dyDescent="0.15">
      <c r="A763" t="s">
        <v>72</v>
      </c>
      <c r="B763" t="s">
        <v>14280</v>
      </c>
      <c r="C763" t="s">
        <v>74</v>
      </c>
      <c r="D763" t="s">
        <v>74</v>
      </c>
      <c r="E763" t="s">
        <v>74</v>
      </c>
      <c r="F763" t="s">
        <v>14281</v>
      </c>
      <c r="G763" t="s">
        <v>74</v>
      </c>
      <c r="H763" t="s">
        <v>74</v>
      </c>
      <c r="I763" t="s">
        <v>14282</v>
      </c>
      <c r="J763" t="s">
        <v>14256</v>
      </c>
      <c r="K763" t="s">
        <v>74</v>
      </c>
      <c r="L763" t="s">
        <v>74</v>
      </c>
      <c r="M763" t="s">
        <v>200</v>
      </c>
      <c r="N763" t="s">
        <v>79</v>
      </c>
      <c r="O763" t="s">
        <v>74</v>
      </c>
      <c r="P763" t="s">
        <v>74</v>
      </c>
      <c r="Q763" t="s">
        <v>74</v>
      </c>
      <c r="R763" t="s">
        <v>74</v>
      </c>
      <c r="S763" t="s">
        <v>74</v>
      </c>
      <c r="T763" t="s">
        <v>14283</v>
      </c>
      <c r="U763" t="s">
        <v>14284</v>
      </c>
      <c r="V763" t="s">
        <v>14285</v>
      </c>
      <c r="W763" t="s">
        <v>14286</v>
      </c>
      <c r="X763" t="s">
        <v>14287</v>
      </c>
      <c r="Y763" t="s">
        <v>14288</v>
      </c>
      <c r="Z763" t="s">
        <v>14289</v>
      </c>
      <c r="AA763" t="s">
        <v>14290</v>
      </c>
      <c r="AB763" t="s">
        <v>14291</v>
      </c>
      <c r="AC763" t="s">
        <v>14292</v>
      </c>
      <c r="AD763" t="s">
        <v>14293</v>
      </c>
      <c r="AE763" t="s">
        <v>14294</v>
      </c>
      <c r="AF763" t="s">
        <v>74</v>
      </c>
      <c r="AG763">
        <v>73</v>
      </c>
      <c r="AH763">
        <v>54</v>
      </c>
      <c r="AI763">
        <v>60</v>
      </c>
      <c r="AJ763">
        <v>1</v>
      </c>
      <c r="AK763">
        <v>68</v>
      </c>
      <c r="AL763" t="s">
        <v>14269</v>
      </c>
      <c r="AM763" t="s">
        <v>14270</v>
      </c>
      <c r="AN763" t="s">
        <v>14271</v>
      </c>
      <c r="AO763" t="s">
        <v>14272</v>
      </c>
      <c r="AP763" t="s">
        <v>14273</v>
      </c>
      <c r="AQ763" t="s">
        <v>74</v>
      </c>
      <c r="AR763" t="s">
        <v>14256</v>
      </c>
      <c r="AS763" t="s">
        <v>14274</v>
      </c>
      <c r="AT763" t="s">
        <v>13519</v>
      </c>
      <c r="AU763">
        <v>2015</v>
      </c>
      <c r="AV763">
        <v>15</v>
      </c>
      <c r="AW763">
        <v>12</v>
      </c>
      <c r="AX763" t="s">
        <v>74</v>
      </c>
      <c r="AY763" t="s">
        <v>74</v>
      </c>
      <c r="AZ763" t="s">
        <v>74</v>
      </c>
      <c r="BA763" t="s">
        <v>74</v>
      </c>
      <c r="BB763">
        <v>1076</v>
      </c>
      <c r="BC763">
        <v>1090</v>
      </c>
      <c r="BD763" t="s">
        <v>74</v>
      </c>
      <c r="BE763" t="s">
        <v>14295</v>
      </c>
      <c r="BF763" t="str">
        <f>HYPERLINK("http://dx.doi.org/10.1089/ast.2014.1278","http://dx.doi.org/10.1089/ast.2014.1278")</f>
        <v>http://dx.doi.org/10.1089/ast.2014.1278</v>
      </c>
      <c r="BG763" t="s">
        <v>74</v>
      </c>
      <c r="BH763" t="s">
        <v>74</v>
      </c>
      <c r="BI763">
        <v>15</v>
      </c>
      <c r="BJ763" t="s">
        <v>14276</v>
      </c>
      <c r="BK763" t="s">
        <v>264</v>
      </c>
      <c r="BL763" t="s">
        <v>14277</v>
      </c>
      <c r="BM763" t="s">
        <v>14278</v>
      </c>
      <c r="BN763">
        <v>26684506</v>
      </c>
      <c r="BO763" t="s">
        <v>241</v>
      </c>
      <c r="BP763" t="s">
        <v>74</v>
      </c>
      <c r="BQ763" t="s">
        <v>74</v>
      </c>
      <c r="BR763" t="s">
        <v>100</v>
      </c>
      <c r="BS763" t="s">
        <v>14296</v>
      </c>
      <c r="BT763" t="str">
        <f>HYPERLINK("https%3A%2F%2Fwww.webofscience.com%2Fwos%2Fwoscc%2Ffull-record%2FWOS:000366722500005","View Full Record in Web of Science")</f>
        <v>View Full Record in Web of Science</v>
      </c>
    </row>
    <row r="764" spans="1:72" x14ac:dyDescent="0.15">
      <c r="A764" t="s">
        <v>72</v>
      </c>
      <c r="B764" t="s">
        <v>14297</v>
      </c>
      <c r="C764" t="s">
        <v>74</v>
      </c>
      <c r="D764" t="s">
        <v>74</v>
      </c>
      <c r="E764" t="s">
        <v>74</v>
      </c>
      <c r="F764" t="s">
        <v>14298</v>
      </c>
      <c r="G764" t="s">
        <v>74</v>
      </c>
      <c r="H764" t="s">
        <v>74</v>
      </c>
      <c r="I764" t="s">
        <v>14299</v>
      </c>
      <c r="J764" t="s">
        <v>6890</v>
      </c>
      <c r="K764" t="s">
        <v>74</v>
      </c>
      <c r="L764" t="s">
        <v>74</v>
      </c>
      <c r="M764" t="s">
        <v>200</v>
      </c>
      <c r="N764" t="s">
        <v>79</v>
      </c>
      <c r="O764" t="s">
        <v>74</v>
      </c>
      <c r="P764" t="s">
        <v>74</v>
      </c>
      <c r="Q764" t="s">
        <v>74</v>
      </c>
      <c r="R764" t="s">
        <v>74</v>
      </c>
      <c r="S764" t="s">
        <v>74</v>
      </c>
      <c r="T764" t="s">
        <v>14300</v>
      </c>
      <c r="U764" t="s">
        <v>14301</v>
      </c>
      <c r="V764" t="s">
        <v>14302</v>
      </c>
      <c r="W764" t="s">
        <v>14303</v>
      </c>
      <c r="X764" t="s">
        <v>14304</v>
      </c>
      <c r="Y764" t="s">
        <v>14305</v>
      </c>
      <c r="Z764" t="s">
        <v>14306</v>
      </c>
      <c r="AA764" t="s">
        <v>14307</v>
      </c>
      <c r="AB764" t="s">
        <v>14308</v>
      </c>
      <c r="AC764" t="s">
        <v>14309</v>
      </c>
      <c r="AD764" t="s">
        <v>14310</v>
      </c>
      <c r="AE764" t="s">
        <v>14311</v>
      </c>
      <c r="AF764" t="s">
        <v>74</v>
      </c>
      <c r="AG764">
        <v>43</v>
      </c>
      <c r="AH764">
        <v>6</v>
      </c>
      <c r="AI764">
        <v>7</v>
      </c>
      <c r="AJ764">
        <v>2</v>
      </c>
      <c r="AK764">
        <v>36</v>
      </c>
      <c r="AL764" t="s">
        <v>5888</v>
      </c>
      <c r="AM764" t="s">
        <v>1386</v>
      </c>
      <c r="AN764" t="s">
        <v>5889</v>
      </c>
      <c r="AO764" t="s">
        <v>6903</v>
      </c>
      <c r="AP764" t="s">
        <v>6904</v>
      </c>
      <c r="AQ764" t="s">
        <v>74</v>
      </c>
      <c r="AR764" t="s">
        <v>6905</v>
      </c>
      <c r="AS764" t="s">
        <v>6906</v>
      </c>
      <c r="AT764" t="s">
        <v>12574</v>
      </c>
      <c r="AU764">
        <v>2015</v>
      </c>
      <c r="AV764">
        <v>123</v>
      </c>
      <c r="AW764" t="s">
        <v>74</v>
      </c>
      <c r="AX764" t="s">
        <v>6314</v>
      </c>
      <c r="AY764" t="s">
        <v>74</v>
      </c>
      <c r="AZ764" t="s">
        <v>74</v>
      </c>
      <c r="BA764" t="s">
        <v>74</v>
      </c>
      <c r="BB764">
        <v>9</v>
      </c>
      <c r="BC764">
        <v>17</v>
      </c>
      <c r="BD764" t="s">
        <v>74</v>
      </c>
      <c r="BE764" t="s">
        <v>14312</v>
      </c>
      <c r="BF764" t="str">
        <f>HYPERLINK("http://dx.doi.org/10.1016/j.atmosenv.2015.10.062","http://dx.doi.org/10.1016/j.atmosenv.2015.10.062")</f>
        <v>http://dx.doi.org/10.1016/j.atmosenv.2015.10.062</v>
      </c>
      <c r="BG764" t="s">
        <v>74</v>
      </c>
      <c r="BH764" t="s">
        <v>74</v>
      </c>
      <c r="BI764">
        <v>9</v>
      </c>
      <c r="BJ764" t="s">
        <v>3244</v>
      </c>
      <c r="BK764" t="s">
        <v>264</v>
      </c>
      <c r="BL764" t="s">
        <v>3245</v>
      </c>
      <c r="BM764" t="s">
        <v>14313</v>
      </c>
      <c r="BN764" t="s">
        <v>74</v>
      </c>
      <c r="BO764" t="s">
        <v>74</v>
      </c>
      <c r="BP764" t="s">
        <v>74</v>
      </c>
      <c r="BQ764" t="s">
        <v>74</v>
      </c>
      <c r="BR764" t="s">
        <v>100</v>
      </c>
      <c r="BS764" t="s">
        <v>14314</v>
      </c>
      <c r="BT764" t="str">
        <f>HYPERLINK("https%3A%2F%2Fwww.webofscience.com%2Fwos%2Fwoscc%2Ffull-record%2FWOS:000367498600002","View Full Record in Web of Science")</f>
        <v>View Full Record in Web of Science</v>
      </c>
    </row>
    <row r="765" spans="1:72" x14ac:dyDescent="0.15">
      <c r="A765" t="s">
        <v>72</v>
      </c>
      <c r="B765" t="s">
        <v>14315</v>
      </c>
      <c r="C765" t="s">
        <v>74</v>
      </c>
      <c r="D765" t="s">
        <v>74</v>
      </c>
      <c r="E765" t="s">
        <v>74</v>
      </c>
      <c r="F765" t="s">
        <v>14316</v>
      </c>
      <c r="G765" t="s">
        <v>74</v>
      </c>
      <c r="H765" t="s">
        <v>74</v>
      </c>
      <c r="I765" t="s">
        <v>14317</v>
      </c>
      <c r="J765" t="s">
        <v>6890</v>
      </c>
      <c r="K765" t="s">
        <v>74</v>
      </c>
      <c r="L765" t="s">
        <v>74</v>
      </c>
      <c r="M765" t="s">
        <v>200</v>
      </c>
      <c r="N765" t="s">
        <v>79</v>
      </c>
      <c r="O765" t="s">
        <v>74</v>
      </c>
      <c r="P765" t="s">
        <v>74</v>
      </c>
      <c r="Q765" t="s">
        <v>74</v>
      </c>
      <c r="R765" t="s">
        <v>74</v>
      </c>
      <c r="S765" t="s">
        <v>74</v>
      </c>
      <c r="T765" t="s">
        <v>14318</v>
      </c>
      <c r="U765" t="s">
        <v>14319</v>
      </c>
      <c r="V765" t="s">
        <v>14320</v>
      </c>
      <c r="W765" t="s">
        <v>14321</v>
      </c>
      <c r="X765" t="s">
        <v>14322</v>
      </c>
      <c r="Y765" t="s">
        <v>14323</v>
      </c>
      <c r="Z765" t="s">
        <v>14324</v>
      </c>
      <c r="AA765" t="s">
        <v>14325</v>
      </c>
      <c r="AB765" t="s">
        <v>14326</v>
      </c>
      <c r="AC765" t="s">
        <v>14327</v>
      </c>
      <c r="AD765" t="s">
        <v>14328</v>
      </c>
      <c r="AE765" t="s">
        <v>14329</v>
      </c>
      <c r="AF765" t="s">
        <v>74</v>
      </c>
      <c r="AG765">
        <v>25</v>
      </c>
      <c r="AH765">
        <v>14</v>
      </c>
      <c r="AI765">
        <v>15</v>
      </c>
      <c r="AJ765">
        <v>4</v>
      </c>
      <c r="AK765">
        <v>70</v>
      </c>
      <c r="AL765" t="s">
        <v>5888</v>
      </c>
      <c r="AM765" t="s">
        <v>1386</v>
      </c>
      <c r="AN765" t="s">
        <v>5889</v>
      </c>
      <c r="AO765" t="s">
        <v>6903</v>
      </c>
      <c r="AP765" t="s">
        <v>6904</v>
      </c>
      <c r="AQ765" t="s">
        <v>74</v>
      </c>
      <c r="AR765" t="s">
        <v>6905</v>
      </c>
      <c r="AS765" t="s">
        <v>6906</v>
      </c>
      <c r="AT765" t="s">
        <v>12574</v>
      </c>
      <c r="AU765">
        <v>2015</v>
      </c>
      <c r="AV765">
        <v>122</v>
      </c>
      <c r="AW765" t="s">
        <v>74</v>
      </c>
      <c r="AX765" t="s">
        <v>74</v>
      </c>
      <c r="AY765" t="s">
        <v>74</v>
      </c>
      <c r="AZ765" t="s">
        <v>74</v>
      </c>
      <c r="BA765" t="s">
        <v>74</v>
      </c>
      <c r="BB765">
        <v>142</v>
      </c>
      <c r="BC765">
        <v>147</v>
      </c>
      <c r="BD765" t="s">
        <v>74</v>
      </c>
      <c r="BE765" t="s">
        <v>14330</v>
      </c>
      <c r="BF765" t="str">
        <f>HYPERLINK("http://dx.doi.org/10.1016/j.atmosenv.2015.09.049","http://dx.doi.org/10.1016/j.atmosenv.2015.09.049")</f>
        <v>http://dx.doi.org/10.1016/j.atmosenv.2015.09.049</v>
      </c>
      <c r="BG765" t="s">
        <v>74</v>
      </c>
      <c r="BH765" t="s">
        <v>74</v>
      </c>
      <c r="BI765">
        <v>6</v>
      </c>
      <c r="BJ765" t="s">
        <v>3244</v>
      </c>
      <c r="BK765" t="s">
        <v>264</v>
      </c>
      <c r="BL765" t="s">
        <v>3245</v>
      </c>
      <c r="BM765" t="s">
        <v>13030</v>
      </c>
      <c r="BN765" t="s">
        <v>74</v>
      </c>
      <c r="BO765" t="s">
        <v>74</v>
      </c>
      <c r="BP765" t="s">
        <v>74</v>
      </c>
      <c r="BQ765" t="s">
        <v>74</v>
      </c>
      <c r="BR765" t="s">
        <v>100</v>
      </c>
      <c r="BS765" t="s">
        <v>14331</v>
      </c>
      <c r="BT765" t="str">
        <f>HYPERLINK("https%3A%2F%2Fwww.webofscience.com%2Fwos%2Fwoscc%2Ffull-record%2FWOS:000367413600014","View Full Record in Web of Science")</f>
        <v>View Full Record in Web of Science</v>
      </c>
    </row>
    <row r="766" spans="1:72" x14ac:dyDescent="0.15">
      <c r="A766" t="s">
        <v>72</v>
      </c>
      <c r="B766" t="s">
        <v>14332</v>
      </c>
      <c r="C766" t="s">
        <v>74</v>
      </c>
      <c r="D766" t="s">
        <v>74</v>
      </c>
      <c r="E766" t="s">
        <v>74</v>
      </c>
      <c r="F766" t="s">
        <v>14333</v>
      </c>
      <c r="G766" t="s">
        <v>74</v>
      </c>
      <c r="H766" t="s">
        <v>74</v>
      </c>
      <c r="I766" t="s">
        <v>14334</v>
      </c>
      <c r="J766" t="s">
        <v>8220</v>
      </c>
      <c r="K766" t="s">
        <v>74</v>
      </c>
      <c r="L766" t="s">
        <v>74</v>
      </c>
      <c r="M766" t="s">
        <v>200</v>
      </c>
      <c r="N766" t="s">
        <v>79</v>
      </c>
      <c r="O766" t="s">
        <v>74</v>
      </c>
      <c r="P766" t="s">
        <v>74</v>
      </c>
      <c r="Q766" t="s">
        <v>74</v>
      </c>
      <c r="R766" t="s">
        <v>74</v>
      </c>
      <c r="S766" t="s">
        <v>74</v>
      </c>
      <c r="T766" t="s">
        <v>74</v>
      </c>
      <c r="U766" t="s">
        <v>14335</v>
      </c>
      <c r="V766" t="s">
        <v>74</v>
      </c>
      <c r="W766" t="s">
        <v>14336</v>
      </c>
      <c r="X766" t="s">
        <v>14337</v>
      </c>
      <c r="Y766" t="s">
        <v>14338</v>
      </c>
      <c r="Z766" t="s">
        <v>74</v>
      </c>
      <c r="AA766" t="s">
        <v>14339</v>
      </c>
      <c r="AB766" t="s">
        <v>14340</v>
      </c>
      <c r="AC766" t="s">
        <v>14341</v>
      </c>
      <c r="AD766" t="s">
        <v>14342</v>
      </c>
      <c r="AE766" t="s">
        <v>14343</v>
      </c>
      <c r="AF766" t="s">
        <v>74</v>
      </c>
      <c r="AG766">
        <v>23</v>
      </c>
      <c r="AH766">
        <v>16</v>
      </c>
      <c r="AI766">
        <v>16</v>
      </c>
      <c r="AJ766">
        <v>0</v>
      </c>
      <c r="AK766">
        <v>12</v>
      </c>
      <c r="AL766" t="s">
        <v>6662</v>
      </c>
      <c r="AM766" t="s">
        <v>6663</v>
      </c>
      <c r="AN766" t="s">
        <v>6664</v>
      </c>
      <c r="AO766" t="s">
        <v>8232</v>
      </c>
      <c r="AP766" t="s">
        <v>8233</v>
      </c>
      <c r="AQ766" t="s">
        <v>74</v>
      </c>
      <c r="AR766" t="s">
        <v>8234</v>
      </c>
      <c r="AS766" t="s">
        <v>8235</v>
      </c>
      <c r="AT766" t="s">
        <v>12574</v>
      </c>
      <c r="AU766">
        <v>2015</v>
      </c>
      <c r="AV766">
        <v>96</v>
      </c>
      <c r="AW766">
        <v>12</v>
      </c>
      <c r="AX766" t="s">
        <v>74</v>
      </c>
      <c r="AY766" t="s">
        <v>74</v>
      </c>
      <c r="AZ766" t="s">
        <v>74</v>
      </c>
      <c r="BA766" t="s">
        <v>74</v>
      </c>
      <c r="BB766" t="s">
        <v>14344</v>
      </c>
      <c r="BC766" t="s">
        <v>14345</v>
      </c>
      <c r="BD766" t="s">
        <v>74</v>
      </c>
      <c r="BE766" t="s">
        <v>14346</v>
      </c>
      <c r="BF766" t="str">
        <f>HYPERLINK("http://dx.doi.org/10.1175/BAMS-D-15-00093.1","http://dx.doi.org/10.1175/BAMS-D-15-00093.1")</f>
        <v>http://dx.doi.org/10.1175/BAMS-D-15-00093.1</v>
      </c>
      <c r="BG766" t="s">
        <v>74</v>
      </c>
      <c r="BH766" t="s">
        <v>74</v>
      </c>
      <c r="BI766">
        <v>5</v>
      </c>
      <c r="BJ766" t="s">
        <v>1721</v>
      </c>
      <c r="BK766" t="s">
        <v>264</v>
      </c>
      <c r="BL766" t="s">
        <v>1721</v>
      </c>
      <c r="BM766" t="s">
        <v>14347</v>
      </c>
      <c r="BN766" t="s">
        <v>74</v>
      </c>
      <c r="BO766" t="s">
        <v>3183</v>
      </c>
      <c r="BP766" t="s">
        <v>74</v>
      </c>
      <c r="BQ766" t="s">
        <v>74</v>
      </c>
      <c r="BR766" t="s">
        <v>100</v>
      </c>
      <c r="BS766" t="s">
        <v>14348</v>
      </c>
      <c r="BT766" t="str">
        <f>HYPERLINK("https%3A%2F%2Fwww.webofscience.com%2Fwos%2Fwoscc%2Ffull-record%2FWOS:000368503300033","View Full Record in Web of Science")</f>
        <v>View Full Record in Web of Science</v>
      </c>
    </row>
    <row r="767" spans="1:72" x14ac:dyDescent="0.15">
      <c r="A767" t="s">
        <v>72</v>
      </c>
      <c r="B767" t="s">
        <v>14349</v>
      </c>
      <c r="C767" t="s">
        <v>74</v>
      </c>
      <c r="D767" t="s">
        <v>74</v>
      </c>
      <c r="E767" t="s">
        <v>74</v>
      </c>
      <c r="F767" t="s">
        <v>14350</v>
      </c>
      <c r="G767" t="s">
        <v>74</v>
      </c>
      <c r="H767" t="s">
        <v>74</v>
      </c>
      <c r="I767" t="s">
        <v>14351</v>
      </c>
      <c r="J767" t="s">
        <v>8220</v>
      </c>
      <c r="K767" t="s">
        <v>74</v>
      </c>
      <c r="L767" t="s">
        <v>74</v>
      </c>
      <c r="M767" t="s">
        <v>200</v>
      </c>
      <c r="N767" t="s">
        <v>79</v>
      </c>
      <c r="O767" t="s">
        <v>74</v>
      </c>
      <c r="P767" t="s">
        <v>74</v>
      </c>
      <c r="Q767" t="s">
        <v>74</v>
      </c>
      <c r="R767" t="s">
        <v>74</v>
      </c>
      <c r="S767" t="s">
        <v>74</v>
      </c>
      <c r="T767" t="s">
        <v>74</v>
      </c>
      <c r="U767" t="s">
        <v>74</v>
      </c>
      <c r="V767" t="s">
        <v>14352</v>
      </c>
      <c r="W767" t="s">
        <v>14353</v>
      </c>
      <c r="X767" t="s">
        <v>14354</v>
      </c>
      <c r="Y767" t="s">
        <v>14355</v>
      </c>
      <c r="Z767" t="s">
        <v>74</v>
      </c>
      <c r="AA767" t="s">
        <v>14356</v>
      </c>
      <c r="AB767" t="s">
        <v>14357</v>
      </c>
      <c r="AC767" t="s">
        <v>74</v>
      </c>
      <c r="AD767" t="s">
        <v>74</v>
      </c>
      <c r="AE767" t="s">
        <v>74</v>
      </c>
      <c r="AF767" t="s">
        <v>74</v>
      </c>
      <c r="AG767">
        <v>10</v>
      </c>
      <c r="AH767">
        <v>93</v>
      </c>
      <c r="AI767">
        <v>108</v>
      </c>
      <c r="AJ767">
        <v>1</v>
      </c>
      <c r="AK767">
        <v>33</v>
      </c>
      <c r="AL767" t="s">
        <v>6662</v>
      </c>
      <c r="AM767" t="s">
        <v>6663</v>
      </c>
      <c r="AN767" t="s">
        <v>6664</v>
      </c>
      <c r="AO767" t="s">
        <v>8232</v>
      </c>
      <c r="AP767" t="s">
        <v>8233</v>
      </c>
      <c r="AQ767" t="s">
        <v>74</v>
      </c>
      <c r="AR767" t="s">
        <v>8234</v>
      </c>
      <c r="AS767" t="s">
        <v>8235</v>
      </c>
      <c r="AT767" t="s">
        <v>12574</v>
      </c>
      <c r="AU767">
        <v>2015</v>
      </c>
      <c r="AV767">
        <v>96</v>
      </c>
      <c r="AW767">
        <v>12</v>
      </c>
      <c r="AX767" t="s">
        <v>74</v>
      </c>
      <c r="AY767" t="s">
        <v>74</v>
      </c>
      <c r="AZ767" t="s">
        <v>74</v>
      </c>
      <c r="BA767" t="s">
        <v>74</v>
      </c>
      <c r="BB767" t="s">
        <v>74</v>
      </c>
      <c r="BC767" t="s">
        <v>74</v>
      </c>
      <c r="BD767" t="s">
        <v>74</v>
      </c>
      <c r="BE767" t="s">
        <v>14358</v>
      </c>
      <c r="BF767" t="str">
        <f>HYPERLINK("http://dx.doi.org/10.1175/BAMS-EEE_2014_ch1.1","http://dx.doi.org/10.1175/BAMS-EEE_2014_ch1.1")</f>
        <v>http://dx.doi.org/10.1175/BAMS-EEE_2014_ch1.1</v>
      </c>
      <c r="BG767" t="s">
        <v>74</v>
      </c>
      <c r="BH767" t="s">
        <v>74</v>
      </c>
      <c r="BI767">
        <v>11</v>
      </c>
      <c r="BJ767" t="s">
        <v>1721</v>
      </c>
      <c r="BK767" t="s">
        <v>264</v>
      </c>
      <c r="BL767" t="s">
        <v>1721</v>
      </c>
      <c r="BM767" t="s">
        <v>14359</v>
      </c>
      <c r="BN767" t="s">
        <v>74</v>
      </c>
      <c r="BO767" t="s">
        <v>1796</v>
      </c>
      <c r="BP767" t="s">
        <v>74</v>
      </c>
      <c r="BQ767" t="s">
        <v>74</v>
      </c>
      <c r="BR767" t="s">
        <v>100</v>
      </c>
      <c r="BS767" t="s">
        <v>14360</v>
      </c>
      <c r="BT767" t="str">
        <f>HYPERLINK("https%3A%2F%2Fwww.webofscience.com%2Fwos%2Fwoscc%2Ffull-record%2FWOS:000368502600001","View Full Record in Web of Science")</f>
        <v>View Full Record in Web of Science</v>
      </c>
    </row>
    <row r="768" spans="1:72" x14ac:dyDescent="0.15">
      <c r="A768" t="s">
        <v>72</v>
      </c>
      <c r="B768" t="s">
        <v>14361</v>
      </c>
      <c r="C768" t="s">
        <v>74</v>
      </c>
      <c r="D768" t="s">
        <v>74</v>
      </c>
      <c r="E768" t="s">
        <v>74</v>
      </c>
      <c r="F768" t="s">
        <v>14362</v>
      </c>
      <c r="G768" t="s">
        <v>74</v>
      </c>
      <c r="H768" t="s">
        <v>74</v>
      </c>
      <c r="I768" t="s">
        <v>14363</v>
      </c>
      <c r="J768" t="s">
        <v>6092</v>
      </c>
      <c r="K768" t="s">
        <v>74</v>
      </c>
      <c r="L768" t="s">
        <v>74</v>
      </c>
      <c r="M768" t="s">
        <v>200</v>
      </c>
      <c r="N768" t="s">
        <v>79</v>
      </c>
      <c r="O768" t="s">
        <v>74</v>
      </c>
      <c r="P768" t="s">
        <v>74</v>
      </c>
      <c r="Q768" t="s">
        <v>74</v>
      </c>
      <c r="R768" t="s">
        <v>74</v>
      </c>
      <c r="S768" t="s">
        <v>74</v>
      </c>
      <c r="T768" t="s">
        <v>14364</v>
      </c>
      <c r="U768" t="s">
        <v>14365</v>
      </c>
      <c r="V768" t="s">
        <v>14366</v>
      </c>
      <c r="W768" t="s">
        <v>14367</v>
      </c>
      <c r="X768" t="s">
        <v>14368</v>
      </c>
      <c r="Y768" t="s">
        <v>14369</v>
      </c>
      <c r="Z768" t="s">
        <v>14370</v>
      </c>
      <c r="AA768" t="s">
        <v>14371</v>
      </c>
      <c r="AB768" t="s">
        <v>14372</v>
      </c>
      <c r="AC768" t="s">
        <v>14373</v>
      </c>
      <c r="AD768" t="s">
        <v>14374</v>
      </c>
      <c r="AE768" t="s">
        <v>14375</v>
      </c>
      <c r="AF768" t="s">
        <v>74</v>
      </c>
      <c r="AG768">
        <v>46</v>
      </c>
      <c r="AH768">
        <v>13</v>
      </c>
      <c r="AI768">
        <v>14</v>
      </c>
      <c r="AJ768">
        <v>2</v>
      </c>
      <c r="AK768">
        <v>28</v>
      </c>
      <c r="AL768" t="s">
        <v>3560</v>
      </c>
      <c r="AM768" t="s">
        <v>289</v>
      </c>
      <c r="AN768" t="s">
        <v>6124</v>
      </c>
      <c r="AO768" t="s">
        <v>6102</v>
      </c>
      <c r="AP768" t="s">
        <v>6103</v>
      </c>
      <c r="AQ768" t="s">
        <v>74</v>
      </c>
      <c r="AR768" t="s">
        <v>6104</v>
      </c>
      <c r="AS768" t="s">
        <v>6105</v>
      </c>
      <c r="AT768" t="s">
        <v>12574</v>
      </c>
      <c r="AU768">
        <v>2015</v>
      </c>
      <c r="AV768">
        <v>45</v>
      </c>
      <c r="AW768" t="s">
        <v>14376</v>
      </c>
      <c r="AX768" t="s">
        <v>74</v>
      </c>
      <c r="AY768" t="s">
        <v>74</v>
      </c>
      <c r="AZ768" t="s">
        <v>74</v>
      </c>
      <c r="BA768" t="s">
        <v>74</v>
      </c>
      <c r="BB768">
        <v>3157</v>
      </c>
      <c r="BC768">
        <v>3168</v>
      </c>
      <c r="BD768" t="s">
        <v>74</v>
      </c>
      <c r="BE768" t="s">
        <v>14377</v>
      </c>
      <c r="BF768" t="str">
        <f>HYPERLINK("http://dx.doi.org/10.1007/s00382-015-2530-4","http://dx.doi.org/10.1007/s00382-015-2530-4")</f>
        <v>http://dx.doi.org/10.1007/s00382-015-2530-4</v>
      </c>
      <c r="BG768" t="s">
        <v>74</v>
      </c>
      <c r="BH768" t="s">
        <v>74</v>
      </c>
      <c r="BI768">
        <v>12</v>
      </c>
      <c r="BJ768" t="s">
        <v>1721</v>
      </c>
      <c r="BK768" t="s">
        <v>264</v>
      </c>
      <c r="BL768" t="s">
        <v>1721</v>
      </c>
      <c r="BM768" t="s">
        <v>14378</v>
      </c>
      <c r="BN768" t="s">
        <v>74</v>
      </c>
      <c r="BO768" t="s">
        <v>74</v>
      </c>
      <c r="BP768" t="s">
        <v>74</v>
      </c>
      <c r="BQ768" t="s">
        <v>74</v>
      </c>
      <c r="BR768" t="s">
        <v>100</v>
      </c>
      <c r="BS768" t="s">
        <v>14379</v>
      </c>
      <c r="BT768" t="str">
        <f>HYPERLINK("https%3A%2F%2Fwww.webofscience.com%2Fwos%2Fwoscc%2Ffull-record%2FWOS:000365418900013","View Full Record in Web of Science")</f>
        <v>View Full Record in Web of Science</v>
      </c>
    </row>
    <row r="769" spans="1:72" x14ac:dyDescent="0.15">
      <c r="A769" t="s">
        <v>72</v>
      </c>
      <c r="B769" t="s">
        <v>14380</v>
      </c>
      <c r="C769" t="s">
        <v>74</v>
      </c>
      <c r="D769" t="s">
        <v>74</v>
      </c>
      <c r="E769" t="s">
        <v>74</v>
      </c>
      <c r="F769" t="s">
        <v>14381</v>
      </c>
      <c r="G769" t="s">
        <v>74</v>
      </c>
      <c r="H769" t="s">
        <v>74</v>
      </c>
      <c r="I769" t="s">
        <v>14382</v>
      </c>
      <c r="J769" t="s">
        <v>6092</v>
      </c>
      <c r="K769" t="s">
        <v>74</v>
      </c>
      <c r="L769" t="s">
        <v>74</v>
      </c>
      <c r="M769" t="s">
        <v>200</v>
      </c>
      <c r="N769" t="s">
        <v>79</v>
      </c>
      <c r="O769" t="s">
        <v>74</v>
      </c>
      <c r="P769" t="s">
        <v>74</v>
      </c>
      <c r="Q769" t="s">
        <v>74</v>
      </c>
      <c r="R769" t="s">
        <v>74</v>
      </c>
      <c r="S769" t="s">
        <v>74</v>
      </c>
      <c r="T769" t="s">
        <v>14383</v>
      </c>
      <c r="U769" t="s">
        <v>14384</v>
      </c>
      <c r="V769" t="s">
        <v>14385</v>
      </c>
      <c r="W769" t="s">
        <v>14386</v>
      </c>
      <c r="X769" t="s">
        <v>14387</v>
      </c>
      <c r="Y769" t="s">
        <v>14388</v>
      </c>
      <c r="Z769" t="s">
        <v>14389</v>
      </c>
      <c r="AA769" t="s">
        <v>14390</v>
      </c>
      <c r="AB769" t="s">
        <v>14391</v>
      </c>
      <c r="AC769" t="s">
        <v>14392</v>
      </c>
      <c r="AD769" t="s">
        <v>14393</v>
      </c>
      <c r="AE769" t="s">
        <v>14394</v>
      </c>
      <c r="AF769" t="s">
        <v>74</v>
      </c>
      <c r="AG769">
        <v>47</v>
      </c>
      <c r="AH769">
        <v>31</v>
      </c>
      <c r="AI769">
        <v>31</v>
      </c>
      <c r="AJ769">
        <v>0</v>
      </c>
      <c r="AK769">
        <v>13</v>
      </c>
      <c r="AL769" t="s">
        <v>3560</v>
      </c>
      <c r="AM769" t="s">
        <v>289</v>
      </c>
      <c r="AN769" t="s">
        <v>5440</v>
      </c>
      <c r="AO769" t="s">
        <v>6102</v>
      </c>
      <c r="AP769" t="s">
        <v>6103</v>
      </c>
      <c r="AQ769" t="s">
        <v>74</v>
      </c>
      <c r="AR769" t="s">
        <v>6104</v>
      </c>
      <c r="AS769" t="s">
        <v>6105</v>
      </c>
      <c r="AT769" t="s">
        <v>12574</v>
      </c>
      <c r="AU769">
        <v>2015</v>
      </c>
      <c r="AV769">
        <v>45</v>
      </c>
      <c r="AW769" t="s">
        <v>14376</v>
      </c>
      <c r="AX769" t="s">
        <v>74</v>
      </c>
      <c r="AY769" t="s">
        <v>74</v>
      </c>
      <c r="AZ769" t="s">
        <v>74</v>
      </c>
      <c r="BA769" t="s">
        <v>74</v>
      </c>
      <c r="BB769">
        <v>3205</v>
      </c>
      <c r="BC769">
        <v>3226</v>
      </c>
      <c r="BD769" t="s">
        <v>74</v>
      </c>
      <c r="BE769" t="s">
        <v>14395</v>
      </c>
      <c r="BF769" t="str">
        <f>HYPERLINK("http://dx.doi.org/10.1007/s00382-015-2534-0","http://dx.doi.org/10.1007/s00382-015-2534-0")</f>
        <v>http://dx.doi.org/10.1007/s00382-015-2534-0</v>
      </c>
      <c r="BG769" t="s">
        <v>74</v>
      </c>
      <c r="BH769" t="s">
        <v>74</v>
      </c>
      <c r="BI769">
        <v>22</v>
      </c>
      <c r="BJ769" t="s">
        <v>1721</v>
      </c>
      <c r="BK769" t="s">
        <v>264</v>
      </c>
      <c r="BL769" t="s">
        <v>1721</v>
      </c>
      <c r="BM769" t="s">
        <v>14378</v>
      </c>
      <c r="BN769" t="s">
        <v>74</v>
      </c>
      <c r="BO769" t="s">
        <v>431</v>
      </c>
      <c r="BP769" t="s">
        <v>74</v>
      </c>
      <c r="BQ769" t="s">
        <v>74</v>
      </c>
      <c r="BR769" t="s">
        <v>100</v>
      </c>
      <c r="BS769" t="s">
        <v>14396</v>
      </c>
      <c r="BT769" t="str">
        <f>HYPERLINK("https%3A%2F%2Fwww.webofscience.com%2Fwos%2Fwoscc%2Ffull-record%2FWOS:000365418900016","View Full Record in Web of Science")</f>
        <v>View Full Record in Web of Science</v>
      </c>
    </row>
    <row r="770" spans="1:72" x14ac:dyDescent="0.15">
      <c r="A770" t="s">
        <v>72</v>
      </c>
      <c r="B770" t="s">
        <v>14397</v>
      </c>
      <c r="C770" t="s">
        <v>74</v>
      </c>
      <c r="D770" t="s">
        <v>74</v>
      </c>
      <c r="E770" t="s">
        <v>74</v>
      </c>
      <c r="F770" t="s">
        <v>14398</v>
      </c>
      <c r="G770" t="s">
        <v>74</v>
      </c>
      <c r="H770" t="s">
        <v>74</v>
      </c>
      <c r="I770" t="s">
        <v>14399</v>
      </c>
      <c r="J770" t="s">
        <v>6092</v>
      </c>
      <c r="K770" t="s">
        <v>74</v>
      </c>
      <c r="L770" t="s">
        <v>74</v>
      </c>
      <c r="M770" t="s">
        <v>200</v>
      </c>
      <c r="N770" t="s">
        <v>79</v>
      </c>
      <c r="O770" t="s">
        <v>74</v>
      </c>
      <c r="P770" t="s">
        <v>74</v>
      </c>
      <c r="Q770" t="s">
        <v>74</v>
      </c>
      <c r="R770" t="s">
        <v>74</v>
      </c>
      <c r="S770" t="s">
        <v>74</v>
      </c>
      <c r="T770" t="s">
        <v>14400</v>
      </c>
      <c r="U770" t="s">
        <v>14401</v>
      </c>
      <c r="V770" t="s">
        <v>14402</v>
      </c>
      <c r="W770" t="s">
        <v>14403</v>
      </c>
      <c r="X770" t="s">
        <v>14404</v>
      </c>
      <c r="Y770" t="s">
        <v>14405</v>
      </c>
      <c r="Z770" t="s">
        <v>14406</v>
      </c>
      <c r="AA770" t="s">
        <v>74</v>
      </c>
      <c r="AB770" t="s">
        <v>74</v>
      </c>
      <c r="AC770" t="s">
        <v>14407</v>
      </c>
      <c r="AD770" t="s">
        <v>14407</v>
      </c>
      <c r="AE770" t="s">
        <v>14408</v>
      </c>
      <c r="AF770" t="s">
        <v>74</v>
      </c>
      <c r="AG770">
        <v>75</v>
      </c>
      <c r="AH770">
        <v>36</v>
      </c>
      <c r="AI770">
        <v>37</v>
      </c>
      <c r="AJ770">
        <v>3</v>
      </c>
      <c r="AK770">
        <v>29</v>
      </c>
      <c r="AL770" t="s">
        <v>3560</v>
      </c>
      <c r="AM770" t="s">
        <v>289</v>
      </c>
      <c r="AN770" t="s">
        <v>6124</v>
      </c>
      <c r="AO770" t="s">
        <v>6102</v>
      </c>
      <c r="AP770" t="s">
        <v>6103</v>
      </c>
      <c r="AQ770" t="s">
        <v>74</v>
      </c>
      <c r="AR770" t="s">
        <v>6104</v>
      </c>
      <c r="AS770" t="s">
        <v>6105</v>
      </c>
      <c r="AT770" t="s">
        <v>12574</v>
      </c>
      <c r="AU770">
        <v>2015</v>
      </c>
      <c r="AV770">
        <v>45</v>
      </c>
      <c r="AW770" t="s">
        <v>14376</v>
      </c>
      <c r="AX770" t="s">
        <v>74</v>
      </c>
      <c r="AY770" t="s">
        <v>74</v>
      </c>
      <c r="AZ770" t="s">
        <v>74</v>
      </c>
      <c r="BA770" t="s">
        <v>74</v>
      </c>
      <c r="BB770">
        <v>3227</v>
      </c>
      <c r="BC770">
        <v>3242</v>
      </c>
      <c r="BD770" t="s">
        <v>74</v>
      </c>
      <c r="BE770" t="s">
        <v>14409</v>
      </c>
      <c r="BF770" t="str">
        <f>HYPERLINK("http://dx.doi.org/10.1007/s00382-015-2535-z","http://dx.doi.org/10.1007/s00382-015-2535-z")</f>
        <v>http://dx.doi.org/10.1007/s00382-015-2535-z</v>
      </c>
      <c r="BG770" t="s">
        <v>74</v>
      </c>
      <c r="BH770" t="s">
        <v>74</v>
      </c>
      <c r="BI770">
        <v>16</v>
      </c>
      <c r="BJ770" t="s">
        <v>1721</v>
      </c>
      <c r="BK770" t="s">
        <v>264</v>
      </c>
      <c r="BL770" t="s">
        <v>1721</v>
      </c>
      <c r="BM770" t="s">
        <v>14378</v>
      </c>
      <c r="BN770" t="s">
        <v>74</v>
      </c>
      <c r="BO770" t="s">
        <v>5581</v>
      </c>
      <c r="BP770" t="s">
        <v>74</v>
      </c>
      <c r="BQ770" t="s">
        <v>74</v>
      </c>
      <c r="BR770" t="s">
        <v>100</v>
      </c>
      <c r="BS770" t="s">
        <v>14410</v>
      </c>
      <c r="BT770" t="str">
        <f>HYPERLINK("https%3A%2F%2Fwww.webofscience.com%2Fwos%2Fwoscc%2Ffull-record%2FWOS:000365418900017","View Full Record in Web of Science")</f>
        <v>View Full Record in Web of Science</v>
      </c>
    </row>
    <row r="771" spans="1:72" x14ac:dyDescent="0.15">
      <c r="A771" t="s">
        <v>72</v>
      </c>
      <c r="B771" t="s">
        <v>14411</v>
      </c>
      <c r="C771" t="s">
        <v>74</v>
      </c>
      <c r="D771" t="s">
        <v>74</v>
      </c>
      <c r="E771" t="s">
        <v>74</v>
      </c>
      <c r="F771" t="s">
        <v>14412</v>
      </c>
      <c r="G771" t="s">
        <v>74</v>
      </c>
      <c r="H771" t="s">
        <v>74</v>
      </c>
      <c r="I771" t="s">
        <v>14413</v>
      </c>
      <c r="J771" t="s">
        <v>14414</v>
      </c>
      <c r="K771" t="s">
        <v>74</v>
      </c>
      <c r="L771" t="s">
        <v>74</v>
      </c>
      <c r="M771" t="s">
        <v>200</v>
      </c>
      <c r="N771" t="s">
        <v>79</v>
      </c>
      <c r="O771" t="s">
        <v>74</v>
      </c>
      <c r="P771" t="s">
        <v>74</v>
      </c>
      <c r="Q771" t="s">
        <v>74</v>
      </c>
      <c r="R771" t="s">
        <v>74</v>
      </c>
      <c r="S771" t="s">
        <v>74</v>
      </c>
      <c r="T771" t="s">
        <v>14415</v>
      </c>
      <c r="U771" t="s">
        <v>14416</v>
      </c>
      <c r="V771" t="s">
        <v>14417</v>
      </c>
      <c r="W771" t="s">
        <v>14418</v>
      </c>
      <c r="X771" t="s">
        <v>468</v>
      </c>
      <c r="Y771" t="s">
        <v>14419</v>
      </c>
      <c r="Z771" t="s">
        <v>14420</v>
      </c>
      <c r="AA771" t="s">
        <v>74</v>
      </c>
      <c r="AB771" t="s">
        <v>14421</v>
      </c>
      <c r="AC771" t="s">
        <v>14422</v>
      </c>
      <c r="AD771" t="s">
        <v>7578</v>
      </c>
      <c r="AE771" t="s">
        <v>74</v>
      </c>
      <c r="AF771" t="s">
        <v>74</v>
      </c>
      <c r="AG771">
        <v>27</v>
      </c>
      <c r="AH771">
        <v>2</v>
      </c>
      <c r="AI771">
        <v>2</v>
      </c>
      <c r="AJ771">
        <v>4</v>
      </c>
      <c r="AK771">
        <v>18</v>
      </c>
      <c r="AL771" t="s">
        <v>7137</v>
      </c>
      <c r="AM771" t="s">
        <v>209</v>
      </c>
      <c r="AN771" t="s">
        <v>7138</v>
      </c>
      <c r="AO771" t="s">
        <v>14423</v>
      </c>
      <c r="AP771" t="s">
        <v>14424</v>
      </c>
      <c r="AQ771" t="s">
        <v>74</v>
      </c>
      <c r="AR771" t="s">
        <v>14425</v>
      </c>
      <c r="AS771" t="s">
        <v>14426</v>
      </c>
      <c r="AT771" t="s">
        <v>12574</v>
      </c>
      <c r="AU771">
        <v>2015</v>
      </c>
      <c r="AV771">
        <v>120</v>
      </c>
      <c r="AW771" t="s">
        <v>74</v>
      </c>
      <c r="AX771" t="s">
        <v>74</v>
      </c>
      <c r="AY771" t="s">
        <v>74</v>
      </c>
      <c r="AZ771" t="s">
        <v>2540</v>
      </c>
      <c r="BA771" t="s">
        <v>74</v>
      </c>
      <c r="BB771">
        <v>56</v>
      </c>
      <c r="BC771">
        <v>62</v>
      </c>
      <c r="BD771" t="s">
        <v>74</v>
      </c>
      <c r="BE771" t="s">
        <v>14427</v>
      </c>
      <c r="BF771" t="str">
        <f>HYPERLINK("http://dx.doi.org/10.1016/j.coldregions.2015.09.010","http://dx.doi.org/10.1016/j.coldregions.2015.09.010")</f>
        <v>http://dx.doi.org/10.1016/j.coldregions.2015.09.010</v>
      </c>
      <c r="BG771" t="s">
        <v>74</v>
      </c>
      <c r="BH771" t="s">
        <v>74</v>
      </c>
      <c r="BI771">
        <v>7</v>
      </c>
      <c r="BJ771" t="s">
        <v>14428</v>
      </c>
      <c r="BK771" t="s">
        <v>264</v>
      </c>
      <c r="BL771" t="s">
        <v>14429</v>
      </c>
      <c r="BM771" t="s">
        <v>14430</v>
      </c>
      <c r="BN771" t="s">
        <v>74</v>
      </c>
      <c r="BO771" t="s">
        <v>431</v>
      </c>
      <c r="BP771" t="s">
        <v>74</v>
      </c>
      <c r="BQ771" t="s">
        <v>74</v>
      </c>
      <c r="BR771" t="s">
        <v>100</v>
      </c>
      <c r="BS771" t="s">
        <v>14431</v>
      </c>
      <c r="BT771" t="str">
        <f>HYPERLINK("https%3A%2F%2Fwww.webofscience.com%2Fwos%2Fwoscc%2Ffull-record%2FWOS:000365055400006","View Full Record in Web of Science")</f>
        <v>View Full Record in Web of Science</v>
      </c>
    </row>
    <row r="772" spans="1:72" x14ac:dyDescent="0.15">
      <c r="A772" t="s">
        <v>72</v>
      </c>
      <c r="B772" t="s">
        <v>14432</v>
      </c>
      <c r="C772" t="s">
        <v>74</v>
      </c>
      <c r="D772" t="s">
        <v>74</v>
      </c>
      <c r="E772" t="s">
        <v>74</v>
      </c>
      <c r="F772" t="s">
        <v>14433</v>
      </c>
      <c r="G772" t="s">
        <v>74</v>
      </c>
      <c r="H772" t="s">
        <v>14434</v>
      </c>
      <c r="I772" t="s">
        <v>14435</v>
      </c>
      <c r="J772" t="s">
        <v>14436</v>
      </c>
      <c r="K772" t="s">
        <v>74</v>
      </c>
      <c r="L772" t="s">
        <v>74</v>
      </c>
      <c r="M772" t="s">
        <v>200</v>
      </c>
      <c r="N772" t="s">
        <v>79</v>
      </c>
      <c r="O772" t="s">
        <v>74</v>
      </c>
      <c r="P772" t="s">
        <v>74</v>
      </c>
      <c r="Q772" t="s">
        <v>74</v>
      </c>
      <c r="R772" t="s">
        <v>74</v>
      </c>
      <c r="S772" t="s">
        <v>74</v>
      </c>
      <c r="T772" t="s">
        <v>14437</v>
      </c>
      <c r="U772" t="s">
        <v>14438</v>
      </c>
      <c r="V772" t="s">
        <v>14439</v>
      </c>
      <c r="W772" t="s">
        <v>14440</v>
      </c>
      <c r="X772" t="s">
        <v>14441</v>
      </c>
      <c r="Y772" t="s">
        <v>14442</v>
      </c>
      <c r="Z772" t="s">
        <v>74</v>
      </c>
      <c r="AA772" t="s">
        <v>14443</v>
      </c>
      <c r="AB772" t="s">
        <v>14444</v>
      </c>
      <c r="AC772" t="s">
        <v>14445</v>
      </c>
      <c r="AD772" t="s">
        <v>14446</v>
      </c>
      <c r="AE772" t="s">
        <v>14447</v>
      </c>
      <c r="AF772" t="s">
        <v>74</v>
      </c>
      <c r="AG772">
        <v>35</v>
      </c>
      <c r="AH772">
        <v>15</v>
      </c>
      <c r="AI772">
        <v>20</v>
      </c>
      <c r="AJ772">
        <v>0</v>
      </c>
      <c r="AK772">
        <v>10</v>
      </c>
      <c r="AL772" t="s">
        <v>7218</v>
      </c>
      <c r="AM772" t="s">
        <v>1386</v>
      </c>
      <c r="AN772" t="s">
        <v>7219</v>
      </c>
      <c r="AO772" t="s">
        <v>14448</v>
      </c>
      <c r="AP772" t="s">
        <v>14449</v>
      </c>
      <c r="AQ772" t="s">
        <v>74</v>
      </c>
      <c r="AR772" t="s">
        <v>14436</v>
      </c>
      <c r="AS772" t="s">
        <v>14450</v>
      </c>
      <c r="AT772" t="s">
        <v>12574</v>
      </c>
      <c r="AU772">
        <v>2015</v>
      </c>
      <c r="AV772">
        <v>72</v>
      </c>
      <c r="AW772" t="s">
        <v>74</v>
      </c>
      <c r="AX772">
        <v>1</v>
      </c>
      <c r="AY772" t="s">
        <v>74</v>
      </c>
      <c r="AZ772" t="s">
        <v>74</v>
      </c>
      <c r="BA772" t="s">
        <v>74</v>
      </c>
      <c r="BB772">
        <v>65</v>
      </c>
      <c r="BC772">
        <v>76</v>
      </c>
      <c r="BD772" t="s">
        <v>74</v>
      </c>
      <c r="BE772" t="s">
        <v>14451</v>
      </c>
      <c r="BF772" t="str">
        <f>HYPERLINK("http://dx.doi.org/10.1016/j.cryogenics.2015.09.002","http://dx.doi.org/10.1016/j.cryogenics.2015.09.002")</f>
        <v>http://dx.doi.org/10.1016/j.cryogenics.2015.09.002</v>
      </c>
      <c r="BG772" t="s">
        <v>74</v>
      </c>
      <c r="BH772" t="s">
        <v>74</v>
      </c>
      <c r="BI772">
        <v>12</v>
      </c>
      <c r="BJ772" t="s">
        <v>14452</v>
      </c>
      <c r="BK772" t="s">
        <v>264</v>
      </c>
      <c r="BL772" t="s">
        <v>695</v>
      </c>
      <c r="BM772" t="s">
        <v>14453</v>
      </c>
      <c r="BN772" t="s">
        <v>74</v>
      </c>
      <c r="BO772" t="s">
        <v>403</v>
      </c>
      <c r="BP772" t="s">
        <v>74</v>
      </c>
      <c r="BQ772" t="s">
        <v>74</v>
      </c>
      <c r="BR772" t="s">
        <v>100</v>
      </c>
      <c r="BS772" t="s">
        <v>14454</v>
      </c>
      <c r="BT772" t="str">
        <f>HYPERLINK("https%3A%2F%2Fwww.webofscience.com%2Fwos%2Fwoscc%2Ffull-record%2FWOS:000367482800009","View Full Record in Web of Science")</f>
        <v>View Full Record in Web of Science</v>
      </c>
    </row>
    <row r="773" spans="1:72" x14ac:dyDescent="0.15">
      <c r="A773" t="s">
        <v>72</v>
      </c>
      <c r="B773" t="s">
        <v>14455</v>
      </c>
      <c r="C773" t="s">
        <v>74</v>
      </c>
      <c r="D773" t="s">
        <v>74</v>
      </c>
      <c r="E773" t="s">
        <v>74</v>
      </c>
      <c r="F773" t="s">
        <v>14456</v>
      </c>
      <c r="G773" t="s">
        <v>74</v>
      </c>
      <c r="H773" t="s">
        <v>74</v>
      </c>
      <c r="I773" t="s">
        <v>14457</v>
      </c>
      <c r="J773" t="s">
        <v>14458</v>
      </c>
      <c r="K773" t="s">
        <v>74</v>
      </c>
      <c r="L773" t="s">
        <v>74</v>
      </c>
      <c r="M773" t="s">
        <v>200</v>
      </c>
      <c r="N773" t="s">
        <v>79</v>
      </c>
      <c r="O773" t="s">
        <v>74</v>
      </c>
      <c r="P773" t="s">
        <v>74</v>
      </c>
      <c r="Q773" t="s">
        <v>74</v>
      </c>
      <c r="R773" t="s">
        <v>74</v>
      </c>
      <c r="S773" t="s">
        <v>74</v>
      </c>
      <c r="T773" t="s">
        <v>14459</v>
      </c>
      <c r="U773" t="s">
        <v>14460</v>
      </c>
      <c r="V773" t="s">
        <v>14461</v>
      </c>
      <c r="W773" t="s">
        <v>14462</v>
      </c>
      <c r="X773" t="s">
        <v>14463</v>
      </c>
      <c r="Y773" t="s">
        <v>14464</v>
      </c>
      <c r="Z773" t="s">
        <v>14465</v>
      </c>
      <c r="AA773" t="s">
        <v>14466</v>
      </c>
      <c r="AB773" t="s">
        <v>14467</v>
      </c>
      <c r="AC773" t="s">
        <v>14468</v>
      </c>
      <c r="AD773" t="s">
        <v>14469</v>
      </c>
      <c r="AE773" t="s">
        <v>14470</v>
      </c>
      <c r="AF773" t="s">
        <v>74</v>
      </c>
      <c r="AG773">
        <v>167</v>
      </c>
      <c r="AH773">
        <v>25</v>
      </c>
      <c r="AI773">
        <v>26</v>
      </c>
      <c r="AJ773">
        <v>3</v>
      </c>
      <c r="AK773">
        <v>21</v>
      </c>
      <c r="AL773" t="s">
        <v>6373</v>
      </c>
      <c r="AM773" t="s">
        <v>6374</v>
      </c>
      <c r="AN773" t="s">
        <v>6375</v>
      </c>
      <c r="AO773" t="s">
        <v>14471</v>
      </c>
      <c r="AP773" t="s">
        <v>74</v>
      </c>
      <c r="AQ773" t="s">
        <v>74</v>
      </c>
      <c r="AR773" t="s">
        <v>14472</v>
      </c>
      <c r="AS773" t="s">
        <v>14473</v>
      </c>
      <c r="AT773" t="s">
        <v>12574</v>
      </c>
      <c r="AU773">
        <v>2015</v>
      </c>
      <c r="AV773">
        <v>1</v>
      </c>
      <c r="AW773">
        <v>4</v>
      </c>
      <c r="AX773" t="s">
        <v>74</v>
      </c>
      <c r="AY773" t="s">
        <v>74</v>
      </c>
      <c r="AZ773" t="s">
        <v>74</v>
      </c>
      <c r="BA773" t="s">
        <v>74</v>
      </c>
      <c r="BB773">
        <v>224</v>
      </c>
      <c r="BC773">
        <v>246</v>
      </c>
      <c r="BD773" t="s">
        <v>74</v>
      </c>
      <c r="BE773" t="s">
        <v>14474</v>
      </c>
      <c r="BF773" t="str">
        <f>HYPERLINK("http://dx.doi.org/10.1007/s40641-015-0024-4","http://dx.doi.org/10.1007/s40641-015-0024-4")</f>
        <v>http://dx.doi.org/10.1007/s40641-015-0024-4</v>
      </c>
      <c r="BG773" t="s">
        <v>74</v>
      </c>
      <c r="BH773" t="s">
        <v>74</v>
      </c>
      <c r="BI773">
        <v>23</v>
      </c>
      <c r="BJ773" t="s">
        <v>1721</v>
      </c>
      <c r="BK773" t="s">
        <v>264</v>
      </c>
      <c r="BL773" t="s">
        <v>1721</v>
      </c>
      <c r="BM773" t="s">
        <v>14475</v>
      </c>
      <c r="BN773" t="s">
        <v>74</v>
      </c>
      <c r="BO773" t="s">
        <v>9931</v>
      </c>
      <c r="BP773" t="s">
        <v>74</v>
      </c>
      <c r="BQ773" t="s">
        <v>74</v>
      </c>
      <c r="BR773" t="s">
        <v>100</v>
      </c>
      <c r="BS773" t="s">
        <v>14476</v>
      </c>
      <c r="BT773" t="str">
        <f>HYPERLINK("https%3A%2F%2Fwww.webofscience.com%2Fwos%2Fwoscc%2Ffull-record%2FWOS:000463897100002","View Full Record in Web of Science")</f>
        <v>View Full Record in Web of Science</v>
      </c>
    </row>
    <row r="774" spans="1:72" x14ac:dyDescent="0.15">
      <c r="A774" t="s">
        <v>72</v>
      </c>
      <c r="B774" t="s">
        <v>14477</v>
      </c>
      <c r="C774" t="s">
        <v>74</v>
      </c>
      <c r="D774" t="s">
        <v>74</v>
      </c>
      <c r="E774" t="s">
        <v>74</v>
      </c>
      <c r="F774" t="s">
        <v>14478</v>
      </c>
      <c r="G774" t="s">
        <v>74</v>
      </c>
      <c r="H774" t="s">
        <v>74</v>
      </c>
      <c r="I774" t="s">
        <v>14479</v>
      </c>
      <c r="J774" t="s">
        <v>14458</v>
      </c>
      <c r="K774" t="s">
        <v>74</v>
      </c>
      <c r="L774" t="s">
        <v>74</v>
      </c>
      <c r="M774" t="s">
        <v>200</v>
      </c>
      <c r="N774" t="s">
        <v>79</v>
      </c>
      <c r="O774" t="s">
        <v>74</v>
      </c>
      <c r="P774" t="s">
        <v>74</v>
      </c>
      <c r="Q774" t="s">
        <v>74</v>
      </c>
      <c r="R774" t="s">
        <v>74</v>
      </c>
      <c r="S774" t="s">
        <v>74</v>
      </c>
      <c r="T774" t="s">
        <v>14480</v>
      </c>
      <c r="U774" t="s">
        <v>14481</v>
      </c>
      <c r="V774" t="s">
        <v>14482</v>
      </c>
      <c r="W774" t="s">
        <v>14483</v>
      </c>
      <c r="X774" t="s">
        <v>14484</v>
      </c>
      <c r="Y774" t="s">
        <v>14485</v>
      </c>
      <c r="Z774" t="s">
        <v>14486</v>
      </c>
      <c r="AA774" t="s">
        <v>14487</v>
      </c>
      <c r="AB774" t="s">
        <v>14488</v>
      </c>
      <c r="AC774" t="s">
        <v>14489</v>
      </c>
      <c r="AD774" t="s">
        <v>14490</v>
      </c>
      <c r="AE774" t="s">
        <v>14491</v>
      </c>
      <c r="AF774" t="s">
        <v>74</v>
      </c>
      <c r="AG774">
        <v>185</v>
      </c>
      <c r="AH774">
        <v>103</v>
      </c>
      <c r="AI774">
        <v>117</v>
      </c>
      <c r="AJ774">
        <v>4</v>
      </c>
      <c r="AK774">
        <v>20</v>
      </c>
      <c r="AL774" t="s">
        <v>6373</v>
      </c>
      <c r="AM774" t="s">
        <v>6374</v>
      </c>
      <c r="AN774" t="s">
        <v>6375</v>
      </c>
      <c r="AO774" t="s">
        <v>14471</v>
      </c>
      <c r="AP774" t="s">
        <v>74</v>
      </c>
      <c r="AQ774" t="s">
        <v>74</v>
      </c>
      <c r="AR774" t="s">
        <v>14472</v>
      </c>
      <c r="AS774" t="s">
        <v>14473</v>
      </c>
      <c r="AT774" t="s">
        <v>12574</v>
      </c>
      <c r="AU774">
        <v>2015</v>
      </c>
      <c r="AV774">
        <v>1</v>
      </c>
      <c r="AW774">
        <v>4</v>
      </c>
      <c r="AX774" t="s">
        <v>74</v>
      </c>
      <c r="AY774" t="s">
        <v>74</v>
      </c>
      <c r="AZ774" t="s">
        <v>74</v>
      </c>
      <c r="BA774" t="s">
        <v>74</v>
      </c>
      <c r="BB774">
        <v>247</v>
      </c>
      <c r="BC774">
        <v>262</v>
      </c>
      <c r="BD774" t="s">
        <v>74</v>
      </c>
      <c r="BE774" t="s">
        <v>14492</v>
      </c>
      <c r="BF774" t="str">
        <f>HYPERLINK("http://dx.doi.org/10.1007/s40641-015-0029-z","http://dx.doi.org/10.1007/s40641-015-0029-z")</f>
        <v>http://dx.doi.org/10.1007/s40641-015-0029-z</v>
      </c>
      <c r="BG774" t="s">
        <v>74</v>
      </c>
      <c r="BH774" t="s">
        <v>74</v>
      </c>
      <c r="BI774">
        <v>16</v>
      </c>
      <c r="BJ774" t="s">
        <v>1721</v>
      </c>
      <c r="BK774" t="s">
        <v>264</v>
      </c>
      <c r="BL774" t="s">
        <v>1721</v>
      </c>
      <c r="BM774" t="s">
        <v>14475</v>
      </c>
      <c r="BN774" t="s">
        <v>74</v>
      </c>
      <c r="BO774" t="s">
        <v>486</v>
      </c>
      <c r="BP774" t="s">
        <v>74</v>
      </c>
      <c r="BQ774" t="s">
        <v>74</v>
      </c>
      <c r="BR774" t="s">
        <v>100</v>
      </c>
      <c r="BS774" t="s">
        <v>14493</v>
      </c>
      <c r="BT774" t="str">
        <f>HYPERLINK("https%3A%2F%2Fwww.webofscience.com%2Fwos%2Fwoscc%2Ffull-record%2FWOS:000463897100003","View Full Record in Web of Science")</f>
        <v>View Full Record in Web of Science</v>
      </c>
    </row>
    <row r="775" spans="1:72" x14ac:dyDescent="0.15">
      <c r="A775" t="s">
        <v>72</v>
      </c>
      <c r="B775" t="s">
        <v>14494</v>
      </c>
      <c r="C775" t="s">
        <v>74</v>
      </c>
      <c r="D775" t="s">
        <v>74</v>
      </c>
      <c r="E775" t="s">
        <v>74</v>
      </c>
      <c r="F775" t="s">
        <v>14495</v>
      </c>
      <c r="G775" t="s">
        <v>74</v>
      </c>
      <c r="H775" t="s">
        <v>74</v>
      </c>
      <c r="I775" t="s">
        <v>14496</v>
      </c>
      <c r="J775" t="s">
        <v>5875</v>
      </c>
      <c r="K775" t="s">
        <v>74</v>
      </c>
      <c r="L775" t="s">
        <v>74</v>
      </c>
      <c r="M775" t="s">
        <v>200</v>
      </c>
      <c r="N775" t="s">
        <v>79</v>
      </c>
      <c r="O775" t="s">
        <v>74</v>
      </c>
      <c r="P775" t="s">
        <v>74</v>
      </c>
      <c r="Q775" t="s">
        <v>74</v>
      </c>
      <c r="R775" t="s">
        <v>74</v>
      </c>
      <c r="S775" t="s">
        <v>74</v>
      </c>
      <c r="T775" t="s">
        <v>14497</v>
      </c>
      <c r="U775" t="s">
        <v>14498</v>
      </c>
      <c r="V775" t="s">
        <v>14499</v>
      </c>
      <c r="W775" t="s">
        <v>14500</v>
      </c>
      <c r="X775" t="s">
        <v>14501</v>
      </c>
      <c r="Y775" t="s">
        <v>14502</v>
      </c>
      <c r="Z775" t="s">
        <v>14503</v>
      </c>
      <c r="AA775" t="s">
        <v>14504</v>
      </c>
      <c r="AB775" t="s">
        <v>14505</v>
      </c>
      <c r="AC775" t="s">
        <v>14506</v>
      </c>
      <c r="AD775" t="s">
        <v>14507</v>
      </c>
      <c r="AE775" t="s">
        <v>14508</v>
      </c>
      <c r="AF775" t="s">
        <v>74</v>
      </c>
      <c r="AG775">
        <v>100</v>
      </c>
      <c r="AH775">
        <v>38</v>
      </c>
      <c r="AI775">
        <v>40</v>
      </c>
      <c r="AJ775">
        <v>7</v>
      </c>
      <c r="AK775">
        <v>71</v>
      </c>
      <c r="AL775" t="s">
        <v>5888</v>
      </c>
      <c r="AM775" t="s">
        <v>1386</v>
      </c>
      <c r="AN775" t="s">
        <v>5889</v>
      </c>
      <c r="AO775" t="s">
        <v>5890</v>
      </c>
      <c r="AP775" t="s">
        <v>5891</v>
      </c>
      <c r="AQ775" t="s">
        <v>74</v>
      </c>
      <c r="AR775" t="s">
        <v>5892</v>
      </c>
      <c r="AS775" t="s">
        <v>5893</v>
      </c>
      <c r="AT775" t="s">
        <v>12574</v>
      </c>
      <c r="AU775">
        <v>2015</v>
      </c>
      <c r="AV775">
        <v>122</v>
      </c>
      <c r="AW775" t="s">
        <v>74</v>
      </c>
      <c r="AX775" t="s">
        <v>74</v>
      </c>
      <c r="AY775" t="s">
        <v>74</v>
      </c>
      <c r="AZ775" t="s">
        <v>2540</v>
      </c>
      <c r="BA775" t="s">
        <v>74</v>
      </c>
      <c r="BB775">
        <v>25</v>
      </c>
      <c r="BC775">
        <v>40</v>
      </c>
      <c r="BD775" t="s">
        <v>74</v>
      </c>
      <c r="BE775" t="s">
        <v>14509</v>
      </c>
      <c r="BF775" t="str">
        <f>HYPERLINK("http://dx.doi.org/10.1016/j.dsr2.2015.11.005","http://dx.doi.org/10.1016/j.dsr2.2015.11.005")</f>
        <v>http://dx.doi.org/10.1016/j.dsr2.2015.11.005</v>
      </c>
      <c r="BG775" t="s">
        <v>74</v>
      </c>
      <c r="BH775" t="s">
        <v>74</v>
      </c>
      <c r="BI775">
        <v>16</v>
      </c>
      <c r="BJ775" t="s">
        <v>5339</v>
      </c>
      <c r="BK775" t="s">
        <v>264</v>
      </c>
      <c r="BL775" t="s">
        <v>5339</v>
      </c>
      <c r="BM775" t="s">
        <v>14510</v>
      </c>
      <c r="BN775" t="s">
        <v>74</v>
      </c>
      <c r="BO775" t="s">
        <v>74</v>
      </c>
      <c r="BP775" t="s">
        <v>74</v>
      </c>
      <c r="BQ775" t="s">
        <v>74</v>
      </c>
      <c r="BR775" t="s">
        <v>100</v>
      </c>
      <c r="BS775" t="s">
        <v>14511</v>
      </c>
      <c r="BT775" t="str">
        <f>HYPERLINK("https%3A%2F%2Fwww.webofscience.com%2Fwos%2Fwoscc%2Ffull-record%2FWOS:000367106500004","View Full Record in Web of Science")</f>
        <v>View Full Record in Web of Science</v>
      </c>
    </row>
    <row r="776" spans="1:72" x14ac:dyDescent="0.15">
      <c r="A776" t="s">
        <v>72</v>
      </c>
      <c r="B776" t="s">
        <v>14512</v>
      </c>
      <c r="C776" t="s">
        <v>74</v>
      </c>
      <c r="D776" t="s">
        <v>74</v>
      </c>
      <c r="E776" t="s">
        <v>74</v>
      </c>
      <c r="F776" t="s">
        <v>14513</v>
      </c>
      <c r="G776" t="s">
        <v>74</v>
      </c>
      <c r="H776" t="s">
        <v>74</v>
      </c>
      <c r="I776" t="s">
        <v>14514</v>
      </c>
      <c r="J776" t="s">
        <v>14515</v>
      </c>
      <c r="K776" t="s">
        <v>74</v>
      </c>
      <c r="L776" t="s">
        <v>74</v>
      </c>
      <c r="M776" t="s">
        <v>200</v>
      </c>
      <c r="N776" t="s">
        <v>79</v>
      </c>
      <c r="O776" t="s">
        <v>74</v>
      </c>
      <c r="P776" t="s">
        <v>74</v>
      </c>
      <c r="Q776" t="s">
        <v>74</v>
      </c>
      <c r="R776" t="s">
        <v>74</v>
      </c>
      <c r="S776" t="s">
        <v>74</v>
      </c>
      <c r="T776" t="s">
        <v>14516</v>
      </c>
      <c r="U776" t="s">
        <v>14517</v>
      </c>
      <c r="V776" t="s">
        <v>14518</v>
      </c>
      <c r="W776" t="s">
        <v>14519</v>
      </c>
      <c r="X776" t="s">
        <v>14520</v>
      </c>
      <c r="Y776" t="s">
        <v>14521</v>
      </c>
      <c r="Z776" t="s">
        <v>14522</v>
      </c>
      <c r="AA776" t="s">
        <v>74</v>
      </c>
      <c r="AB776" t="s">
        <v>14523</v>
      </c>
      <c r="AC776" t="s">
        <v>74</v>
      </c>
      <c r="AD776" t="s">
        <v>74</v>
      </c>
      <c r="AE776" t="s">
        <v>74</v>
      </c>
      <c r="AF776" t="s">
        <v>74</v>
      </c>
      <c r="AG776">
        <v>63</v>
      </c>
      <c r="AH776">
        <v>24</v>
      </c>
      <c r="AI776">
        <v>26</v>
      </c>
      <c r="AJ776">
        <v>2</v>
      </c>
      <c r="AK776">
        <v>33</v>
      </c>
      <c r="AL776" t="s">
        <v>1385</v>
      </c>
      <c r="AM776" t="s">
        <v>1386</v>
      </c>
      <c r="AN776" t="s">
        <v>1387</v>
      </c>
      <c r="AO776" t="s">
        <v>14524</v>
      </c>
      <c r="AP776" t="s">
        <v>14525</v>
      </c>
      <c r="AQ776" t="s">
        <v>74</v>
      </c>
      <c r="AR776" t="s">
        <v>14526</v>
      </c>
      <c r="AS776" t="s">
        <v>14527</v>
      </c>
      <c r="AT776" t="s">
        <v>12574</v>
      </c>
      <c r="AU776">
        <v>2015</v>
      </c>
      <c r="AV776">
        <v>91</v>
      </c>
      <c r="AW776">
        <v>12</v>
      </c>
      <c r="AX776" t="s">
        <v>74</v>
      </c>
      <c r="AY776" t="s">
        <v>74</v>
      </c>
      <c r="AZ776" t="s">
        <v>74</v>
      </c>
      <c r="BA776" t="s">
        <v>74</v>
      </c>
      <c r="BB776" t="s">
        <v>74</v>
      </c>
      <c r="BC776" t="s">
        <v>74</v>
      </c>
      <c r="BD776" t="s">
        <v>14528</v>
      </c>
      <c r="BE776" t="s">
        <v>14529</v>
      </c>
      <c r="BF776" t="str">
        <f>HYPERLINK("http://dx.doi.org/10.1093/femsec/fiv144","http://dx.doi.org/10.1093/femsec/fiv144")</f>
        <v>http://dx.doi.org/10.1093/femsec/fiv144</v>
      </c>
      <c r="BG776" t="s">
        <v>74</v>
      </c>
      <c r="BH776" t="s">
        <v>74</v>
      </c>
      <c r="BI776">
        <v>14</v>
      </c>
      <c r="BJ776" t="s">
        <v>5726</v>
      </c>
      <c r="BK776" t="s">
        <v>264</v>
      </c>
      <c r="BL776" t="s">
        <v>5726</v>
      </c>
      <c r="BM776" t="s">
        <v>14530</v>
      </c>
      <c r="BN776">
        <v>26572547</v>
      </c>
      <c r="BO776" t="s">
        <v>486</v>
      </c>
      <c r="BP776" t="s">
        <v>74</v>
      </c>
      <c r="BQ776" t="s">
        <v>74</v>
      </c>
      <c r="BR776" t="s">
        <v>100</v>
      </c>
      <c r="BS776" t="s">
        <v>14531</v>
      </c>
      <c r="BT776" t="str">
        <f>HYPERLINK("https%3A%2F%2Fwww.webofscience.com%2Fwos%2Fwoscc%2Ffull-record%2FWOS:000368430600015","View Full Record in Web of Science")</f>
        <v>View Full Record in Web of Science</v>
      </c>
    </row>
    <row r="777" spans="1:72" x14ac:dyDescent="0.15">
      <c r="A777" t="s">
        <v>72</v>
      </c>
      <c r="B777" t="s">
        <v>14532</v>
      </c>
      <c r="C777" t="s">
        <v>74</v>
      </c>
      <c r="D777" t="s">
        <v>74</v>
      </c>
      <c r="E777" t="s">
        <v>74</v>
      </c>
      <c r="F777" t="s">
        <v>14533</v>
      </c>
      <c r="G777" t="s">
        <v>74</v>
      </c>
      <c r="H777" t="s">
        <v>74</v>
      </c>
      <c r="I777" t="s">
        <v>14534</v>
      </c>
      <c r="J777" t="s">
        <v>14535</v>
      </c>
      <c r="K777" t="s">
        <v>74</v>
      </c>
      <c r="L777" t="s">
        <v>74</v>
      </c>
      <c r="M777" t="s">
        <v>200</v>
      </c>
      <c r="N777" t="s">
        <v>79</v>
      </c>
      <c r="O777" t="s">
        <v>74</v>
      </c>
      <c r="P777" t="s">
        <v>74</v>
      </c>
      <c r="Q777" t="s">
        <v>74</v>
      </c>
      <c r="R777" t="s">
        <v>74</v>
      </c>
      <c r="S777" t="s">
        <v>74</v>
      </c>
      <c r="T777" t="s">
        <v>14536</v>
      </c>
      <c r="U777" t="s">
        <v>14537</v>
      </c>
      <c r="V777" t="s">
        <v>14538</v>
      </c>
      <c r="W777" t="s">
        <v>14539</v>
      </c>
      <c r="X777" t="s">
        <v>14540</v>
      </c>
      <c r="Y777" t="s">
        <v>14541</v>
      </c>
      <c r="Z777" t="s">
        <v>14542</v>
      </c>
      <c r="AA777" t="s">
        <v>14543</v>
      </c>
      <c r="AB777" t="s">
        <v>74</v>
      </c>
      <c r="AC777" t="s">
        <v>14544</v>
      </c>
      <c r="AD777" t="s">
        <v>14545</v>
      </c>
      <c r="AE777" t="s">
        <v>14546</v>
      </c>
      <c r="AF777" t="s">
        <v>74</v>
      </c>
      <c r="AG777">
        <v>25</v>
      </c>
      <c r="AH777">
        <v>29</v>
      </c>
      <c r="AI777">
        <v>34</v>
      </c>
      <c r="AJ777">
        <v>1</v>
      </c>
      <c r="AK777">
        <v>42</v>
      </c>
      <c r="AL777" t="s">
        <v>1385</v>
      </c>
      <c r="AM777" t="s">
        <v>1386</v>
      </c>
      <c r="AN777" t="s">
        <v>1387</v>
      </c>
      <c r="AO777" t="s">
        <v>14547</v>
      </c>
      <c r="AP777" t="s">
        <v>14548</v>
      </c>
      <c r="AQ777" t="s">
        <v>74</v>
      </c>
      <c r="AR777" t="s">
        <v>14549</v>
      </c>
      <c r="AS777" t="s">
        <v>14550</v>
      </c>
      <c r="AT777" t="s">
        <v>12574</v>
      </c>
      <c r="AU777">
        <v>2015</v>
      </c>
      <c r="AV777">
        <v>362</v>
      </c>
      <c r="AW777">
        <v>24</v>
      </c>
      <c r="AX777" t="s">
        <v>74</v>
      </c>
      <c r="AY777" t="s">
        <v>74</v>
      </c>
      <c r="AZ777" t="s">
        <v>74</v>
      </c>
      <c r="BA777" t="s">
        <v>74</v>
      </c>
      <c r="BB777" t="s">
        <v>74</v>
      </c>
      <c r="BC777" t="s">
        <v>74</v>
      </c>
      <c r="BD777" t="s">
        <v>14551</v>
      </c>
      <c r="BE777" t="s">
        <v>14552</v>
      </c>
      <c r="BF777" t="str">
        <f>HYPERLINK("http://dx.doi.org/10.1093/femsle/fnv206","http://dx.doi.org/10.1093/femsle/fnv206")</f>
        <v>http://dx.doi.org/10.1093/femsle/fnv206</v>
      </c>
      <c r="BG777" t="s">
        <v>74</v>
      </c>
      <c r="BH777" t="s">
        <v>74</v>
      </c>
      <c r="BI777">
        <v>6</v>
      </c>
      <c r="BJ777" t="s">
        <v>5726</v>
      </c>
      <c r="BK777" t="s">
        <v>264</v>
      </c>
      <c r="BL777" t="s">
        <v>5726</v>
      </c>
      <c r="BM777" t="s">
        <v>14553</v>
      </c>
      <c r="BN777">
        <v>26507390</v>
      </c>
      <c r="BO777" t="s">
        <v>486</v>
      </c>
      <c r="BP777" t="s">
        <v>74</v>
      </c>
      <c r="BQ777" t="s">
        <v>74</v>
      </c>
      <c r="BR777" t="s">
        <v>100</v>
      </c>
      <c r="BS777" t="s">
        <v>14554</v>
      </c>
      <c r="BT777" t="str">
        <f>HYPERLINK("https%3A%2F%2Fwww.webofscience.com%2Fwos%2Fwoscc%2Ffull-record%2FWOS:000368415600007","View Full Record in Web of Science")</f>
        <v>View Full Record in Web of Science</v>
      </c>
    </row>
    <row r="778" spans="1:72" x14ac:dyDescent="0.15">
      <c r="A778" t="s">
        <v>72</v>
      </c>
      <c r="B778" t="s">
        <v>14555</v>
      </c>
      <c r="C778" t="s">
        <v>74</v>
      </c>
      <c r="D778" t="s">
        <v>74</v>
      </c>
      <c r="E778" t="s">
        <v>74</v>
      </c>
      <c r="F778" t="s">
        <v>14556</v>
      </c>
      <c r="G778" t="s">
        <v>74</v>
      </c>
      <c r="H778" t="s">
        <v>74</v>
      </c>
      <c r="I778" t="s">
        <v>14557</v>
      </c>
      <c r="J778" t="s">
        <v>14558</v>
      </c>
      <c r="K778" t="s">
        <v>74</v>
      </c>
      <c r="L778" t="s">
        <v>74</v>
      </c>
      <c r="M778" t="s">
        <v>200</v>
      </c>
      <c r="N778" t="s">
        <v>79</v>
      </c>
      <c r="O778" t="s">
        <v>74</v>
      </c>
      <c r="P778" t="s">
        <v>74</v>
      </c>
      <c r="Q778" t="s">
        <v>74</v>
      </c>
      <c r="R778" t="s">
        <v>74</v>
      </c>
      <c r="S778" t="s">
        <v>74</v>
      </c>
      <c r="T778" t="s">
        <v>14559</v>
      </c>
      <c r="U778" t="s">
        <v>14560</v>
      </c>
      <c r="V778" t="s">
        <v>14561</v>
      </c>
      <c r="W778" t="s">
        <v>14562</v>
      </c>
      <c r="X778" t="s">
        <v>14563</v>
      </c>
      <c r="Y778" t="s">
        <v>14564</v>
      </c>
      <c r="Z778" t="s">
        <v>14565</v>
      </c>
      <c r="AA778" t="s">
        <v>14566</v>
      </c>
      <c r="AB778" t="s">
        <v>14567</v>
      </c>
      <c r="AC778" t="s">
        <v>74</v>
      </c>
      <c r="AD778" t="s">
        <v>74</v>
      </c>
      <c r="AE778" t="s">
        <v>74</v>
      </c>
      <c r="AF778" t="s">
        <v>74</v>
      </c>
      <c r="AG778">
        <v>57</v>
      </c>
      <c r="AH778">
        <v>27</v>
      </c>
      <c r="AI778">
        <v>30</v>
      </c>
      <c r="AJ778">
        <v>1</v>
      </c>
      <c r="AK778">
        <v>55</v>
      </c>
      <c r="AL778" t="s">
        <v>6855</v>
      </c>
      <c r="AM778" t="s">
        <v>5465</v>
      </c>
      <c r="AN778" t="s">
        <v>5466</v>
      </c>
      <c r="AO778" t="s">
        <v>14568</v>
      </c>
      <c r="AP778" t="s">
        <v>14569</v>
      </c>
      <c r="AQ778" t="s">
        <v>74</v>
      </c>
      <c r="AR778" t="s">
        <v>14570</v>
      </c>
      <c r="AS778" t="s">
        <v>14571</v>
      </c>
      <c r="AT778" t="s">
        <v>12574</v>
      </c>
      <c r="AU778">
        <v>2015</v>
      </c>
      <c r="AV778">
        <v>16</v>
      </c>
      <c r="AW778">
        <v>4</v>
      </c>
      <c r="AX778" t="s">
        <v>74</v>
      </c>
      <c r="AY778" t="s">
        <v>74</v>
      </c>
      <c r="AZ778" t="s">
        <v>74</v>
      </c>
      <c r="BA778" t="s">
        <v>74</v>
      </c>
      <c r="BB778">
        <v>623</v>
      </c>
      <c r="BC778">
        <v>632</v>
      </c>
      <c r="BD778" t="s">
        <v>74</v>
      </c>
      <c r="BE778" t="s">
        <v>14572</v>
      </c>
      <c r="BF778" t="str">
        <f>HYPERLINK("http://dx.doi.org/10.1111/faf.12082","http://dx.doi.org/10.1111/faf.12082")</f>
        <v>http://dx.doi.org/10.1111/faf.12082</v>
      </c>
      <c r="BG778" t="s">
        <v>74</v>
      </c>
      <c r="BH778" t="s">
        <v>74</v>
      </c>
      <c r="BI778">
        <v>10</v>
      </c>
      <c r="BJ778" t="s">
        <v>263</v>
      </c>
      <c r="BK778" t="s">
        <v>264</v>
      </c>
      <c r="BL778" t="s">
        <v>263</v>
      </c>
      <c r="BM778" t="s">
        <v>14573</v>
      </c>
      <c r="BN778" t="s">
        <v>74</v>
      </c>
      <c r="BO778" t="s">
        <v>74</v>
      </c>
      <c r="BP778" t="s">
        <v>74</v>
      </c>
      <c r="BQ778" t="s">
        <v>74</v>
      </c>
      <c r="BR778" t="s">
        <v>100</v>
      </c>
      <c r="BS778" t="s">
        <v>14574</v>
      </c>
      <c r="BT778" t="str">
        <f>HYPERLINK("https%3A%2F%2Fwww.webofscience.com%2Fwos%2Fwoscc%2Ffull-record%2FWOS:000363264400005","View Full Record in Web of Science")</f>
        <v>View Full Record in Web of Science</v>
      </c>
    </row>
    <row r="779" spans="1:72" x14ac:dyDescent="0.15">
      <c r="A779" t="s">
        <v>72</v>
      </c>
      <c r="B779" t="s">
        <v>14575</v>
      </c>
      <c r="C779" t="s">
        <v>74</v>
      </c>
      <c r="D779" t="s">
        <v>74</v>
      </c>
      <c r="E779" t="s">
        <v>74</v>
      </c>
      <c r="F779" t="s">
        <v>14576</v>
      </c>
      <c r="G779" t="s">
        <v>74</v>
      </c>
      <c r="H779" t="s">
        <v>74</v>
      </c>
      <c r="I779" t="s">
        <v>14577</v>
      </c>
      <c r="J779" t="s">
        <v>14578</v>
      </c>
      <c r="K779" t="s">
        <v>74</v>
      </c>
      <c r="L779" t="s">
        <v>74</v>
      </c>
      <c r="M779" t="s">
        <v>200</v>
      </c>
      <c r="N779" t="s">
        <v>79</v>
      </c>
      <c r="O779" t="s">
        <v>74</v>
      </c>
      <c r="P779" t="s">
        <v>74</v>
      </c>
      <c r="Q779" t="s">
        <v>74</v>
      </c>
      <c r="R779" t="s">
        <v>74</v>
      </c>
      <c r="S779" t="s">
        <v>74</v>
      </c>
      <c r="T779" t="s">
        <v>14579</v>
      </c>
      <c r="U779" t="s">
        <v>14580</v>
      </c>
      <c r="V779" t="s">
        <v>14581</v>
      </c>
      <c r="W779" t="s">
        <v>14582</v>
      </c>
      <c r="X779" t="s">
        <v>14583</v>
      </c>
      <c r="Y779" t="s">
        <v>14584</v>
      </c>
      <c r="Z779" t="s">
        <v>14585</v>
      </c>
      <c r="AA779" t="s">
        <v>74</v>
      </c>
      <c r="AB779" t="s">
        <v>74</v>
      </c>
      <c r="AC779" t="s">
        <v>14586</v>
      </c>
      <c r="AD779" t="s">
        <v>14587</v>
      </c>
      <c r="AE779" t="s">
        <v>14588</v>
      </c>
      <c r="AF779" t="s">
        <v>74</v>
      </c>
      <c r="AG779">
        <v>124</v>
      </c>
      <c r="AH779">
        <v>20</v>
      </c>
      <c r="AI779">
        <v>25</v>
      </c>
      <c r="AJ779">
        <v>0</v>
      </c>
      <c r="AK779">
        <v>28</v>
      </c>
      <c r="AL779" t="s">
        <v>2410</v>
      </c>
      <c r="AM779" t="s">
        <v>1559</v>
      </c>
      <c r="AN779" t="s">
        <v>2411</v>
      </c>
      <c r="AO779" t="s">
        <v>74</v>
      </c>
      <c r="AP779" t="s">
        <v>14589</v>
      </c>
      <c r="AQ779" t="s">
        <v>74</v>
      </c>
      <c r="AR779" t="s">
        <v>14590</v>
      </c>
      <c r="AS779" t="s">
        <v>14591</v>
      </c>
      <c r="AT779" t="s">
        <v>12574</v>
      </c>
      <c r="AU779">
        <v>2015</v>
      </c>
      <c r="AV779">
        <v>16</v>
      </c>
      <c r="AW779">
        <v>12</v>
      </c>
      <c r="AX779" t="s">
        <v>74</v>
      </c>
      <c r="AY779" t="s">
        <v>74</v>
      </c>
      <c r="AZ779" t="s">
        <v>74</v>
      </c>
      <c r="BA779" t="s">
        <v>74</v>
      </c>
      <c r="BB779">
        <v>4344</v>
      </c>
      <c r="BC779">
        <v>4361</v>
      </c>
      <c r="BD779" t="s">
        <v>74</v>
      </c>
      <c r="BE779" t="s">
        <v>14592</v>
      </c>
      <c r="BF779" t="str">
        <f>HYPERLINK("http://dx.doi.org/10.1002/2015GC006076","http://dx.doi.org/10.1002/2015GC006076")</f>
        <v>http://dx.doi.org/10.1002/2015GC006076</v>
      </c>
      <c r="BG779" t="s">
        <v>74</v>
      </c>
      <c r="BH779" t="s">
        <v>74</v>
      </c>
      <c r="BI779">
        <v>18</v>
      </c>
      <c r="BJ779" t="s">
        <v>4474</v>
      </c>
      <c r="BK779" t="s">
        <v>264</v>
      </c>
      <c r="BL779" t="s">
        <v>4474</v>
      </c>
      <c r="BM779" t="s">
        <v>14593</v>
      </c>
      <c r="BN779" t="s">
        <v>74</v>
      </c>
      <c r="BO779" t="s">
        <v>486</v>
      </c>
      <c r="BP779" t="s">
        <v>74</v>
      </c>
      <c r="BQ779" t="s">
        <v>74</v>
      </c>
      <c r="BR779" t="s">
        <v>100</v>
      </c>
      <c r="BS779" t="s">
        <v>14594</v>
      </c>
      <c r="BT779" t="str">
        <f>HYPERLINK("https%3A%2F%2Fwww.webofscience.com%2Fwos%2Fwoscc%2Ffull-record%2FWOS:000368814000017","View Full Record in Web of Science")</f>
        <v>View Full Record in Web of Science</v>
      </c>
    </row>
    <row r="780" spans="1:72" x14ac:dyDescent="0.15">
      <c r="A780" t="s">
        <v>72</v>
      </c>
      <c r="B780" t="s">
        <v>14595</v>
      </c>
      <c r="C780" t="s">
        <v>74</v>
      </c>
      <c r="D780" t="s">
        <v>74</v>
      </c>
      <c r="E780" t="s">
        <v>74</v>
      </c>
      <c r="F780" t="s">
        <v>14596</v>
      </c>
      <c r="G780" t="s">
        <v>74</v>
      </c>
      <c r="H780" t="s">
        <v>74</v>
      </c>
      <c r="I780" t="s">
        <v>14597</v>
      </c>
      <c r="J780" t="s">
        <v>14598</v>
      </c>
      <c r="K780" t="s">
        <v>74</v>
      </c>
      <c r="L780" t="s">
        <v>74</v>
      </c>
      <c r="M780" t="s">
        <v>200</v>
      </c>
      <c r="N780" t="s">
        <v>79</v>
      </c>
      <c r="O780" t="s">
        <v>74</v>
      </c>
      <c r="P780" t="s">
        <v>74</v>
      </c>
      <c r="Q780" t="s">
        <v>74</v>
      </c>
      <c r="R780" t="s">
        <v>74</v>
      </c>
      <c r="S780" t="s">
        <v>74</v>
      </c>
      <c r="T780" t="s">
        <v>14599</v>
      </c>
      <c r="U780" t="s">
        <v>14600</v>
      </c>
      <c r="V780" t="s">
        <v>14601</v>
      </c>
      <c r="W780" t="s">
        <v>14602</v>
      </c>
      <c r="X780" t="s">
        <v>14603</v>
      </c>
      <c r="Y780" t="s">
        <v>14604</v>
      </c>
      <c r="Z780" t="s">
        <v>14605</v>
      </c>
      <c r="AA780" t="s">
        <v>14606</v>
      </c>
      <c r="AB780" t="s">
        <v>14607</v>
      </c>
      <c r="AC780" t="s">
        <v>14608</v>
      </c>
      <c r="AD780" t="s">
        <v>14608</v>
      </c>
      <c r="AE780" t="s">
        <v>14609</v>
      </c>
      <c r="AF780" t="s">
        <v>74</v>
      </c>
      <c r="AG780">
        <v>53</v>
      </c>
      <c r="AH780">
        <v>9</v>
      </c>
      <c r="AI780">
        <v>9</v>
      </c>
      <c r="AJ780">
        <v>0</v>
      </c>
      <c r="AK780">
        <v>16</v>
      </c>
      <c r="AL780" t="s">
        <v>502</v>
      </c>
      <c r="AM780" t="s">
        <v>503</v>
      </c>
      <c r="AN780" t="s">
        <v>504</v>
      </c>
      <c r="AO780" t="s">
        <v>14610</v>
      </c>
      <c r="AP780" t="s">
        <v>14611</v>
      </c>
      <c r="AQ780" t="s">
        <v>74</v>
      </c>
      <c r="AR780" t="s">
        <v>14612</v>
      </c>
      <c r="AS780" t="s">
        <v>14613</v>
      </c>
      <c r="AT780" t="s">
        <v>12574</v>
      </c>
      <c r="AU780">
        <v>2015</v>
      </c>
      <c r="AV780">
        <v>97</v>
      </c>
      <c r="AW780">
        <v>4</v>
      </c>
      <c r="AX780" t="s">
        <v>74</v>
      </c>
      <c r="AY780" t="s">
        <v>74</v>
      </c>
      <c r="AZ780" t="s">
        <v>74</v>
      </c>
      <c r="BA780" t="s">
        <v>74</v>
      </c>
      <c r="BB780">
        <v>779</v>
      </c>
      <c r="BC780">
        <v>791</v>
      </c>
      <c r="BD780" t="s">
        <v>74</v>
      </c>
      <c r="BE780" t="s">
        <v>14614</v>
      </c>
      <c r="BF780" t="str">
        <f>HYPERLINK("http://dx.doi.org/10.1111/geoa.12117","http://dx.doi.org/10.1111/geoa.12117")</f>
        <v>http://dx.doi.org/10.1111/geoa.12117</v>
      </c>
      <c r="BG780" t="s">
        <v>74</v>
      </c>
      <c r="BH780" t="s">
        <v>74</v>
      </c>
      <c r="BI780">
        <v>13</v>
      </c>
      <c r="BJ780" t="s">
        <v>14615</v>
      </c>
      <c r="BK780" t="s">
        <v>264</v>
      </c>
      <c r="BL780" t="s">
        <v>2248</v>
      </c>
      <c r="BM780" t="s">
        <v>14616</v>
      </c>
      <c r="BN780" t="s">
        <v>74</v>
      </c>
      <c r="BO780" t="s">
        <v>74</v>
      </c>
      <c r="BP780" t="s">
        <v>74</v>
      </c>
      <c r="BQ780" t="s">
        <v>74</v>
      </c>
      <c r="BR780" t="s">
        <v>100</v>
      </c>
      <c r="BS780" t="s">
        <v>14617</v>
      </c>
      <c r="BT780" t="str">
        <f>HYPERLINK("https%3A%2F%2Fwww.webofscience.com%2Fwos%2Fwoscc%2Ffull-record%2FWOS:000368416700011","View Full Record in Web of Science")</f>
        <v>View Full Record in Web of Science</v>
      </c>
    </row>
    <row r="781" spans="1:72" x14ac:dyDescent="0.15">
      <c r="A781" t="s">
        <v>72</v>
      </c>
      <c r="B781" t="s">
        <v>14618</v>
      </c>
      <c r="C781" t="s">
        <v>74</v>
      </c>
      <c r="D781" t="s">
        <v>74</v>
      </c>
      <c r="E781" t="s">
        <v>74</v>
      </c>
      <c r="F781" t="s">
        <v>14619</v>
      </c>
      <c r="G781" t="s">
        <v>74</v>
      </c>
      <c r="H781" t="s">
        <v>74</v>
      </c>
      <c r="I781" t="s">
        <v>14620</v>
      </c>
      <c r="J781" t="s">
        <v>14621</v>
      </c>
      <c r="K781" t="s">
        <v>74</v>
      </c>
      <c r="L781" t="s">
        <v>74</v>
      </c>
      <c r="M781" t="s">
        <v>200</v>
      </c>
      <c r="N781" t="s">
        <v>79</v>
      </c>
      <c r="O781" t="s">
        <v>74</v>
      </c>
      <c r="P781" t="s">
        <v>74</v>
      </c>
      <c r="Q781" t="s">
        <v>74</v>
      </c>
      <c r="R781" t="s">
        <v>74</v>
      </c>
      <c r="S781" t="s">
        <v>74</v>
      </c>
      <c r="T781" t="s">
        <v>14622</v>
      </c>
      <c r="U781" t="s">
        <v>14623</v>
      </c>
      <c r="V781" t="s">
        <v>14624</v>
      </c>
      <c r="W781" t="s">
        <v>14625</v>
      </c>
      <c r="X781" t="s">
        <v>14626</v>
      </c>
      <c r="Y781" t="s">
        <v>14627</v>
      </c>
      <c r="Z781" t="s">
        <v>14628</v>
      </c>
      <c r="AA781" t="s">
        <v>14629</v>
      </c>
      <c r="AB781" t="s">
        <v>14630</v>
      </c>
      <c r="AC781" t="s">
        <v>14631</v>
      </c>
      <c r="AD781" t="s">
        <v>14632</v>
      </c>
      <c r="AE781" t="s">
        <v>14633</v>
      </c>
      <c r="AF781" t="s">
        <v>74</v>
      </c>
      <c r="AG781">
        <v>104</v>
      </c>
      <c r="AH781">
        <v>5</v>
      </c>
      <c r="AI781">
        <v>9</v>
      </c>
      <c r="AJ781">
        <v>1</v>
      </c>
      <c r="AK781">
        <v>21</v>
      </c>
      <c r="AL781" t="s">
        <v>7137</v>
      </c>
      <c r="AM781" t="s">
        <v>209</v>
      </c>
      <c r="AN781" t="s">
        <v>7138</v>
      </c>
      <c r="AO781" t="s">
        <v>14634</v>
      </c>
      <c r="AP781" t="s">
        <v>14635</v>
      </c>
      <c r="AQ781" t="s">
        <v>74</v>
      </c>
      <c r="AR781" t="s">
        <v>14636</v>
      </c>
      <c r="AS781" t="s">
        <v>14637</v>
      </c>
      <c r="AT781" t="s">
        <v>12574</v>
      </c>
      <c r="AU781">
        <v>2015</v>
      </c>
      <c r="AV781">
        <v>135</v>
      </c>
      <c r="AW781" t="s">
        <v>74</v>
      </c>
      <c r="AX781" t="s">
        <v>74</v>
      </c>
      <c r="AY781" t="s">
        <v>74</v>
      </c>
      <c r="AZ781" t="s">
        <v>74</v>
      </c>
      <c r="BA781" t="s">
        <v>74</v>
      </c>
      <c r="BB781">
        <v>47</v>
      </c>
      <c r="BC781">
        <v>56</v>
      </c>
      <c r="BD781" t="s">
        <v>74</v>
      </c>
      <c r="BE781" t="s">
        <v>14638</v>
      </c>
      <c r="BF781" t="str">
        <f>HYPERLINK("http://dx.doi.org/10.1016/j.gloplacha.2015.10.002","http://dx.doi.org/10.1016/j.gloplacha.2015.10.002")</f>
        <v>http://dx.doi.org/10.1016/j.gloplacha.2015.10.002</v>
      </c>
      <c r="BG781" t="s">
        <v>74</v>
      </c>
      <c r="BH781" t="s">
        <v>74</v>
      </c>
      <c r="BI781">
        <v>10</v>
      </c>
      <c r="BJ781" t="s">
        <v>2247</v>
      </c>
      <c r="BK781" t="s">
        <v>264</v>
      </c>
      <c r="BL781" t="s">
        <v>2248</v>
      </c>
      <c r="BM781" t="s">
        <v>14639</v>
      </c>
      <c r="BN781" t="s">
        <v>74</v>
      </c>
      <c r="BO781" t="s">
        <v>74</v>
      </c>
      <c r="BP781" t="s">
        <v>74</v>
      </c>
      <c r="BQ781" t="s">
        <v>74</v>
      </c>
      <c r="BR781" t="s">
        <v>100</v>
      </c>
      <c r="BS781" t="s">
        <v>14640</v>
      </c>
      <c r="BT781" t="str">
        <f>HYPERLINK("https%3A%2F%2Fwww.webofscience.com%2Fwos%2Fwoscc%2Ffull-record%2FWOS:000370207600004","View Full Record in Web of Science")</f>
        <v>View Full Record in Web of Science</v>
      </c>
    </row>
    <row r="782" spans="1:72" x14ac:dyDescent="0.15">
      <c r="A782" t="s">
        <v>72</v>
      </c>
      <c r="B782" t="s">
        <v>14641</v>
      </c>
      <c r="C782" t="s">
        <v>74</v>
      </c>
      <c r="D782" t="s">
        <v>74</v>
      </c>
      <c r="E782" t="s">
        <v>74</v>
      </c>
      <c r="F782" t="s">
        <v>14642</v>
      </c>
      <c r="G782" t="s">
        <v>74</v>
      </c>
      <c r="H782" t="s">
        <v>74</v>
      </c>
      <c r="I782" t="s">
        <v>14643</v>
      </c>
      <c r="J782" t="s">
        <v>14644</v>
      </c>
      <c r="K782" t="s">
        <v>74</v>
      </c>
      <c r="L782" t="s">
        <v>74</v>
      </c>
      <c r="M782" t="s">
        <v>200</v>
      </c>
      <c r="N782" t="s">
        <v>79</v>
      </c>
      <c r="O782" t="s">
        <v>74</v>
      </c>
      <c r="P782" t="s">
        <v>74</v>
      </c>
      <c r="Q782" t="s">
        <v>74</v>
      </c>
      <c r="R782" t="s">
        <v>74</v>
      </c>
      <c r="S782" t="s">
        <v>74</v>
      </c>
      <c r="T782" t="s">
        <v>14645</v>
      </c>
      <c r="U782" t="s">
        <v>14646</v>
      </c>
      <c r="V782" t="s">
        <v>14647</v>
      </c>
      <c r="W782" t="s">
        <v>14648</v>
      </c>
      <c r="X782" t="s">
        <v>14649</v>
      </c>
      <c r="Y782" t="s">
        <v>14650</v>
      </c>
      <c r="Z782" t="s">
        <v>14651</v>
      </c>
      <c r="AA782" t="s">
        <v>14652</v>
      </c>
      <c r="AB782" t="s">
        <v>14653</v>
      </c>
      <c r="AC782" t="s">
        <v>14654</v>
      </c>
      <c r="AD782" t="s">
        <v>14655</v>
      </c>
      <c r="AE782" t="s">
        <v>14656</v>
      </c>
      <c r="AF782" t="s">
        <v>74</v>
      </c>
      <c r="AG782">
        <v>62</v>
      </c>
      <c r="AH782">
        <v>6</v>
      </c>
      <c r="AI782">
        <v>6</v>
      </c>
      <c r="AJ782">
        <v>2</v>
      </c>
      <c r="AK782">
        <v>53</v>
      </c>
      <c r="AL782" t="s">
        <v>14657</v>
      </c>
      <c r="AM782" t="s">
        <v>2100</v>
      </c>
      <c r="AN782" t="s">
        <v>14658</v>
      </c>
      <c r="AO782" t="s">
        <v>14659</v>
      </c>
      <c r="AP782" t="s">
        <v>14660</v>
      </c>
      <c r="AQ782" t="s">
        <v>74</v>
      </c>
      <c r="AR782" t="s">
        <v>14661</v>
      </c>
      <c r="AS782" t="s">
        <v>14662</v>
      </c>
      <c r="AT782" t="s">
        <v>12574</v>
      </c>
      <c r="AU782">
        <v>2015</v>
      </c>
      <c r="AV782">
        <v>69</v>
      </c>
      <c r="AW782">
        <v>4</v>
      </c>
      <c r="AX782" t="s">
        <v>74</v>
      </c>
      <c r="AY782" t="s">
        <v>74</v>
      </c>
      <c r="AZ782" t="s">
        <v>74</v>
      </c>
      <c r="BA782" t="s">
        <v>74</v>
      </c>
      <c r="BB782">
        <v>385</v>
      </c>
      <c r="BC782">
        <v>399</v>
      </c>
      <c r="BD782" t="s">
        <v>74</v>
      </c>
      <c r="BE782" t="s">
        <v>14663</v>
      </c>
      <c r="BF782" t="str">
        <f>HYPERLINK("http://dx.doi.org/10.1007/s10152-015-0444-5","http://dx.doi.org/10.1007/s10152-015-0444-5")</f>
        <v>http://dx.doi.org/10.1007/s10152-015-0444-5</v>
      </c>
      <c r="BG782" t="s">
        <v>74</v>
      </c>
      <c r="BH782" t="s">
        <v>74</v>
      </c>
      <c r="BI782">
        <v>15</v>
      </c>
      <c r="BJ782" t="s">
        <v>6862</v>
      </c>
      <c r="BK782" t="s">
        <v>264</v>
      </c>
      <c r="BL782" t="s">
        <v>6862</v>
      </c>
      <c r="BM782" t="s">
        <v>14664</v>
      </c>
      <c r="BN782" t="s">
        <v>74</v>
      </c>
      <c r="BO782" t="s">
        <v>74</v>
      </c>
      <c r="BP782" t="s">
        <v>74</v>
      </c>
      <c r="BQ782" t="s">
        <v>74</v>
      </c>
      <c r="BR782" t="s">
        <v>100</v>
      </c>
      <c r="BS782" t="s">
        <v>14665</v>
      </c>
      <c r="BT782" t="str">
        <f>HYPERLINK("https%3A%2F%2Fwww.webofscience.com%2Fwos%2Fwoscc%2Ffull-record%2FWOS:000364508400005","View Full Record in Web of Science")</f>
        <v>View Full Record in Web of Science</v>
      </c>
    </row>
    <row r="783" spans="1:72" x14ac:dyDescent="0.15">
      <c r="A783" t="s">
        <v>72</v>
      </c>
      <c r="B783" t="s">
        <v>14666</v>
      </c>
      <c r="C783" t="s">
        <v>74</v>
      </c>
      <c r="D783" t="s">
        <v>74</v>
      </c>
      <c r="E783" t="s">
        <v>74</v>
      </c>
      <c r="F783" t="s">
        <v>14667</v>
      </c>
      <c r="G783" t="s">
        <v>74</v>
      </c>
      <c r="H783" t="s">
        <v>74</v>
      </c>
      <c r="I783" t="s">
        <v>14668</v>
      </c>
      <c r="J783" t="s">
        <v>14669</v>
      </c>
      <c r="K783" t="s">
        <v>74</v>
      </c>
      <c r="L783" t="s">
        <v>74</v>
      </c>
      <c r="M783" t="s">
        <v>200</v>
      </c>
      <c r="N783" t="s">
        <v>79</v>
      </c>
      <c r="O783" t="s">
        <v>74</v>
      </c>
      <c r="P783" t="s">
        <v>74</v>
      </c>
      <c r="Q783" t="s">
        <v>74</v>
      </c>
      <c r="R783" t="s">
        <v>74</v>
      </c>
      <c r="S783" t="s">
        <v>74</v>
      </c>
      <c r="T783" t="s">
        <v>14670</v>
      </c>
      <c r="U783" t="s">
        <v>14671</v>
      </c>
      <c r="V783" t="s">
        <v>14672</v>
      </c>
      <c r="W783" t="s">
        <v>14673</v>
      </c>
      <c r="X783" t="s">
        <v>14674</v>
      </c>
      <c r="Y783" t="s">
        <v>14675</v>
      </c>
      <c r="Z783" t="s">
        <v>14676</v>
      </c>
      <c r="AA783" t="s">
        <v>14677</v>
      </c>
      <c r="AB783" t="s">
        <v>14678</v>
      </c>
      <c r="AC783" t="s">
        <v>14679</v>
      </c>
      <c r="AD783" t="s">
        <v>14680</v>
      </c>
      <c r="AE783" t="s">
        <v>14681</v>
      </c>
      <c r="AF783" t="s">
        <v>74</v>
      </c>
      <c r="AG783">
        <v>11</v>
      </c>
      <c r="AH783">
        <v>1</v>
      </c>
      <c r="AI783">
        <v>1</v>
      </c>
      <c r="AJ783">
        <v>0</v>
      </c>
      <c r="AK783">
        <v>6</v>
      </c>
      <c r="AL783" t="s">
        <v>14682</v>
      </c>
      <c r="AM783" t="s">
        <v>14683</v>
      </c>
      <c r="AN783" t="s">
        <v>14684</v>
      </c>
      <c r="AO783" t="s">
        <v>14685</v>
      </c>
      <c r="AP783" t="s">
        <v>14686</v>
      </c>
      <c r="AQ783" t="s">
        <v>74</v>
      </c>
      <c r="AR783" t="s">
        <v>14687</v>
      </c>
      <c r="AS783" t="s">
        <v>14688</v>
      </c>
      <c r="AT783" t="s">
        <v>12574</v>
      </c>
      <c r="AU783">
        <v>2015</v>
      </c>
      <c r="AV783">
        <v>9</v>
      </c>
      <c r="AW783">
        <v>9</v>
      </c>
      <c r="AX783" t="s">
        <v>74</v>
      </c>
      <c r="AY783" t="s">
        <v>74</v>
      </c>
      <c r="AZ783" t="s">
        <v>2540</v>
      </c>
      <c r="BA783" t="s">
        <v>74</v>
      </c>
      <c r="BB783">
        <v>1323</v>
      </c>
      <c r="BC783">
        <v>1329</v>
      </c>
      <c r="BD783" t="s">
        <v>74</v>
      </c>
      <c r="BE783" t="s">
        <v>14689</v>
      </c>
      <c r="BF783" t="str">
        <f>HYPERLINK("http://dx.doi.org/10.1049/iet-rsn.2014.0355","http://dx.doi.org/10.1049/iet-rsn.2014.0355")</f>
        <v>http://dx.doi.org/10.1049/iet-rsn.2014.0355</v>
      </c>
      <c r="BG783" t="s">
        <v>74</v>
      </c>
      <c r="BH783" t="s">
        <v>74</v>
      </c>
      <c r="BI783">
        <v>7</v>
      </c>
      <c r="BJ783" t="s">
        <v>14690</v>
      </c>
      <c r="BK783" t="s">
        <v>264</v>
      </c>
      <c r="BL783" t="s">
        <v>3568</v>
      </c>
      <c r="BM783" t="s">
        <v>14691</v>
      </c>
      <c r="BN783" t="s">
        <v>74</v>
      </c>
      <c r="BO783" t="s">
        <v>74</v>
      </c>
      <c r="BP783" t="s">
        <v>74</v>
      </c>
      <c r="BQ783" t="s">
        <v>74</v>
      </c>
      <c r="BR783" t="s">
        <v>100</v>
      </c>
      <c r="BS783" t="s">
        <v>14692</v>
      </c>
      <c r="BT783" t="str">
        <f>HYPERLINK("https%3A%2F%2Fwww.webofscience.com%2Fwos%2Fwoscc%2Ffull-record%2FWOS:000365855500023","View Full Record in Web of Science")</f>
        <v>View Full Record in Web of Science</v>
      </c>
    </row>
    <row r="784" spans="1:72" x14ac:dyDescent="0.15">
      <c r="A784" t="s">
        <v>72</v>
      </c>
      <c r="B784" t="s">
        <v>14693</v>
      </c>
      <c r="C784" t="s">
        <v>74</v>
      </c>
      <c r="D784" t="s">
        <v>74</v>
      </c>
      <c r="E784" t="s">
        <v>74</v>
      </c>
      <c r="F784" t="s">
        <v>14694</v>
      </c>
      <c r="G784" t="s">
        <v>74</v>
      </c>
      <c r="H784" t="s">
        <v>74</v>
      </c>
      <c r="I784" t="s">
        <v>14695</v>
      </c>
      <c r="J784" t="s">
        <v>14696</v>
      </c>
      <c r="K784" t="s">
        <v>74</v>
      </c>
      <c r="L784" t="s">
        <v>74</v>
      </c>
      <c r="M784" t="s">
        <v>200</v>
      </c>
      <c r="N784" t="s">
        <v>79</v>
      </c>
      <c r="O784" t="s">
        <v>74</v>
      </c>
      <c r="P784" t="s">
        <v>74</v>
      </c>
      <c r="Q784" t="s">
        <v>74</v>
      </c>
      <c r="R784" t="s">
        <v>74</v>
      </c>
      <c r="S784" t="s">
        <v>74</v>
      </c>
      <c r="T784" t="s">
        <v>74</v>
      </c>
      <c r="U784" t="s">
        <v>14697</v>
      </c>
      <c r="V784" t="s">
        <v>14698</v>
      </c>
      <c r="W784" t="s">
        <v>14699</v>
      </c>
      <c r="X784" t="s">
        <v>14700</v>
      </c>
      <c r="Y784" t="s">
        <v>14701</v>
      </c>
      <c r="Z784" t="s">
        <v>14702</v>
      </c>
      <c r="AA784" t="s">
        <v>14703</v>
      </c>
      <c r="AB784" t="s">
        <v>14704</v>
      </c>
      <c r="AC784" t="s">
        <v>74</v>
      </c>
      <c r="AD784" t="s">
        <v>74</v>
      </c>
      <c r="AE784" t="s">
        <v>74</v>
      </c>
      <c r="AF784" t="s">
        <v>74</v>
      </c>
      <c r="AG784">
        <v>58</v>
      </c>
      <c r="AH784">
        <v>18</v>
      </c>
      <c r="AI784">
        <v>20</v>
      </c>
      <c r="AJ784">
        <v>0</v>
      </c>
      <c r="AK784">
        <v>9</v>
      </c>
      <c r="AL784" t="s">
        <v>208</v>
      </c>
      <c r="AM784" t="s">
        <v>209</v>
      </c>
      <c r="AN784" t="s">
        <v>7114</v>
      </c>
      <c r="AO784" t="s">
        <v>14705</v>
      </c>
      <c r="AP784" t="s">
        <v>74</v>
      </c>
      <c r="AQ784" t="s">
        <v>74</v>
      </c>
      <c r="AR784" t="s">
        <v>14706</v>
      </c>
      <c r="AS784" t="s">
        <v>14707</v>
      </c>
      <c r="AT784" t="s">
        <v>12574</v>
      </c>
      <c r="AU784">
        <v>2015</v>
      </c>
      <c r="AV784">
        <v>4</v>
      </c>
      <c r="AW784">
        <v>3</v>
      </c>
      <c r="AX784" t="s">
        <v>74</v>
      </c>
      <c r="AY784" t="s">
        <v>74</v>
      </c>
      <c r="AZ784" t="s">
        <v>74</v>
      </c>
      <c r="BA784" t="s">
        <v>74</v>
      </c>
      <c r="BB784">
        <v>356</v>
      </c>
      <c r="BC784">
        <v>367</v>
      </c>
      <c r="BD784" t="s">
        <v>74</v>
      </c>
      <c r="BE784" t="s">
        <v>14708</v>
      </c>
      <c r="BF784" t="str">
        <f>HYPERLINK("http://dx.doi.org/10.1016/j.ijppaw.2015.10.004","http://dx.doi.org/10.1016/j.ijppaw.2015.10.004")</f>
        <v>http://dx.doi.org/10.1016/j.ijppaw.2015.10.004</v>
      </c>
      <c r="BG784" t="s">
        <v>74</v>
      </c>
      <c r="BH784" t="s">
        <v>74</v>
      </c>
      <c r="BI784">
        <v>12</v>
      </c>
      <c r="BJ784" t="s">
        <v>14709</v>
      </c>
      <c r="BK784" t="s">
        <v>264</v>
      </c>
      <c r="BL784" t="s">
        <v>14710</v>
      </c>
      <c r="BM784" t="s">
        <v>14711</v>
      </c>
      <c r="BN784">
        <v>26767164</v>
      </c>
      <c r="BO784" t="s">
        <v>523</v>
      </c>
      <c r="BP784" t="s">
        <v>74</v>
      </c>
      <c r="BQ784" t="s">
        <v>74</v>
      </c>
      <c r="BR784" t="s">
        <v>100</v>
      </c>
      <c r="BS784" t="s">
        <v>14712</v>
      </c>
      <c r="BT784" t="str">
        <f>HYPERLINK("https%3A%2F%2Fwww.webofscience.com%2Fwos%2Fwoscc%2Ffull-record%2FWOS:000371441100013","View Full Record in Web of Science")</f>
        <v>View Full Record in Web of Science</v>
      </c>
    </row>
    <row r="785" spans="1:72" x14ac:dyDescent="0.15">
      <c r="A785" t="s">
        <v>72</v>
      </c>
      <c r="B785" t="s">
        <v>14713</v>
      </c>
      <c r="C785" t="s">
        <v>74</v>
      </c>
      <c r="D785" t="s">
        <v>74</v>
      </c>
      <c r="E785" t="s">
        <v>74</v>
      </c>
      <c r="F785" t="s">
        <v>14714</v>
      </c>
      <c r="G785" t="s">
        <v>74</v>
      </c>
      <c r="H785" t="s">
        <v>74</v>
      </c>
      <c r="I785" t="s">
        <v>14715</v>
      </c>
      <c r="J785" t="s">
        <v>14716</v>
      </c>
      <c r="K785" t="s">
        <v>74</v>
      </c>
      <c r="L785" t="s">
        <v>74</v>
      </c>
      <c r="M785" t="s">
        <v>200</v>
      </c>
      <c r="N785" t="s">
        <v>79</v>
      </c>
      <c r="O785" t="s">
        <v>74</v>
      </c>
      <c r="P785" t="s">
        <v>74</v>
      </c>
      <c r="Q785" t="s">
        <v>74</v>
      </c>
      <c r="R785" t="s">
        <v>74</v>
      </c>
      <c r="S785" t="s">
        <v>74</v>
      </c>
      <c r="T785" t="s">
        <v>14717</v>
      </c>
      <c r="U785" t="s">
        <v>74</v>
      </c>
      <c r="V785" t="s">
        <v>14718</v>
      </c>
      <c r="W785" t="s">
        <v>14719</v>
      </c>
      <c r="X785" t="s">
        <v>14720</v>
      </c>
      <c r="Y785" t="s">
        <v>14721</v>
      </c>
      <c r="Z785" t="s">
        <v>14722</v>
      </c>
      <c r="AA785" t="s">
        <v>14723</v>
      </c>
      <c r="AB785" t="s">
        <v>14724</v>
      </c>
      <c r="AC785" t="s">
        <v>74</v>
      </c>
      <c r="AD785" t="s">
        <v>74</v>
      </c>
      <c r="AE785" t="s">
        <v>74</v>
      </c>
      <c r="AF785" t="s">
        <v>74</v>
      </c>
      <c r="AG785">
        <v>8</v>
      </c>
      <c r="AH785">
        <v>0</v>
      </c>
      <c r="AI785">
        <v>0</v>
      </c>
      <c r="AJ785">
        <v>0</v>
      </c>
      <c r="AK785">
        <v>11</v>
      </c>
      <c r="AL785" t="s">
        <v>5110</v>
      </c>
      <c r="AM785" t="s">
        <v>289</v>
      </c>
      <c r="AN785" t="s">
        <v>5111</v>
      </c>
      <c r="AO785" t="s">
        <v>14725</v>
      </c>
      <c r="AP785" t="s">
        <v>14726</v>
      </c>
      <c r="AQ785" t="s">
        <v>74</v>
      </c>
      <c r="AR785" t="s">
        <v>14727</v>
      </c>
      <c r="AS785" t="s">
        <v>14728</v>
      </c>
      <c r="AT785" t="s">
        <v>12574</v>
      </c>
      <c r="AU785">
        <v>2015</v>
      </c>
      <c r="AV785">
        <v>51</v>
      </c>
      <c r="AW785">
        <v>9</v>
      </c>
      <c r="AX785" t="s">
        <v>74</v>
      </c>
      <c r="AY785" t="s">
        <v>74</v>
      </c>
      <c r="AZ785" t="s">
        <v>74</v>
      </c>
      <c r="BA785" t="s">
        <v>74</v>
      </c>
      <c r="BB785">
        <v>883</v>
      </c>
      <c r="BC785">
        <v>888</v>
      </c>
      <c r="BD785" t="s">
        <v>74</v>
      </c>
      <c r="BE785" t="s">
        <v>14729</v>
      </c>
      <c r="BF785" t="str">
        <f>HYPERLINK("http://dx.doi.org/10.1134/S0001433815090212","http://dx.doi.org/10.1134/S0001433815090212")</f>
        <v>http://dx.doi.org/10.1134/S0001433815090212</v>
      </c>
      <c r="BG785" t="s">
        <v>74</v>
      </c>
      <c r="BH785" t="s">
        <v>74</v>
      </c>
      <c r="BI785">
        <v>6</v>
      </c>
      <c r="BJ785" t="s">
        <v>3766</v>
      </c>
      <c r="BK785" t="s">
        <v>264</v>
      </c>
      <c r="BL785" t="s">
        <v>3766</v>
      </c>
      <c r="BM785" t="s">
        <v>14730</v>
      </c>
      <c r="BN785" t="s">
        <v>74</v>
      </c>
      <c r="BO785" t="s">
        <v>74</v>
      </c>
      <c r="BP785" t="s">
        <v>74</v>
      </c>
      <c r="BQ785" t="s">
        <v>74</v>
      </c>
      <c r="BR785" t="s">
        <v>100</v>
      </c>
      <c r="BS785" t="s">
        <v>14731</v>
      </c>
      <c r="BT785" t="str">
        <f>HYPERLINK("https%3A%2F%2Fwww.webofscience.com%2Fwos%2Fwoscc%2Ffull-record%2FWOS:000410627600002","View Full Record in Web of Science")</f>
        <v>View Full Record in Web of Science</v>
      </c>
    </row>
    <row r="786" spans="1:72" x14ac:dyDescent="0.15">
      <c r="A786" t="s">
        <v>72</v>
      </c>
      <c r="B786" t="s">
        <v>14732</v>
      </c>
      <c r="C786" t="s">
        <v>74</v>
      </c>
      <c r="D786" t="s">
        <v>74</v>
      </c>
      <c r="E786" t="s">
        <v>74</v>
      </c>
      <c r="F786" t="s">
        <v>14733</v>
      </c>
      <c r="G786" t="s">
        <v>74</v>
      </c>
      <c r="H786" t="s">
        <v>74</v>
      </c>
      <c r="I786" t="s">
        <v>14734</v>
      </c>
      <c r="J786" t="s">
        <v>14716</v>
      </c>
      <c r="K786" t="s">
        <v>74</v>
      </c>
      <c r="L786" t="s">
        <v>74</v>
      </c>
      <c r="M786" t="s">
        <v>200</v>
      </c>
      <c r="N786" t="s">
        <v>79</v>
      </c>
      <c r="O786" t="s">
        <v>74</v>
      </c>
      <c r="P786" t="s">
        <v>74</v>
      </c>
      <c r="Q786" t="s">
        <v>74</v>
      </c>
      <c r="R786" t="s">
        <v>74</v>
      </c>
      <c r="S786" t="s">
        <v>74</v>
      </c>
      <c r="T786" t="s">
        <v>14735</v>
      </c>
      <c r="U786" t="s">
        <v>14736</v>
      </c>
      <c r="V786" t="s">
        <v>14737</v>
      </c>
      <c r="W786" t="s">
        <v>14738</v>
      </c>
      <c r="X786" t="s">
        <v>108</v>
      </c>
      <c r="Y786" t="s">
        <v>14739</v>
      </c>
      <c r="Z786" t="s">
        <v>14740</v>
      </c>
      <c r="AA786" t="s">
        <v>14741</v>
      </c>
      <c r="AB786" t="s">
        <v>74</v>
      </c>
      <c r="AC786" t="s">
        <v>14742</v>
      </c>
      <c r="AD786" t="s">
        <v>14743</v>
      </c>
      <c r="AE786" t="s">
        <v>14744</v>
      </c>
      <c r="AF786" t="s">
        <v>74</v>
      </c>
      <c r="AG786">
        <v>80</v>
      </c>
      <c r="AH786">
        <v>6</v>
      </c>
      <c r="AI786">
        <v>6</v>
      </c>
      <c r="AJ786">
        <v>2</v>
      </c>
      <c r="AK786">
        <v>10</v>
      </c>
      <c r="AL786" t="s">
        <v>5110</v>
      </c>
      <c r="AM786" t="s">
        <v>289</v>
      </c>
      <c r="AN786" t="s">
        <v>5111</v>
      </c>
      <c r="AO786" t="s">
        <v>14725</v>
      </c>
      <c r="AP786" t="s">
        <v>14726</v>
      </c>
      <c r="AQ786" t="s">
        <v>74</v>
      </c>
      <c r="AR786" t="s">
        <v>14727</v>
      </c>
      <c r="AS786" t="s">
        <v>14728</v>
      </c>
      <c r="AT786" t="s">
        <v>12574</v>
      </c>
      <c r="AU786">
        <v>2015</v>
      </c>
      <c r="AV786">
        <v>51</v>
      </c>
      <c r="AW786">
        <v>9</v>
      </c>
      <c r="AX786" t="s">
        <v>74</v>
      </c>
      <c r="AY786" t="s">
        <v>74</v>
      </c>
      <c r="AZ786" t="s">
        <v>74</v>
      </c>
      <c r="BA786" t="s">
        <v>74</v>
      </c>
      <c r="BB786">
        <v>889</v>
      </c>
      <c r="BC786">
        <v>902</v>
      </c>
      <c r="BD786" t="s">
        <v>74</v>
      </c>
      <c r="BE786" t="s">
        <v>14745</v>
      </c>
      <c r="BF786" t="str">
        <f>HYPERLINK("http://dx.doi.org/10.1134/S0001433815090029","http://dx.doi.org/10.1134/S0001433815090029")</f>
        <v>http://dx.doi.org/10.1134/S0001433815090029</v>
      </c>
      <c r="BG786" t="s">
        <v>74</v>
      </c>
      <c r="BH786" t="s">
        <v>74</v>
      </c>
      <c r="BI786">
        <v>14</v>
      </c>
      <c r="BJ786" t="s">
        <v>3766</v>
      </c>
      <c r="BK786" t="s">
        <v>264</v>
      </c>
      <c r="BL786" t="s">
        <v>3766</v>
      </c>
      <c r="BM786" t="s">
        <v>14730</v>
      </c>
      <c r="BN786" t="s">
        <v>74</v>
      </c>
      <c r="BO786" t="s">
        <v>74</v>
      </c>
      <c r="BP786" t="s">
        <v>74</v>
      </c>
      <c r="BQ786" t="s">
        <v>74</v>
      </c>
      <c r="BR786" t="s">
        <v>100</v>
      </c>
      <c r="BS786" t="s">
        <v>14746</v>
      </c>
      <c r="BT786" t="str">
        <f>HYPERLINK("https%3A%2F%2Fwww.webofscience.com%2Fwos%2Fwoscc%2Ffull-record%2FWOS:000410627600003","View Full Record in Web of Science")</f>
        <v>View Full Record in Web of Science</v>
      </c>
    </row>
    <row r="787" spans="1:72" x14ac:dyDescent="0.15">
      <c r="A787" t="s">
        <v>72</v>
      </c>
      <c r="B787" t="s">
        <v>14747</v>
      </c>
      <c r="C787" t="s">
        <v>74</v>
      </c>
      <c r="D787" t="s">
        <v>74</v>
      </c>
      <c r="E787" t="s">
        <v>74</v>
      </c>
      <c r="F787" t="s">
        <v>14748</v>
      </c>
      <c r="G787" t="s">
        <v>74</v>
      </c>
      <c r="H787" t="s">
        <v>74</v>
      </c>
      <c r="I787" t="s">
        <v>14749</v>
      </c>
      <c r="J787" t="s">
        <v>14716</v>
      </c>
      <c r="K787" t="s">
        <v>74</v>
      </c>
      <c r="L787" t="s">
        <v>74</v>
      </c>
      <c r="M787" t="s">
        <v>200</v>
      </c>
      <c r="N787" t="s">
        <v>79</v>
      </c>
      <c r="O787" t="s">
        <v>74</v>
      </c>
      <c r="P787" t="s">
        <v>74</v>
      </c>
      <c r="Q787" t="s">
        <v>74</v>
      </c>
      <c r="R787" t="s">
        <v>74</v>
      </c>
      <c r="S787" t="s">
        <v>74</v>
      </c>
      <c r="T787" t="s">
        <v>14750</v>
      </c>
      <c r="U787" t="s">
        <v>74</v>
      </c>
      <c r="V787" t="s">
        <v>14751</v>
      </c>
      <c r="W787" t="s">
        <v>14752</v>
      </c>
      <c r="X787" t="s">
        <v>108</v>
      </c>
      <c r="Y787" t="s">
        <v>14753</v>
      </c>
      <c r="Z787" t="s">
        <v>14754</v>
      </c>
      <c r="AA787" t="s">
        <v>74</v>
      </c>
      <c r="AB787" t="s">
        <v>74</v>
      </c>
      <c r="AC787" t="s">
        <v>74</v>
      </c>
      <c r="AD787" t="s">
        <v>74</v>
      </c>
      <c r="AE787" t="s">
        <v>74</v>
      </c>
      <c r="AF787" t="s">
        <v>74</v>
      </c>
      <c r="AG787">
        <v>15</v>
      </c>
      <c r="AH787">
        <v>3</v>
      </c>
      <c r="AI787">
        <v>4</v>
      </c>
      <c r="AJ787">
        <v>1</v>
      </c>
      <c r="AK787">
        <v>1</v>
      </c>
      <c r="AL787" t="s">
        <v>5110</v>
      </c>
      <c r="AM787" t="s">
        <v>289</v>
      </c>
      <c r="AN787" t="s">
        <v>5111</v>
      </c>
      <c r="AO787" t="s">
        <v>14725</v>
      </c>
      <c r="AP787" t="s">
        <v>14726</v>
      </c>
      <c r="AQ787" t="s">
        <v>74</v>
      </c>
      <c r="AR787" t="s">
        <v>14727</v>
      </c>
      <c r="AS787" t="s">
        <v>14728</v>
      </c>
      <c r="AT787" t="s">
        <v>12574</v>
      </c>
      <c r="AU787">
        <v>2015</v>
      </c>
      <c r="AV787">
        <v>51</v>
      </c>
      <c r="AW787">
        <v>9</v>
      </c>
      <c r="AX787" t="s">
        <v>74</v>
      </c>
      <c r="AY787" t="s">
        <v>74</v>
      </c>
      <c r="AZ787" t="s">
        <v>74</v>
      </c>
      <c r="BA787" t="s">
        <v>74</v>
      </c>
      <c r="BB787">
        <v>935</v>
      </c>
      <c r="BC787">
        <v>942</v>
      </c>
      <c r="BD787" t="s">
        <v>74</v>
      </c>
      <c r="BE787" t="s">
        <v>14755</v>
      </c>
      <c r="BF787" t="str">
        <f>HYPERLINK("http://dx.doi.org/10.1134/S0001433815090182","http://dx.doi.org/10.1134/S0001433815090182")</f>
        <v>http://dx.doi.org/10.1134/S0001433815090182</v>
      </c>
      <c r="BG787" t="s">
        <v>74</v>
      </c>
      <c r="BH787" t="s">
        <v>74</v>
      </c>
      <c r="BI787">
        <v>8</v>
      </c>
      <c r="BJ787" t="s">
        <v>3766</v>
      </c>
      <c r="BK787" t="s">
        <v>264</v>
      </c>
      <c r="BL787" t="s">
        <v>3766</v>
      </c>
      <c r="BM787" t="s">
        <v>14730</v>
      </c>
      <c r="BN787" t="s">
        <v>74</v>
      </c>
      <c r="BO787" t="s">
        <v>74</v>
      </c>
      <c r="BP787" t="s">
        <v>74</v>
      </c>
      <c r="BQ787" t="s">
        <v>74</v>
      </c>
      <c r="BR787" t="s">
        <v>100</v>
      </c>
      <c r="BS787" t="s">
        <v>14756</v>
      </c>
      <c r="BT787" t="str">
        <f>HYPERLINK("https%3A%2F%2Fwww.webofscience.com%2Fwos%2Fwoscc%2Ffull-record%2FWOS:000410627600007","View Full Record in Web of Science")</f>
        <v>View Full Record in Web of Science</v>
      </c>
    </row>
    <row r="788" spans="1:72" x14ac:dyDescent="0.15">
      <c r="A788" t="s">
        <v>72</v>
      </c>
      <c r="B788" t="s">
        <v>14757</v>
      </c>
      <c r="C788" t="s">
        <v>74</v>
      </c>
      <c r="D788" t="s">
        <v>74</v>
      </c>
      <c r="E788" t="s">
        <v>74</v>
      </c>
      <c r="F788" t="s">
        <v>14758</v>
      </c>
      <c r="G788" t="s">
        <v>74</v>
      </c>
      <c r="H788" t="s">
        <v>74</v>
      </c>
      <c r="I788" t="s">
        <v>14759</v>
      </c>
      <c r="J788" t="s">
        <v>14716</v>
      </c>
      <c r="K788" t="s">
        <v>74</v>
      </c>
      <c r="L788" t="s">
        <v>74</v>
      </c>
      <c r="M788" t="s">
        <v>200</v>
      </c>
      <c r="N788" t="s">
        <v>79</v>
      </c>
      <c r="O788" t="s">
        <v>74</v>
      </c>
      <c r="P788" t="s">
        <v>74</v>
      </c>
      <c r="Q788" t="s">
        <v>74</v>
      </c>
      <c r="R788" t="s">
        <v>74</v>
      </c>
      <c r="S788" t="s">
        <v>74</v>
      </c>
      <c r="T788" t="s">
        <v>14760</v>
      </c>
      <c r="U788" t="s">
        <v>14761</v>
      </c>
      <c r="V788" t="s">
        <v>14762</v>
      </c>
      <c r="W788" t="s">
        <v>14763</v>
      </c>
      <c r="X788" t="s">
        <v>83</v>
      </c>
      <c r="Y788" t="s">
        <v>14764</v>
      </c>
      <c r="Z788" t="s">
        <v>14765</v>
      </c>
      <c r="AA788" t="s">
        <v>74</v>
      </c>
      <c r="AB788" t="s">
        <v>74</v>
      </c>
      <c r="AC788" t="s">
        <v>14766</v>
      </c>
      <c r="AD788" t="s">
        <v>14767</v>
      </c>
      <c r="AE788" t="s">
        <v>14768</v>
      </c>
      <c r="AF788" t="s">
        <v>74</v>
      </c>
      <c r="AG788">
        <v>17</v>
      </c>
      <c r="AH788">
        <v>3</v>
      </c>
      <c r="AI788">
        <v>4</v>
      </c>
      <c r="AJ788">
        <v>0</v>
      </c>
      <c r="AK788">
        <v>1</v>
      </c>
      <c r="AL788" t="s">
        <v>5110</v>
      </c>
      <c r="AM788" t="s">
        <v>289</v>
      </c>
      <c r="AN788" t="s">
        <v>5111</v>
      </c>
      <c r="AO788" t="s">
        <v>14725</v>
      </c>
      <c r="AP788" t="s">
        <v>14726</v>
      </c>
      <c r="AQ788" t="s">
        <v>74</v>
      </c>
      <c r="AR788" t="s">
        <v>14727</v>
      </c>
      <c r="AS788" t="s">
        <v>14728</v>
      </c>
      <c r="AT788" t="s">
        <v>12574</v>
      </c>
      <c r="AU788">
        <v>2015</v>
      </c>
      <c r="AV788">
        <v>51</v>
      </c>
      <c r="AW788">
        <v>9</v>
      </c>
      <c r="AX788" t="s">
        <v>74</v>
      </c>
      <c r="AY788" t="s">
        <v>74</v>
      </c>
      <c r="AZ788" t="s">
        <v>74</v>
      </c>
      <c r="BA788" t="s">
        <v>74</v>
      </c>
      <c r="BB788">
        <v>943</v>
      </c>
      <c r="BC788">
        <v>948</v>
      </c>
      <c r="BD788" t="s">
        <v>74</v>
      </c>
      <c r="BE788" t="s">
        <v>14769</v>
      </c>
      <c r="BF788" t="str">
        <f>HYPERLINK("http://dx.doi.org/10.1134/S0001433815090108","http://dx.doi.org/10.1134/S0001433815090108")</f>
        <v>http://dx.doi.org/10.1134/S0001433815090108</v>
      </c>
      <c r="BG788" t="s">
        <v>74</v>
      </c>
      <c r="BH788" t="s">
        <v>74</v>
      </c>
      <c r="BI788">
        <v>6</v>
      </c>
      <c r="BJ788" t="s">
        <v>3766</v>
      </c>
      <c r="BK788" t="s">
        <v>264</v>
      </c>
      <c r="BL788" t="s">
        <v>3766</v>
      </c>
      <c r="BM788" t="s">
        <v>14730</v>
      </c>
      <c r="BN788" t="s">
        <v>74</v>
      </c>
      <c r="BO788" t="s">
        <v>74</v>
      </c>
      <c r="BP788" t="s">
        <v>74</v>
      </c>
      <c r="BQ788" t="s">
        <v>74</v>
      </c>
      <c r="BR788" t="s">
        <v>100</v>
      </c>
      <c r="BS788" t="s">
        <v>14770</v>
      </c>
      <c r="BT788" t="str">
        <f>HYPERLINK("https%3A%2F%2Fwww.webofscience.com%2Fwos%2Fwoscc%2Ffull-record%2FWOS:000410627600008","View Full Record in Web of Science")</f>
        <v>View Full Record in Web of Science</v>
      </c>
    </row>
    <row r="789" spans="1:72" x14ac:dyDescent="0.15">
      <c r="A789" t="s">
        <v>72</v>
      </c>
      <c r="B789" t="s">
        <v>14771</v>
      </c>
      <c r="C789" t="s">
        <v>74</v>
      </c>
      <c r="D789" t="s">
        <v>74</v>
      </c>
      <c r="E789" t="s">
        <v>74</v>
      </c>
      <c r="F789" t="s">
        <v>14772</v>
      </c>
      <c r="G789" t="s">
        <v>74</v>
      </c>
      <c r="H789" t="s">
        <v>74</v>
      </c>
      <c r="I789" t="s">
        <v>14773</v>
      </c>
      <c r="J789" t="s">
        <v>14774</v>
      </c>
      <c r="K789" t="s">
        <v>74</v>
      </c>
      <c r="L789" t="s">
        <v>74</v>
      </c>
      <c r="M789" t="s">
        <v>200</v>
      </c>
      <c r="N789" t="s">
        <v>79</v>
      </c>
      <c r="O789" t="s">
        <v>74</v>
      </c>
      <c r="P789" t="s">
        <v>74</v>
      </c>
      <c r="Q789" t="s">
        <v>74</v>
      </c>
      <c r="R789" t="s">
        <v>74</v>
      </c>
      <c r="S789" t="s">
        <v>74</v>
      </c>
      <c r="T789" t="s">
        <v>14775</v>
      </c>
      <c r="U789" t="s">
        <v>14776</v>
      </c>
      <c r="V789" t="s">
        <v>14777</v>
      </c>
      <c r="W789" t="s">
        <v>14778</v>
      </c>
      <c r="X789" t="s">
        <v>14779</v>
      </c>
      <c r="Y789" t="s">
        <v>14780</v>
      </c>
      <c r="Z789" t="s">
        <v>14781</v>
      </c>
      <c r="AA789" t="s">
        <v>14782</v>
      </c>
      <c r="AB789" t="s">
        <v>14783</v>
      </c>
      <c r="AC789" t="s">
        <v>14784</v>
      </c>
      <c r="AD789" t="s">
        <v>14785</v>
      </c>
      <c r="AE789" t="s">
        <v>14786</v>
      </c>
      <c r="AF789" t="s">
        <v>74</v>
      </c>
      <c r="AG789">
        <v>24</v>
      </c>
      <c r="AH789">
        <v>24</v>
      </c>
      <c r="AI789">
        <v>24</v>
      </c>
      <c r="AJ789">
        <v>0</v>
      </c>
      <c r="AK789">
        <v>1</v>
      </c>
      <c r="AL789" t="s">
        <v>14787</v>
      </c>
      <c r="AM789" t="s">
        <v>7192</v>
      </c>
      <c r="AN789" t="s">
        <v>14788</v>
      </c>
      <c r="AO789" t="s">
        <v>14789</v>
      </c>
      <c r="AP789" t="s">
        <v>14790</v>
      </c>
      <c r="AQ789" t="s">
        <v>74</v>
      </c>
      <c r="AR789" t="s">
        <v>14791</v>
      </c>
      <c r="AS789" t="s">
        <v>14792</v>
      </c>
      <c r="AT789" t="s">
        <v>12574</v>
      </c>
      <c r="AU789">
        <v>2015</v>
      </c>
      <c r="AV789">
        <v>32</v>
      </c>
      <c r="AW789">
        <v>4</v>
      </c>
      <c r="AX789" t="s">
        <v>74</v>
      </c>
      <c r="AY789" t="s">
        <v>74</v>
      </c>
      <c r="AZ789" t="s">
        <v>74</v>
      </c>
      <c r="BA789" t="s">
        <v>74</v>
      </c>
      <c r="BB789">
        <v>281</v>
      </c>
      <c r="BC789">
        <v>287</v>
      </c>
      <c r="BD789" t="s">
        <v>74</v>
      </c>
      <c r="BE789" t="s">
        <v>14793</v>
      </c>
      <c r="BF789" t="str">
        <f>HYPERLINK("http://dx.doi.org/10.5140/JASS.2015.32.4.281","http://dx.doi.org/10.5140/JASS.2015.32.4.281")</f>
        <v>http://dx.doi.org/10.5140/JASS.2015.32.4.281</v>
      </c>
      <c r="BG789" t="s">
        <v>74</v>
      </c>
      <c r="BH789" t="s">
        <v>74</v>
      </c>
      <c r="BI789">
        <v>7</v>
      </c>
      <c r="BJ789" t="s">
        <v>1168</v>
      </c>
      <c r="BK789" t="s">
        <v>96</v>
      </c>
      <c r="BL789" t="s">
        <v>1168</v>
      </c>
      <c r="BM789" t="s">
        <v>14794</v>
      </c>
      <c r="BN789" t="s">
        <v>74</v>
      </c>
      <c r="BO789" t="s">
        <v>7447</v>
      </c>
      <c r="BP789" t="s">
        <v>74</v>
      </c>
      <c r="BQ789" t="s">
        <v>74</v>
      </c>
      <c r="BR789" t="s">
        <v>100</v>
      </c>
      <c r="BS789" t="s">
        <v>14795</v>
      </c>
      <c r="BT789" t="str">
        <f>HYPERLINK("https%3A%2F%2Fwww.webofscience.com%2Fwos%2Fwoscc%2Ffull-record%2FWOS:000417291500001","View Full Record in Web of Science")</f>
        <v>View Full Record in Web of Science</v>
      </c>
    </row>
    <row r="790" spans="1:72" x14ac:dyDescent="0.15">
      <c r="A790" t="s">
        <v>72</v>
      </c>
      <c r="B790" t="s">
        <v>14796</v>
      </c>
      <c r="C790" t="s">
        <v>74</v>
      </c>
      <c r="D790" t="s">
        <v>74</v>
      </c>
      <c r="E790" t="s">
        <v>74</v>
      </c>
      <c r="F790" t="s">
        <v>14797</v>
      </c>
      <c r="G790" t="s">
        <v>74</v>
      </c>
      <c r="H790" t="s">
        <v>74</v>
      </c>
      <c r="I790" t="s">
        <v>14798</v>
      </c>
      <c r="J790" t="s">
        <v>6650</v>
      </c>
      <c r="K790" t="s">
        <v>74</v>
      </c>
      <c r="L790" t="s">
        <v>74</v>
      </c>
      <c r="M790" t="s">
        <v>200</v>
      </c>
      <c r="N790" t="s">
        <v>79</v>
      </c>
      <c r="O790" t="s">
        <v>74</v>
      </c>
      <c r="P790" t="s">
        <v>74</v>
      </c>
      <c r="Q790" t="s">
        <v>74</v>
      </c>
      <c r="R790" t="s">
        <v>74</v>
      </c>
      <c r="S790" t="s">
        <v>74</v>
      </c>
      <c r="T790" t="s">
        <v>14799</v>
      </c>
      <c r="U790" t="s">
        <v>14800</v>
      </c>
      <c r="V790" t="s">
        <v>14801</v>
      </c>
      <c r="W790" t="s">
        <v>14802</v>
      </c>
      <c r="X790" t="s">
        <v>14803</v>
      </c>
      <c r="Y790" t="s">
        <v>14804</v>
      </c>
      <c r="Z790" t="s">
        <v>14805</v>
      </c>
      <c r="AA790" t="s">
        <v>14806</v>
      </c>
      <c r="AB790" t="s">
        <v>14807</v>
      </c>
      <c r="AC790" t="s">
        <v>14808</v>
      </c>
      <c r="AD790" t="s">
        <v>14809</v>
      </c>
      <c r="AE790" t="s">
        <v>14810</v>
      </c>
      <c r="AF790" t="s">
        <v>74</v>
      </c>
      <c r="AG790">
        <v>95</v>
      </c>
      <c r="AH790">
        <v>9</v>
      </c>
      <c r="AI790">
        <v>9</v>
      </c>
      <c r="AJ790">
        <v>0</v>
      </c>
      <c r="AK790">
        <v>19</v>
      </c>
      <c r="AL790" t="s">
        <v>6662</v>
      </c>
      <c r="AM790" t="s">
        <v>6663</v>
      </c>
      <c r="AN790" t="s">
        <v>14811</v>
      </c>
      <c r="AO790" t="s">
        <v>6665</v>
      </c>
      <c r="AP790" t="s">
        <v>6666</v>
      </c>
      <c r="AQ790" t="s">
        <v>74</v>
      </c>
      <c r="AR790" t="s">
        <v>6667</v>
      </c>
      <c r="AS790" t="s">
        <v>6668</v>
      </c>
      <c r="AT790" t="s">
        <v>12574</v>
      </c>
      <c r="AU790">
        <v>2015</v>
      </c>
      <c r="AV790">
        <v>28</v>
      </c>
      <c r="AW790">
        <v>23</v>
      </c>
      <c r="AX790" t="s">
        <v>74</v>
      </c>
      <c r="AY790" t="s">
        <v>74</v>
      </c>
      <c r="AZ790" t="s">
        <v>74</v>
      </c>
      <c r="BA790" t="s">
        <v>74</v>
      </c>
      <c r="BB790">
        <v>9121</v>
      </c>
      <c r="BC790">
        <v>9142</v>
      </c>
      <c r="BD790" t="s">
        <v>74</v>
      </c>
      <c r="BE790" t="s">
        <v>14812</v>
      </c>
      <c r="BF790" t="str">
        <f>HYPERLINK("http://dx.doi.org/10.1175/JCLI-D-14-00812.1","http://dx.doi.org/10.1175/JCLI-D-14-00812.1")</f>
        <v>http://dx.doi.org/10.1175/JCLI-D-14-00812.1</v>
      </c>
      <c r="BG790" t="s">
        <v>74</v>
      </c>
      <c r="BH790" t="s">
        <v>74</v>
      </c>
      <c r="BI790">
        <v>22</v>
      </c>
      <c r="BJ790" t="s">
        <v>1721</v>
      </c>
      <c r="BK790" t="s">
        <v>264</v>
      </c>
      <c r="BL790" t="s">
        <v>1721</v>
      </c>
      <c r="BM790" t="s">
        <v>13677</v>
      </c>
      <c r="BN790" t="s">
        <v>74</v>
      </c>
      <c r="BO790" t="s">
        <v>1796</v>
      </c>
      <c r="BP790" t="s">
        <v>74</v>
      </c>
      <c r="BQ790" t="s">
        <v>74</v>
      </c>
      <c r="BR790" t="s">
        <v>100</v>
      </c>
      <c r="BS790" t="s">
        <v>14813</v>
      </c>
      <c r="BT790" t="str">
        <f>HYPERLINK("https%3A%2F%2Fwww.webofscience.com%2Fwos%2Fwoscc%2Ffull-record%2FWOS:000365860500005","View Full Record in Web of Science")</f>
        <v>View Full Record in Web of Science</v>
      </c>
    </row>
    <row r="791" spans="1:72" x14ac:dyDescent="0.15">
      <c r="A791" t="s">
        <v>72</v>
      </c>
      <c r="B791" t="s">
        <v>14814</v>
      </c>
      <c r="C791" t="s">
        <v>74</v>
      </c>
      <c r="D791" t="s">
        <v>74</v>
      </c>
      <c r="E791" t="s">
        <v>74</v>
      </c>
      <c r="F791" t="s">
        <v>14815</v>
      </c>
      <c r="G791" t="s">
        <v>74</v>
      </c>
      <c r="H791" t="s">
        <v>74</v>
      </c>
      <c r="I791" t="s">
        <v>14816</v>
      </c>
      <c r="J791" t="s">
        <v>6650</v>
      </c>
      <c r="K791" t="s">
        <v>74</v>
      </c>
      <c r="L791" t="s">
        <v>74</v>
      </c>
      <c r="M791" t="s">
        <v>200</v>
      </c>
      <c r="N791" t="s">
        <v>79</v>
      </c>
      <c r="O791" t="s">
        <v>74</v>
      </c>
      <c r="P791" t="s">
        <v>74</v>
      </c>
      <c r="Q791" t="s">
        <v>74</v>
      </c>
      <c r="R791" t="s">
        <v>74</v>
      </c>
      <c r="S791" t="s">
        <v>74</v>
      </c>
      <c r="T791" t="s">
        <v>14817</v>
      </c>
      <c r="U791" t="s">
        <v>14818</v>
      </c>
      <c r="V791" t="s">
        <v>14819</v>
      </c>
      <c r="W791" t="s">
        <v>14820</v>
      </c>
      <c r="X791" t="s">
        <v>14821</v>
      </c>
      <c r="Y791" t="s">
        <v>14822</v>
      </c>
      <c r="Z791" t="s">
        <v>14823</v>
      </c>
      <c r="AA791" t="s">
        <v>12709</v>
      </c>
      <c r="AB791" t="s">
        <v>14824</v>
      </c>
      <c r="AC791" t="s">
        <v>14825</v>
      </c>
      <c r="AD791" t="s">
        <v>14826</v>
      </c>
      <c r="AE791" t="s">
        <v>14827</v>
      </c>
      <c r="AF791" t="s">
        <v>74</v>
      </c>
      <c r="AG791">
        <v>42</v>
      </c>
      <c r="AH791">
        <v>6</v>
      </c>
      <c r="AI791">
        <v>6</v>
      </c>
      <c r="AJ791">
        <v>1</v>
      </c>
      <c r="AK791">
        <v>28</v>
      </c>
      <c r="AL791" t="s">
        <v>6662</v>
      </c>
      <c r="AM791" t="s">
        <v>6663</v>
      </c>
      <c r="AN791" t="s">
        <v>6664</v>
      </c>
      <c r="AO791" t="s">
        <v>6665</v>
      </c>
      <c r="AP791" t="s">
        <v>6666</v>
      </c>
      <c r="AQ791" t="s">
        <v>74</v>
      </c>
      <c r="AR791" t="s">
        <v>6667</v>
      </c>
      <c r="AS791" t="s">
        <v>6668</v>
      </c>
      <c r="AT791" t="s">
        <v>12574</v>
      </c>
      <c r="AU791">
        <v>2015</v>
      </c>
      <c r="AV791">
        <v>28</v>
      </c>
      <c r="AW791">
        <v>23</v>
      </c>
      <c r="AX791" t="s">
        <v>74</v>
      </c>
      <c r="AY791" t="s">
        <v>74</v>
      </c>
      <c r="AZ791" t="s">
        <v>74</v>
      </c>
      <c r="BA791" t="s">
        <v>74</v>
      </c>
      <c r="BB791">
        <v>9221</v>
      </c>
      <c r="BC791">
        <v>9234</v>
      </c>
      <c r="BD791" t="s">
        <v>74</v>
      </c>
      <c r="BE791" t="s">
        <v>14828</v>
      </c>
      <c r="BF791" t="str">
        <f>HYPERLINK("http://dx.doi.org/10.1175/JCLI-D-15-0110.1","http://dx.doi.org/10.1175/JCLI-D-15-0110.1")</f>
        <v>http://dx.doi.org/10.1175/JCLI-D-15-0110.1</v>
      </c>
      <c r="BG791" t="s">
        <v>74</v>
      </c>
      <c r="BH791" t="s">
        <v>74</v>
      </c>
      <c r="BI791">
        <v>14</v>
      </c>
      <c r="BJ791" t="s">
        <v>1721</v>
      </c>
      <c r="BK791" t="s">
        <v>264</v>
      </c>
      <c r="BL791" t="s">
        <v>1721</v>
      </c>
      <c r="BM791" t="s">
        <v>13677</v>
      </c>
      <c r="BN791" t="s">
        <v>74</v>
      </c>
      <c r="BO791" t="s">
        <v>6737</v>
      </c>
      <c r="BP791" t="s">
        <v>74</v>
      </c>
      <c r="BQ791" t="s">
        <v>74</v>
      </c>
      <c r="BR791" t="s">
        <v>100</v>
      </c>
      <c r="BS791" t="s">
        <v>14829</v>
      </c>
      <c r="BT791" t="str">
        <f>HYPERLINK("https%3A%2F%2Fwww.webofscience.com%2Fwos%2Fwoscc%2Ffull-record%2FWOS:000365860500010","View Full Record in Web of Science")</f>
        <v>View Full Record in Web of Science</v>
      </c>
    </row>
    <row r="792" spans="1:72" x14ac:dyDescent="0.15">
      <c r="A792" t="s">
        <v>72</v>
      </c>
      <c r="B792" t="s">
        <v>14830</v>
      </c>
      <c r="C792" t="s">
        <v>74</v>
      </c>
      <c r="D792" t="s">
        <v>74</v>
      </c>
      <c r="E792" t="s">
        <v>74</v>
      </c>
      <c r="F792" t="s">
        <v>14831</v>
      </c>
      <c r="G792" t="s">
        <v>74</v>
      </c>
      <c r="H792" t="s">
        <v>74</v>
      </c>
      <c r="I792" t="s">
        <v>14832</v>
      </c>
      <c r="J792" t="s">
        <v>6650</v>
      </c>
      <c r="K792" t="s">
        <v>74</v>
      </c>
      <c r="L792" t="s">
        <v>74</v>
      </c>
      <c r="M792" t="s">
        <v>200</v>
      </c>
      <c r="N792" t="s">
        <v>717</v>
      </c>
      <c r="O792" t="s">
        <v>74</v>
      </c>
      <c r="P792" t="s">
        <v>74</v>
      </c>
      <c r="Q792" t="s">
        <v>74</v>
      </c>
      <c r="R792" t="s">
        <v>74</v>
      </c>
      <c r="S792" t="s">
        <v>74</v>
      </c>
      <c r="T792" t="s">
        <v>14833</v>
      </c>
      <c r="U792" t="s">
        <v>14834</v>
      </c>
      <c r="V792" t="s">
        <v>14835</v>
      </c>
      <c r="W792" t="s">
        <v>14836</v>
      </c>
      <c r="X792" t="s">
        <v>14837</v>
      </c>
      <c r="Y792" t="s">
        <v>14838</v>
      </c>
      <c r="Z792" t="s">
        <v>14839</v>
      </c>
      <c r="AA792" t="s">
        <v>14840</v>
      </c>
      <c r="AB792" t="s">
        <v>14841</v>
      </c>
      <c r="AC792" t="s">
        <v>14842</v>
      </c>
      <c r="AD792" t="s">
        <v>14843</v>
      </c>
      <c r="AE792" t="s">
        <v>14844</v>
      </c>
      <c r="AF792" t="s">
        <v>74</v>
      </c>
      <c r="AG792">
        <v>109</v>
      </c>
      <c r="AH792">
        <v>13</v>
      </c>
      <c r="AI792">
        <v>18</v>
      </c>
      <c r="AJ792">
        <v>0</v>
      </c>
      <c r="AK792">
        <v>33</v>
      </c>
      <c r="AL792" t="s">
        <v>6662</v>
      </c>
      <c r="AM792" t="s">
        <v>6663</v>
      </c>
      <c r="AN792" t="s">
        <v>6664</v>
      </c>
      <c r="AO792" t="s">
        <v>6665</v>
      </c>
      <c r="AP792" t="s">
        <v>6666</v>
      </c>
      <c r="AQ792" t="s">
        <v>74</v>
      </c>
      <c r="AR792" t="s">
        <v>6667</v>
      </c>
      <c r="AS792" t="s">
        <v>6668</v>
      </c>
      <c r="AT792" t="s">
        <v>12574</v>
      </c>
      <c r="AU792">
        <v>2015</v>
      </c>
      <c r="AV792">
        <v>28</v>
      </c>
      <c r="AW792">
        <v>24</v>
      </c>
      <c r="AX792" t="s">
        <v>74</v>
      </c>
      <c r="AY792" t="s">
        <v>74</v>
      </c>
      <c r="AZ792" t="s">
        <v>74</v>
      </c>
      <c r="BA792" t="s">
        <v>74</v>
      </c>
      <c r="BB792">
        <v>9642</v>
      </c>
      <c r="BC792">
        <v>9668</v>
      </c>
      <c r="BD792" t="s">
        <v>74</v>
      </c>
      <c r="BE792" t="s">
        <v>14845</v>
      </c>
      <c r="BF792" t="str">
        <f>HYPERLINK("http://dx.doi.org/10.1175/JCLI-D-14-00748.1","http://dx.doi.org/10.1175/JCLI-D-14-00748.1")</f>
        <v>http://dx.doi.org/10.1175/JCLI-D-14-00748.1</v>
      </c>
      <c r="BG792" t="s">
        <v>74</v>
      </c>
      <c r="BH792" t="s">
        <v>74</v>
      </c>
      <c r="BI792">
        <v>27</v>
      </c>
      <c r="BJ792" t="s">
        <v>1721</v>
      </c>
      <c r="BK792" t="s">
        <v>264</v>
      </c>
      <c r="BL792" t="s">
        <v>1721</v>
      </c>
      <c r="BM792" t="s">
        <v>14846</v>
      </c>
      <c r="BN792" t="s">
        <v>74</v>
      </c>
      <c r="BO792" t="s">
        <v>5581</v>
      </c>
      <c r="BP792" t="s">
        <v>74</v>
      </c>
      <c r="BQ792" t="s">
        <v>74</v>
      </c>
      <c r="BR792" t="s">
        <v>100</v>
      </c>
      <c r="BS792" t="s">
        <v>14847</v>
      </c>
      <c r="BT792" t="str">
        <f>HYPERLINK("https%3A%2F%2Fwww.webofscience.com%2Fwos%2Fwoscc%2Ffull-record%2FWOS:000366720800006","View Full Record in Web of Science")</f>
        <v>View Full Record in Web of Science</v>
      </c>
    </row>
    <row r="793" spans="1:72" x14ac:dyDescent="0.15">
      <c r="A793" t="s">
        <v>72</v>
      </c>
      <c r="B793" t="s">
        <v>14848</v>
      </c>
      <c r="C793" t="s">
        <v>74</v>
      </c>
      <c r="D793" t="s">
        <v>74</v>
      </c>
      <c r="E793" t="s">
        <v>74</v>
      </c>
      <c r="F793" t="s">
        <v>14849</v>
      </c>
      <c r="G793" t="s">
        <v>74</v>
      </c>
      <c r="H793" t="s">
        <v>74</v>
      </c>
      <c r="I793" t="s">
        <v>14850</v>
      </c>
      <c r="J793" t="s">
        <v>7295</v>
      </c>
      <c r="K793" t="s">
        <v>74</v>
      </c>
      <c r="L793" t="s">
        <v>74</v>
      </c>
      <c r="M793" t="s">
        <v>200</v>
      </c>
      <c r="N793" t="s">
        <v>79</v>
      </c>
      <c r="O793" t="s">
        <v>74</v>
      </c>
      <c r="P793" t="s">
        <v>74</v>
      </c>
      <c r="Q793" t="s">
        <v>74</v>
      </c>
      <c r="R793" t="s">
        <v>74</v>
      </c>
      <c r="S793" t="s">
        <v>74</v>
      </c>
      <c r="T793" t="s">
        <v>14851</v>
      </c>
      <c r="U793" t="s">
        <v>14852</v>
      </c>
      <c r="V793" t="s">
        <v>14853</v>
      </c>
      <c r="W793" t="s">
        <v>14854</v>
      </c>
      <c r="X793" t="s">
        <v>14855</v>
      </c>
      <c r="Y793" t="s">
        <v>14856</v>
      </c>
      <c r="Z793" t="s">
        <v>14857</v>
      </c>
      <c r="AA793" t="s">
        <v>14858</v>
      </c>
      <c r="AB793" t="s">
        <v>14859</v>
      </c>
      <c r="AC793" t="s">
        <v>14860</v>
      </c>
      <c r="AD793" t="s">
        <v>14861</v>
      </c>
      <c r="AE793" t="s">
        <v>14862</v>
      </c>
      <c r="AF793" t="s">
        <v>74</v>
      </c>
      <c r="AG793">
        <v>129</v>
      </c>
      <c r="AH793">
        <v>43</v>
      </c>
      <c r="AI793">
        <v>45</v>
      </c>
      <c r="AJ793">
        <v>1</v>
      </c>
      <c r="AK793">
        <v>121</v>
      </c>
      <c r="AL793" t="s">
        <v>7137</v>
      </c>
      <c r="AM793" t="s">
        <v>209</v>
      </c>
      <c r="AN793" t="s">
        <v>7138</v>
      </c>
      <c r="AO793" t="s">
        <v>7308</v>
      </c>
      <c r="AP793" t="s">
        <v>7309</v>
      </c>
      <c r="AQ793" t="s">
        <v>74</v>
      </c>
      <c r="AR793" t="s">
        <v>7310</v>
      </c>
      <c r="AS793" t="s">
        <v>7311</v>
      </c>
      <c r="AT793" t="s">
        <v>12574</v>
      </c>
      <c r="AU793">
        <v>2015</v>
      </c>
      <c r="AV793">
        <v>473</v>
      </c>
      <c r="AW793" t="s">
        <v>74</v>
      </c>
      <c r="AX793" t="s">
        <v>74</v>
      </c>
      <c r="AY793" t="s">
        <v>74</v>
      </c>
      <c r="AZ793" t="s">
        <v>74</v>
      </c>
      <c r="BA793" t="s">
        <v>74</v>
      </c>
      <c r="BB793">
        <v>90</v>
      </c>
      <c r="BC793">
        <v>102</v>
      </c>
      <c r="BD793" t="s">
        <v>74</v>
      </c>
      <c r="BE793" t="s">
        <v>14863</v>
      </c>
      <c r="BF793" t="str">
        <f>HYPERLINK("http://dx.doi.org/10.1016/j.jembe.2015.08.008","http://dx.doi.org/10.1016/j.jembe.2015.08.008")</f>
        <v>http://dx.doi.org/10.1016/j.jembe.2015.08.008</v>
      </c>
      <c r="BG793" t="s">
        <v>74</v>
      </c>
      <c r="BH793" t="s">
        <v>74</v>
      </c>
      <c r="BI793">
        <v>13</v>
      </c>
      <c r="BJ793" t="s">
        <v>7313</v>
      </c>
      <c r="BK793" t="s">
        <v>264</v>
      </c>
      <c r="BL793" t="s">
        <v>7314</v>
      </c>
      <c r="BM793" t="s">
        <v>14864</v>
      </c>
      <c r="BN793" t="s">
        <v>74</v>
      </c>
      <c r="BO793" t="s">
        <v>403</v>
      </c>
      <c r="BP793" t="s">
        <v>74</v>
      </c>
      <c r="BQ793" t="s">
        <v>74</v>
      </c>
      <c r="BR793" t="s">
        <v>100</v>
      </c>
      <c r="BS793" t="s">
        <v>14865</v>
      </c>
      <c r="BT793" t="str">
        <f>HYPERLINK("https%3A%2F%2Fwww.webofscience.com%2Fwos%2Fwoscc%2Ffull-record%2FWOS:000364259000011","View Full Record in Web of Science")</f>
        <v>View Full Record in Web of Science</v>
      </c>
    </row>
    <row r="794" spans="1:72" x14ac:dyDescent="0.15">
      <c r="A794" t="s">
        <v>72</v>
      </c>
      <c r="B794" t="s">
        <v>14866</v>
      </c>
      <c r="C794" t="s">
        <v>74</v>
      </c>
      <c r="D794" t="s">
        <v>74</v>
      </c>
      <c r="E794" t="s">
        <v>74</v>
      </c>
      <c r="F794" t="s">
        <v>14867</v>
      </c>
      <c r="G794" t="s">
        <v>74</v>
      </c>
      <c r="H794" t="s">
        <v>74</v>
      </c>
      <c r="I794" t="s">
        <v>14868</v>
      </c>
      <c r="J794" t="s">
        <v>5787</v>
      </c>
      <c r="K794" t="s">
        <v>74</v>
      </c>
      <c r="L794" t="s">
        <v>74</v>
      </c>
      <c r="M794" t="s">
        <v>200</v>
      </c>
      <c r="N794" t="s">
        <v>79</v>
      </c>
      <c r="O794" t="s">
        <v>74</v>
      </c>
      <c r="P794" t="s">
        <v>74</v>
      </c>
      <c r="Q794" t="s">
        <v>74</v>
      </c>
      <c r="R794" t="s">
        <v>74</v>
      </c>
      <c r="S794" t="s">
        <v>74</v>
      </c>
      <c r="T794" t="s">
        <v>14869</v>
      </c>
      <c r="U794" t="s">
        <v>14870</v>
      </c>
      <c r="V794" t="s">
        <v>14871</v>
      </c>
      <c r="W794" t="s">
        <v>14872</v>
      </c>
      <c r="X794" t="s">
        <v>14873</v>
      </c>
      <c r="Y794" t="s">
        <v>14874</v>
      </c>
      <c r="Z794" t="s">
        <v>14875</v>
      </c>
      <c r="AA794" t="s">
        <v>14876</v>
      </c>
      <c r="AB794" t="s">
        <v>14877</v>
      </c>
      <c r="AC794" t="s">
        <v>14878</v>
      </c>
      <c r="AD794" t="s">
        <v>14879</v>
      </c>
      <c r="AE794" t="s">
        <v>14880</v>
      </c>
      <c r="AF794" t="s">
        <v>74</v>
      </c>
      <c r="AG794">
        <v>39</v>
      </c>
      <c r="AH794">
        <v>39</v>
      </c>
      <c r="AI794">
        <v>45</v>
      </c>
      <c r="AJ794">
        <v>0</v>
      </c>
      <c r="AK794">
        <v>23</v>
      </c>
      <c r="AL794" t="s">
        <v>2410</v>
      </c>
      <c r="AM794" t="s">
        <v>1559</v>
      </c>
      <c r="AN794" t="s">
        <v>2411</v>
      </c>
      <c r="AO794" t="s">
        <v>5798</v>
      </c>
      <c r="AP794" t="s">
        <v>5799</v>
      </c>
      <c r="AQ794" t="s">
        <v>74</v>
      </c>
      <c r="AR794" t="s">
        <v>5800</v>
      </c>
      <c r="AS794" t="s">
        <v>5801</v>
      </c>
      <c r="AT794" t="s">
        <v>12574</v>
      </c>
      <c r="AU794">
        <v>2015</v>
      </c>
      <c r="AV794">
        <v>120</v>
      </c>
      <c r="AW794">
        <v>12</v>
      </c>
      <c r="AX794" t="s">
        <v>74</v>
      </c>
      <c r="AY794" t="s">
        <v>74</v>
      </c>
      <c r="AZ794" t="s">
        <v>74</v>
      </c>
      <c r="BA794" t="s">
        <v>74</v>
      </c>
      <c r="BB794">
        <v>7791</v>
      </c>
      <c r="BC794">
        <v>7806</v>
      </c>
      <c r="BD794" t="s">
        <v>74</v>
      </c>
      <c r="BE794" t="s">
        <v>14881</v>
      </c>
      <c r="BF794" t="str">
        <f>HYPERLINK("http://dx.doi.org/10.1002/2015JC011135","http://dx.doi.org/10.1002/2015JC011135")</f>
        <v>http://dx.doi.org/10.1002/2015JC011135</v>
      </c>
      <c r="BG794" t="s">
        <v>74</v>
      </c>
      <c r="BH794" t="s">
        <v>74</v>
      </c>
      <c r="BI794">
        <v>16</v>
      </c>
      <c r="BJ794" t="s">
        <v>5339</v>
      </c>
      <c r="BK794" t="s">
        <v>264</v>
      </c>
      <c r="BL794" t="s">
        <v>5339</v>
      </c>
      <c r="BM794" t="s">
        <v>12637</v>
      </c>
      <c r="BN794" t="s">
        <v>74</v>
      </c>
      <c r="BO794" t="s">
        <v>11263</v>
      </c>
      <c r="BP794" t="s">
        <v>74</v>
      </c>
      <c r="BQ794" t="s">
        <v>74</v>
      </c>
      <c r="BR794" t="s">
        <v>100</v>
      </c>
      <c r="BS794" t="s">
        <v>14882</v>
      </c>
      <c r="BT794" t="str">
        <f>HYPERLINK("https%3A%2F%2Fwww.webofscience.com%2Fwos%2Fwoscc%2Ffull-record%2FWOS:000369153200005","View Full Record in Web of Science")</f>
        <v>View Full Record in Web of Science</v>
      </c>
    </row>
    <row r="795" spans="1:72" x14ac:dyDescent="0.15">
      <c r="A795" t="s">
        <v>72</v>
      </c>
      <c r="B795" t="s">
        <v>14883</v>
      </c>
      <c r="C795" t="s">
        <v>74</v>
      </c>
      <c r="D795" t="s">
        <v>74</v>
      </c>
      <c r="E795" t="s">
        <v>74</v>
      </c>
      <c r="F795" t="s">
        <v>14884</v>
      </c>
      <c r="G795" t="s">
        <v>74</v>
      </c>
      <c r="H795" t="s">
        <v>74</v>
      </c>
      <c r="I795" t="s">
        <v>14885</v>
      </c>
      <c r="J795" t="s">
        <v>12602</v>
      </c>
      <c r="K795" t="s">
        <v>74</v>
      </c>
      <c r="L795" t="s">
        <v>74</v>
      </c>
      <c r="M795" t="s">
        <v>200</v>
      </c>
      <c r="N795" t="s">
        <v>79</v>
      </c>
      <c r="O795" t="s">
        <v>74</v>
      </c>
      <c r="P795" t="s">
        <v>74</v>
      </c>
      <c r="Q795" t="s">
        <v>74</v>
      </c>
      <c r="R795" t="s">
        <v>74</v>
      </c>
      <c r="S795" t="s">
        <v>74</v>
      </c>
      <c r="T795" t="s">
        <v>74</v>
      </c>
      <c r="U795" t="s">
        <v>14886</v>
      </c>
      <c r="V795" t="s">
        <v>14887</v>
      </c>
      <c r="W795" t="s">
        <v>14888</v>
      </c>
      <c r="X795" t="s">
        <v>14889</v>
      </c>
      <c r="Y795" t="s">
        <v>14890</v>
      </c>
      <c r="Z795" t="s">
        <v>14891</v>
      </c>
      <c r="AA795" t="s">
        <v>14892</v>
      </c>
      <c r="AB795" t="s">
        <v>14893</v>
      </c>
      <c r="AC795" t="s">
        <v>14894</v>
      </c>
      <c r="AD795" t="s">
        <v>14895</v>
      </c>
      <c r="AE795" t="s">
        <v>14896</v>
      </c>
      <c r="AF795" t="s">
        <v>74</v>
      </c>
      <c r="AG795">
        <v>126</v>
      </c>
      <c r="AH795">
        <v>49</v>
      </c>
      <c r="AI795">
        <v>50</v>
      </c>
      <c r="AJ795">
        <v>5</v>
      </c>
      <c r="AK795">
        <v>51</v>
      </c>
      <c r="AL795" t="s">
        <v>2410</v>
      </c>
      <c r="AM795" t="s">
        <v>1559</v>
      </c>
      <c r="AN795" t="s">
        <v>2411</v>
      </c>
      <c r="AO795" t="s">
        <v>12614</v>
      </c>
      <c r="AP795" t="s">
        <v>12615</v>
      </c>
      <c r="AQ795" t="s">
        <v>74</v>
      </c>
      <c r="AR795" t="s">
        <v>12616</v>
      </c>
      <c r="AS795" t="s">
        <v>12617</v>
      </c>
      <c r="AT795" t="s">
        <v>12574</v>
      </c>
      <c r="AU795">
        <v>2015</v>
      </c>
      <c r="AV795">
        <v>120</v>
      </c>
      <c r="AW795">
        <v>12</v>
      </c>
      <c r="AX795" t="s">
        <v>74</v>
      </c>
      <c r="AY795" t="s">
        <v>74</v>
      </c>
      <c r="AZ795" t="s">
        <v>74</v>
      </c>
      <c r="BA795" t="s">
        <v>74</v>
      </c>
      <c r="BB795">
        <v>8720</v>
      </c>
      <c r="BC795">
        <v>8742</v>
      </c>
      <c r="BD795" t="s">
        <v>74</v>
      </c>
      <c r="BE795" t="s">
        <v>14897</v>
      </c>
      <c r="BF795" t="str">
        <f>HYPERLINK("http://dx.doi.org/10.1002/2015JB011917","http://dx.doi.org/10.1002/2015JB011917")</f>
        <v>http://dx.doi.org/10.1002/2015JB011917</v>
      </c>
      <c r="BG795" t="s">
        <v>74</v>
      </c>
      <c r="BH795" t="s">
        <v>74</v>
      </c>
      <c r="BI795">
        <v>23</v>
      </c>
      <c r="BJ795" t="s">
        <v>4474</v>
      </c>
      <c r="BK795" t="s">
        <v>264</v>
      </c>
      <c r="BL795" t="s">
        <v>4474</v>
      </c>
      <c r="BM795" t="s">
        <v>12619</v>
      </c>
      <c r="BN795" t="s">
        <v>74</v>
      </c>
      <c r="BO795" t="s">
        <v>1796</v>
      </c>
      <c r="BP795" t="s">
        <v>74</v>
      </c>
      <c r="BQ795" t="s">
        <v>74</v>
      </c>
      <c r="BR795" t="s">
        <v>100</v>
      </c>
      <c r="BS795" t="s">
        <v>14898</v>
      </c>
      <c r="BT795" t="str">
        <f>HYPERLINK("https%3A%2F%2Fwww.webofscience.com%2Fwos%2Fwoscc%2Ffull-record%2FWOS:000372204600041","View Full Record in Web of Science")</f>
        <v>View Full Record in Web of Science</v>
      </c>
    </row>
    <row r="796" spans="1:72" x14ac:dyDescent="0.15">
      <c r="A796" t="s">
        <v>72</v>
      </c>
      <c r="B796" t="s">
        <v>14899</v>
      </c>
      <c r="C796" t="s">
        <v>74</v>
      </c>
      <c r="D796" t="s">
        <v>74</v>
      </c>
      <c r="E796" t="s">
        <v>74</v>
      </c>
      <c r="F796" t="s">
        <v>14900</v>
      </c>
      <c r="G796" t="s">
        <v>74</v>
      </c>
      <c r="H796" t="s">
        <v>74</v>
      </c>
      <c r="I796" t="s">
        <v>14901</v>
      </c>
      <c r="J796" t="s">
        <v>9936</v>
      </c>
      <c r="K796" t="s">
        <v>74</v>
      </c>
      <c r="L796" t="s">
        <v>74</v>
      </c>
      <c r="M796" t="s">
        <v>200</v>
      </c>
      <c r="N796" t="s">
        <v>79</v>
      </c>
      <c r="O796" t="s">
        <v>74</v>
      </c>
      <c r="P796" t="s">
        <v>74</v>
      </c>
      <c r="Q796" t="s">
        <v>74</v>
      </c>
      <c r="R796" t="s">
        <v>74</v>
      </c>
      <c r="S796" t="s">
        <v>74</v>
      </c>
      <c r="T796" t="s">
        <v>74</v>
      </c>
      <c r="U796" t="s">
        <v>14902</v>
      </c>
      <c r="V796" t="s">
        <v>14903</v>
      </c>
      <c r="W796" t="s">
        <v>14904</v>
      </c>
      <c r="X796" t="s">
        <v>14905</v>
      </c>
      <c r="Y796" t="s">
        <v>14906</v>
      </c>
      <c r="Z796" t="s">
        <v>14907</v>
      </c>
      <c r="AA796" t="s">
        <v>14908</v>
      </c>
      <c r="AB796" t="s">
        <v>14909</v>
      </c>
      <c r="AC796" t="s">
        <v>14910</v>
      </c>
      <c r="AD796" t="s">
        <v>14911</v>
      </c>
      <c r="AE796" t="s">
        <v>14912</v>
      </c>
      <c r="AF796" t="s">
        <v>74</v>
      </c>
      <c r="AG796">
        <v>56</v>
      </c>
      <c r="AH796">
        <v>78</v>
      </c>
      <c r="AI796">
        <v>84</v>
      </c>
      <c r="AJ796">
        <v>2</v>
      </c>
      <c r="AK796">
        <v>17</v>
      </c>
      <c r="AL796" t="s">
        <v>2410</v>
      </c>
      <c r="AM796" t="s">
        <v>1559</v>
      </c>
      <c r="AN796" t="s">
        <v>2411</v>
      </c>
      <c r="AO796" t="s">
        <v>9949</v>
      </c>
      <c r="AP796" t="s">
        <v>9950</v>
      </c>
      <c r="AQ796" t="s">
        <v>74</v>
      </c>
      <c r="AR796" t="s">
        <v>9951</v>
      </c>
      <c r="AS796" t="s">
        <v>9952</v>
      </c>
      <c r="AT796" t="s">
        <v>12574</v>
      </c>
      <c r="AU796">
        <v>2015</v>
      </c>
      <c r="AV796">
        <v>120</v>
      </c>
      <c r="AW796">
        <v>12</v>
      </c>
      <c r="AX796" t="s">
        <v>74</v>
      </c>
      <c r="AY796" t="s">
        <v>74</v>
      </c>
      <c r="AZ796" t="s">
        <v>74</v>
      </c>
      <c r="BA796" t="s">
        <v>74</v>
      </c>
      <c r="BB796">
        <v>10592</v>
      </c>
      <c r="BC796">
        <v>10606</v>
      </c>
      <c r="BD796" t="s">
        <v>74</v>
      </c>
      <c r="BE796" t="s">
        <v>14913</v>
      </c>
      <c r="BF796" t="str">
        <f>HYPERLINK("http://dx.doi.org/10.1002/2015JA021343","http://dx.doi.org/10.1002/2015JA021343")</f>
        <v>http://dx.doi.org/10.1002/2015JA021343</v>
      </c>
      <c r="BG796" t="s">
        <v>74</v>
      </c>
      <c r="BH796" t="s">
        <v>74</v>
      </c>
      <c r="BI796">
        <v>15</v>
      </c>
      <c r="BJ796" t="s">
        <v>1168</v>
      </c>
      <c r="BK796" t="s">
        <v>264</v>
      </c>
      <c r="BL796" t="s">
        <v>1168</v>
      </c>
      <c r="BM796" t="s">
        <v>12683</v>
      </c>
      <c r="BN796" t="s">
        <v>74</v>
      </c>
      <c r="BO796" t="s">
        <v>14914</v>
      </c>
      <c r="BP796" t="s">
        <v>74</v>
      </c>
      <c r="BQ796" t="s">
        <v>74</v>
      </c>
      <c r="BR796" t="s">
        <v>100</v>
      </c>
      <c r="BS796" t="s">
        <v>14915</v>
      </c>
      <c r="BT796" t="str">
        <f>HYPERLINK("https%3A%2F%2Fwww.webofscience.com%2Fwos%2Fwoscc%2Ffull-record%2FWOS:000369180200030","View Full Record in Web of Science")</f>
        <v>View Full Record in Web of Science</v>
      </c>
    </row>
    <row r="797" spans="1:72" x14ac:dyDescent="0.15">
      <c r="A797" t="s">
        <v>72</v>
      </c>
      <c r="B797" t="s">
        <v>14916</v>
      </c>
      <c r="C797" t="s">
        <v>74</v>
      </c>
      <c r="D797" t="s">
        <v>74</v>
      </c>
      <c r="E797" t="s">
        <v>74</v>
      </c>
      <c r="F797" t="s">
        <v>14917</v>
      </c>
      <c r="G797" t="s">
        <v>74</v>
      </c>
      <c r="H797" t="s">
        <v>74</v>
      </c>
      <c r="I797" t="s">
        <v>14918</v>
      </c>
      <c r="J797" t="s">
        <v>14919</v>
      </c>
      <c r="K797" t="s">
        <v>74</v>
      </c>
      <c r="L797" t="s">
        <v>74</v>
      </c>
      <c r="M797" t="s">
        <v>200</v>
      </c>
      <c r="N797" t="s">
        <v>79</v>
      </c>
      <c r="O797" t="s">
        <v>74</v>
      </c>
      <c r="P797" t="s">
        <v>74</v>
      </c>
      <c r="Q797" t="s">
        <v>74</v>
      </c>
      <c r="R797" t="s">
        <v>74</v>
      </c>
      <c r="S797" t="s">
        <v>74</v>
      </c>
      <c r="T797" t="s">
        <v>14920</v>
      </c>
      <c r="U797" t="s">
        <v>14921</v>
      </c>
      <c r="V797" t="s">
        <v>14922</v>
      </c>
      <c r="W797" t="s">
        <v>14923</v>
      </c>
      <c r="X797" t="s">
        <v>14924</v>
      </c>
      <c r="Y797" t="s">
        <v>14925</v>
      </c>
      <c r="Z797" t="s">
        <v>14926</v>
      </c>
      <c r="AA797" t="s">
        <v>14927</v>
      </c>
      <c r="AB797" t="s">
        <v>14928</v>
      </c>
      <c r="AC797" t="s">
        <v>14929</v>
      </c>
      <c r="AD797" t="s">
        <v>14930</v>
      </c>
      <c r="AE797" t="s">
        <v>14931</v>
      </c>
      <c r="AF797" t="s">
        <v>74</v>
      </c>
      <c r="AG797">
        <v>67</v>
      </c>
      <c r="AH797">
        <v>19</v>
      </c>
      <c r="AI797">
        <v>20</v>
      </c>
      <c r="AJ797">
        <v>0</v>
      </c>
      <c r="AK797">
        <v>44</v>
      </c>
      <c r="AL797" t="s">
        <v>5464</v>
      </c>
      <c r="AM797" t="s">
        <v>5465</v>
      </c>
      <c r="AN797" t="s">
        <v>5466</v>
      </c>
      <c r="AO797" t="s">
        <v>14932</v>
      </c>
      <c r="AP797" t="s">
        <v>14933</v>
      </c>
      <c r="AQ797" t="s">
        <v>74</v>
      </c>
      <c r="AR797" t="s">
        <v>14934</v>
      </c>
      <c r="AS797" t="s">
        <v>14935</v>
      </c>
      <c r="AT797" t="s">
        <v>12574</v>
      </c>
      <c r="AU797">
        <v>2015</v>
      </c>
      <c r="AV797">
        <v>50</v>
      </c>
      <c r="AW797">
        <v>12</v>
      </c>
      <c r="AX797" t="s">
        <v>74</v>
      </c>
      <c r="AY797" t="s">
        <v>74</v>
      </c>
      <c r="AZ797" t="s">
        <v>74</v>
      </c>
      <c r="BA797" t="s">
        <v>74</v>
      </c>
      <c r="BB797">
        <v>1420</v>
      </c>
      <c r="BC797">
        <v>1432</v>
      </c>
      <c r="BD797" t="s">
        <v>74</v>
      </c>
      <c r="BE797" t="s">
        <v>14936</v>
      </c>
      <c r="BF797" t="str">
        <f>HYPERLINK("http://dx.doi.org/10.1002/jms.3709","http://dx.doi.org/10.1002/jms.3709")</f>
        <v>http://dx.doi.org/10.1002/jms.3709</v>
      </c>
      <c r="BG797" t="s">
        <v>74</v>
      </c>
      <c r="BH797" t="s">
        <v>74</v>
      </c>
      <c r="BI797">
        <v>13</v>
      </c>
      <c r="BJ797" t="s">
        <v>11747</v>
      </c>
      <c r="BK797" t="s">
        <v>264</v>
      </c>
      <c r="BL797" t="s">
        <v>11748</v>
      </c>
      <c r="BM797" t="s">
        <v>14937</v>
      </c>
      <c r="BN797">
        <v>26634977</v>
      </c>
      <c r="BO797" t="s">
        <v>74</v>
      </c>
      <c r="BP797" t="s">
        <v>74</v>
      </c>
      <c r="BQ797" t="s">
        <v>74</v>
      </c>
      <c r="BR797" t="s">
        <v>100</v>
      </c>
      <c r="BS797" t="s">
        <v>14938</v>
      </c>
      <c r="BT797" t="str">
        <f>HYPERLINK("https%3A%2F%2Fwww.webofscience.com%2Fwos%2Fwoscc%2Ffull-record%2FWOS:000366140000012","View Full Record in Web of Science")</f>
        <v>View Full Record in Web of Science</v>
      </c>
    </row>
    <row r="798" spans="1:72" x14ac:dyDescent="0.15">
      <c r="A798" t="s">
        <v>72</v>
      </c>
      <c r="B798" t="s">
        <v>14939</v>
      </c>
      <c r="C798" t="s">
        <v>74</v>
      </c>
      <c r="D798" t="s">
        <v>74</v>
      </c>
      <c r="E798" t="s">
        <v>74</v>
      </c>
      <c r="F798" t="s">
        <v>14940</v>
      </c>
      <c r="G798" t="s">
        <v>74</v>
      </c>
      <c r="H798" t="s">
        <v>74</v>
      </c>
      <c r="I798" t="s">
        <v>14941</v>
      </c>
      <c r="J798" t="s">
        <v>14942</v>
      </c>
      <c r="K798" t="s">
        <v>74</v>
      </c>
      <c r="L798" t="s">
        <v>74</v>
      </c>
      <c r="M798" t="s">
        <v>200</v>
      </c>
      <c r="N798" t="s">
        <v>79</v>
      </c>
      <c r="O798" t="s">
        <v>74</v>
      </c>
      <c r="P798" t="s">
        <v>74</v>
      </c>
      <c r="Q798" t="s">
        <v>74</v>
      </c>
      <c r="R798" t="s">
        <v>74</v>
      </c>
      <c r="S798" t="s">
        <v>74</v>
      </c>
      <c r="T798" t="s">
        <v>14943</v>
      </c>
      <c r="U798" t="s">
        <v>14944</v>
      </c>
      <c r="V798" t="s">
        <v>14945</v>
      </c>
      <c r="W798" t="s">
        <v>14946</v>
      </c>
      <c r="X798" t="s">
        <v>14947</v>
      </c>
      <c r="Y798" t="s">
        <v>14948</v>
      </c>
      <c r="Z798" t="s">
        <v>14949</v>
      </c>
      <c r="AA798" t="s">
        <v>14950</v>
      </c>
      <c r="AB798" t="s">
        <v>14951</v>
      </c>
      <c r="AC798" t="s">
        <v>14952</v>
      </c>
      <c r="AD798" t="s">
        <v>14953</v>
      </c>
      <c r="AE798" t="s">
        <v>14954</v>
      </c>
      <c r="AF798" t="s">
        <v>74</v>
      </c>
      <c r="AG798">
        <v>70</v>
      </c>
      <c r="AH798">
        <v>19</v>
      </c>
      <c r="AI798">
        <v>22</v>
      </c>
      <c r="AJ798">
        <v>0</v>
      </c>
      <c r="AK798">
        <v>22</v>
      </c>
      <c r="AL798" t="s">
        <v>5464</v>
      </c>
      <c r="AM798" t="s">
        <v>5465</v>
      </c>
      <c r="AN798" t="s">
        <v>5466</v>
      </c>
      <c r="AO798" t="s">
        <v>14955</v>
      </c>
      <c r="AP798" t="s">
        <v>14956</v>
      </c>
      <c r="AQ798" t="s">
        <v>74</v>
      </c>
      <c r="AR798" t="s">
        <v>14957</v>
      </c>
      <c r="AS798" t="s">
        <v>14958</v>
      </c>
      <c r="AT798" t="s">
        <v>12574</v>
      </c>
      <c r="AU798">
        <v>2015</v>
      </c>
      <c r="AV798">
        <v>51</v>
      </c>
      <c r="AW798">
        <v>6</v>
      </c>
      <c r="AX798" t="s">
        <v>74</v>
      </c>
      <c r="AY798" t="s">
        <v>74</v>
      </c>
      <c r="AZ798" t="s">
        <v>74</v>
      </c>
      <c r="BA798" t="s">
        <v>74</v>
      </c>
      <c r="BB798">
        <v>1172</v>
      </c>
      <c r="BC798">
        <v>1188</v>
      </c>
      <c r="BD798" t="s">
        <v>74</v>
      </c>
      <c r="BE798" t="s">
        <v>14959</v>
      </c>
      <c r="BF798" t="str">
        <f>HYPERLINK("http://dx.doi.org/10.1111/jpy.12355","http://dx.doi.org/10.1111/jpy.12355")</f>
        <v>http://dx.doi.org/10.1111/jpy.12355</v>
      </c>
      <c r="BG798" t="s">
        <v>74</v>
      </c>
      <c r="BH798" t="s">
        <v>74</v>
      </c>
      <c r="BI798">
        <v>17</v>
      </c>
      <c r="BJ798" t="s">
        <v>1854</v>
      </c>
      <c r="BK798" t="s">
        <v>264</v>
      </c>
      <c r="BL798" t="s">
        <v>1854</v>
      </c>
      <c r="BM798" t="s">
        <v>14960</v>
      </c>
      <c r="BN798">
        <v>26987011</v>
      </c>
      <c r="BO798" t="s">
        <v>241</v>
      </c>
      <c r="BP798" t="s">
        <v>74</v>
      </c>
      <c r="BQ798" t="s">
        <v>74</v>
      </c>
      <c r="BR798" t="s">
        <v>100</v>
      </c>
      <c r="BS798" t="s">
        <v>14961</v>
      </c>
      <c r="BT798" t="str">
        <f>HYPERLINK("https%3A%2F%2Fwww.webofscience.com%2Fwos%2Fwoscc%2Ffull-record%2FWOS:000368433300015","View Full Record in Web of Science")</f>
        <v>View Full Record in Web of Science</v>
      </c>
    </row>
    <row r="799" spans="1:72" x14ac:dyDescent="0.15">
      <c r="A799" t="s">
        <v>72</v>
      </c>
      <c r="B799" t="s">
        <v>14962</v>
      </c>
      <c r="C799" t="s">
        <v>74</v>
      </c>
      <c r="D799" t="s">
        <v>74</v>
      </c>
      <c r="E799" t="s">
        <v>74</v>
      </c>
      <c r="F799" t="s">
        <v>14963</v>
      </c>
      <c r="G799" t="s">
        <v>74</v>
      </c>
      <c r="H799" t="s">
        <v>74</v>
      </c>
      <c r="I799" t="s">
        <v>14964</v>
      </c>
      <c r="J799" t="s">
        <v>6719</v>
      </c>
      <c r="K799" t="s">
        <v>74</v>
      </c>
      <c r="L799" t="s">
        <v>74</v>
      </c>
      <c r="M799" t="s">
        <v>200</v>
      </c>
      <c r="N799" t="s">
        <v>79</v>
      </c>
      <c r="O799" t="s">
        <v>74</v>
      </c>
      <c r="P799" t="s">
        <v>74</v>
      </c>
      <c r="Q799" t="s">
        <v>74</v>
      </c>
      <c r="R799" t="s">
        <v>74</v>
      </c>
      <c r="S799" t="s">
        <v>74</v>
      </c>
      <c r="T799" t="s">
        <v>14965</v>
      </c>
      <c r="U799" t="s">
        <v>14966</v>
      </c>
      <c r="V799" t="s">
        <v>14967</v>
      </c>
      <c r="W799" t="s">
        <v>14968</v>
      </c>
      <c r="X799" t="s">
        <v>14969</v>
      </c>
      <c r="Y799" t="s">
        <v>14970</v>
      </c>
      <c r="Z799" t="s">
        <v>14971</v>
      </c>
      <c r="AA799" t="s">
        <v>14972</v>
      </c>
      <c r="AB799" t="s">
        <v>14973</v>
      </c>
      <c r="AC799" t="s">
        <v>14974</v>
      </c>
      <c r="AD799" t="s">
        <v>14975</v>
      </c>
      <c r="AE799" t="s">
        <v>14976</v>
      </c>
      <c r="AF799" t="s">
        <v>74</v>
      </c>
      <c r="AG799">
        <v>38</v>
      </c>
      <c r="AH799">
        <v>1</v>
      </c>
      <c r="AI799">
        <v>1</v>
      </c>
      <c r="AJ799">
        <v>1</v>
      </c>
      <c r="AK799">
        <v>8</v>
      </c>
      <c r="AL799" t="s">
        <v>6662</v>
      </c>
      <c r="AM799" t="s">
        <v>6663</v>
      </c>
      <c r="AN799" t="s">
        <v>6664</v>
      </c>
      <c r="AO799" t="s">
        <v>6731</v>
      </c>
      <c r="AP799" t="s">
        <v>6732</v>
      </c>
      <c r="AQ799" t="s">
        <v>74</v>
      </c>
      <c r="AR799" t="s">
        <v>6733</v>
      </c>
      <c r="AS799" t="s">
        <v>6734</v>
      </c>
      <c r="AT799" t="s">
        <v>12574</v>
      </c>
      <c r="AU799">
        <v>2015</v>
      </c>
      <c r="AV799">
        <v>45</v>
      </c>
      <c r="AW799">
        <v>12</v>
      </c>
      <c r="AX799" t="s">
        <v>74</v>
      </c>
      <c r="AY799" t="s">
        <v>74</v>
      </c>
      <c r="AZ799" t="s">
        <v>74</v>
      </c>
      <c r="BA799" t="s">
        <v>74</v>
      </c>
      <c r="BB799">
        <v>2991</v>
      </c>
      <c r="BC799">
        <v>3004</v>
      </c>
      <c r="BD799" t="s">
        <v>74</v>
      </c>
      <c r="BE799" t="s">
        <v>14977</v>
      </c>
      <c r="BF799" t="str">
        <f>HYPERLINK("http://dx.doi.org/10.1175/JPO-D-15-0034.1","http://dx.doi.org/10.1175/JPO-D-15-0034.1")</f>
        <v>http://dx.doi.org/10.1175/JPO-D-15-0034.1</v>
      </c>
      <c r="BG799" t="s">
        <v>74</v>
      </c>
      <c r="BH799" t="s">
        <v>74</v>
      </c>
      <c r="BI799">
        <v>14</v>
      </c>
      <c r="BJ799" t="s">
        <v>5339</v>
      </c>
      <c r="BK799" t="s">
        <v>264</v>
      </c>
      <c r="BL799" t="s">
        <v>5339</v>
      </c>
      <c r="BM799" t="s">
        <v>14978</v>
      </c>
      <c r="BN799" t="s">
        <v>74</v>
      </c>
      <c r="BO799" t="s">
        <v>9931</v>
      </c>
      <c r="BP799" t="s">
        <v>74</v>
      </c>
      <c r="BQ799" t="s">
        <v>74</v>
      </c>
      <c r="BR799" t="s">
        <v>100</v>
      </c>
      <c r="BS799" t="s">
        <v>14979</v>
      </c>
      <c r="BT799" t="str">
        <f>HYPERLINK("https%3A%2F%2Fwww.webofscience.com%2Fwos%2Fwoscc%2Ffull-record%2FWOS:000366394700004","View Full Record in Web of Science")</f>
        <v>View Full Record in Web of Science</v>
      </c>
    </row>
    <row r="800" spans="1:72" x14ac:dyDescent="0.15">
      <c r="A800" t="s">
        <v>72</v>
      </c>
      <c r="B800" t="s">
        <v>14980</v>
      </c>
      <c r="C800" t="s">
        <v>74</v>
      </c>
      <c r="D800" t="s">
        <v>74</v>
      </c>
      <c r="E800" t="s">
        <v>74</v>
      </c>
      <c r="F800" t="s">
        <v>14981</v>
      </c>
      <c r="G800" t="s">
        <v>74</v>
      </c>
      <c r="H800" t="s">
        <v>74</v>
      </c>
      <c r="I800" t="s">
        <v>14982</v>
      </c>
      <c r="J800" t="s">
        <v>7144</v>
      </c>
      <c r="K800" t="s">
        <v>74</v>
      </c>
      <c r="L800" t="s">
        <v>74</v>
      </c>
      <c r="M800" t="s">
        <v>200</v>
      </c>
      <c r="N800" t="s">
        <v>79</v>
      </c>
      <c r="O800" t="s">
        <v>74</v>
      </c>
      <c r="P800" t="s">
        <v>74</v>
      </c>
      <c r="Q800" t="s">
        <v>74</v>
      </c>
      <c r="R800" t="s">
        <v>74</v>
      </c>
      <c r="S800" t="s">
        <v>74</v>
      </c>
      <c r="T800" t="s">
        <v>14983</v>
      </c>
      <c r="U800" t="s">
        <v>14984</v>
      </c>
      <c r="V800" t="s">
        <v>14985</v>
      </c>
      <c r="W800" t="s">
        <v>14986</v>
      </c>
      <c r="X800" t="s">
        <v>14987</v>
      </c>
      <c r="Y800" t="s">
        <v>14988</v>
      </c>
      <c r="Z800" t="s">
        <v>14989</v>
      </c>
      <c r="AA800" t="s">
        <v>14990</v>
      </c>
      <c r="AB800" t="s">
        <v>14991</v>
      </c>
      <c r="AC800" t="s">
        <v>14992</v>
      </c>
      <c r="AD800" t="s">
        <v>8549</v>
      </c>
      <c r="AE800" t="s">
        <v>14993</v>
      </c>
      <c r="AF800" t="s">
        <v>74</v>
      </c>
      <c r="AG800">
        <v>62</v>
      </c>
      <c r="AH800">
        <v>40</v>
      </c>
      <c r="AI800">
        <v>42</v>
      </c>
      <c r="AJ800">
        <v>1</v>
      </c>
      <c r="AK800">
        <v>18</v>
      </c>
      <c r="AL800" t="s">
        <v>6662</v>
      </c>
      <c r="AM800" t="s">
        <v>6663</v>
      </c>
      <c r="AN800" t="s">
        <v>6664</v>
      </c>
      <c r="AO800" t="s">
        <v>7155</v>
      </c>
      <c r="AP800" t="s">
        <v>7156</v>
      </c>
      <c r="AQ800" t="s">
        <v>74</v>
      </c>
      <c r="AR800" t="s">
        <v>7157</v>
      </c>
      <c r="AS800" t="s">
        <v>7158</v>
      </c>
      <c r="AT800" t="s">
        <v>12574</v>
      </c>
      <c r="AU800">
        <v>2015</v>
      </c>
      <c r="AV800">
        <v>72</v>
      </c>
      <c r="AW800">
        <v>12</v>
      </c>
      <c r="AX800" t="s">
        <v>74</v>
      </c>
      <c r="AY800" t="s">
        <v>74</v>
      </c>
      <c r="AZ800" t="s">
        <v>74</v>
      </c>
      <c r="BA800" t="s">
        <v>74</v>
      </c>
      <c r="BB800">
        <v>4487</v>
      </c>
      <c r="BC800">
        <v>4507</v>
      </c>
      <c r="BD800" t="s">
        <v>74</v>
      </c>
      <c r="BE800" t="s">
        <v>14994</v>
      </c>
      <c r="BF800" t="str">
        <f>HYPERLINK("http://dx.doi.org/10.1175/JAS-D-14-0358.1","http://dx.doi.org/10.1175/JAS-D-14-0358.1")</f>
        <v>http://dx.doi.org/10.1175/JAS-D-14-0358.1</v>
      </c>
      <c r="BG800" t="s">
        <v>74</v>
      </c>
      <c r="BH800" t="s">
        <v>74</v>
      </c>
      <c r="BI800">
        <v>21</v>
      </c>
      <c r="BJ800" t="s">
        <v>1721</v>
      </c>
      <c r="BK800" t="s">
        <v>264</v>
      </c>
      <c r="BL800" t="s">
        <v>1721</v>
      </c>
      <c r="BM800" t="s">
        <v>14995</v>
      </c>
      <c r="BN800" t="s">
        <v>74</v>
      </c>
      <c r="BO800" t="s">
        <v>8238</v>
      </c>
      <c r="BP800" t="s">
        <v>74</v>
      </c>
      <c r="BQ800" t="s">
        <v>74</v>
      </c>
      <c r="BR800" t="s">
        <v>100</v>
      </c>
      <c r="BS800" t="s">
        <v>14996</v>
      </c>
      <c r="BT800" t="str">
        <f>HYPERLINK("https%3A%2F%2Fwww.webofscience.com%2Fwos%2Fwoscc%2Ffull-record%2FWOS:000366332100001","View Full Record in Web of Science")</f>
        <v>View Full Record in Web of Science</v>
      </c>
    </row>
    <row r="801" spans="1:72" x14ac:dyDescent="0.15">
      <c r="A801" t="s">
        <v>72</v>
      </c>
      <c r="B801" t="s">
        <v>14997</v>
      </c>
      <c r="C801" t="s">
        <v>74</v>
      </c>
      <c r="D801" t="s">
        <v>74</v>
      </c>
      <c r="E801" t="s">
        <v>74</v>
      </c>
      <c r="F801" t="s">
        <v>14998</v>
      </c>
      <c r="G801" t="s">
        <v>74</v>
      </c>
      <c r="H801" t="s">
        <v>74</v>
      </c>
      <c r="I801" t="s">
        <v>14999</v>
      </c>
      <c r="J801" t="s">
        <v>13421</v>
      </c>
      <c r="K801" t="s">
        <v>74</v>
      </c>
      <c r="L801" t="s">
        <v>74</v>
      </c>
      <c r="M801" t="s">
        <v>200</v>
      </c>
      <c r="N801" t="s">
        <v>79</v>
      </c>
      <c r="O801" t="s">
        <v>74</v>
      </c>
      <c r="P801" t="s">
        <v>74</v>
      </c>
      <c r="Q801" t="s">
        <v>74</v>
      </c>
      <c r="R801" t="s">
        <v>74</v>
      </c>
      <c r="S801" t="s">
        <v>74</v>
      </c>
      <c r="T801" t="s">
        <v>15000</v>
      </c>
      <c r="U801" t="s">
        <v>15001</v>
      </c>
      <c r="V801" t="s">
        <v>15002</v>
      </c>
      <c r="W801" t="s">
        <v>15003</v>
      </c>
      <c r="X801" t="s">
        <v>15004</v>
      </c>
      <c r="Y801" t="s">
        <v>15005</v>
      </c>
      <c r="Z801" t="s">
        <v>15006</v>
      </c>
      <c r="AA801" t="s">
        <v>15007</v>
      </c>
      <c r="AB801" t="s">
        <v>15008</v>
      </c>
      <c r="AC801" t="s">
        <v>15009</v>
      </c>
      <c r="AD801" t="s">
        <v>9487</v>
      </c>
      <c r="AE801" t="s">
        <v>15010</v>
      </c>
      <c r="AF801" t="s">
        <v>74</v>
      </c>
      <c r="AG801">
        <v>82</v>
      </c>
      <c r="AH801">
        <v>27</v>
      </c>
      <c r="AI801">
        <v>32</v>
      </c>
      <c r="AJ801">
        <v>1</v>
      </c>
      <c r="AK801">
        <v>81</v>
      </c>
      <c r="AL801" t="s">
        <v>5888</v>
      </c>
      <c r="AM801" t="s">
        <v>1386</v>
      </c>
      <c r="AN801" t="s">
        <v>5889</v>
      </c>
      <c r="AO801" t="s">
        <v>13433</v>
      </c>
      <c r="AP801" t="s">
        <v>74</v>
      </c>
      <c r="AQ801" t="s">
        <v>74</v>
      </c>
      <c r="AR801" t="s">
        <v>13434</v>
      </c>
      <c r="AS801" t="s">
        <v>13435</v>
      </c>
      <c r="AT801" t="s">
        <v>12574</v>
      </c>
      <c r="AU801">
        <v>2015</v>
      </c>
      <c r="AV801">
        <v>54</v>
      </c>
      <c r="AW801" t="s">
        <v>74</v>
      </c>
      <c r="AX801" t="s">
        <v>74</v>
      </c>
      <c r="AY801" t="s">
        <v>74</v>
      </c>
      <c r="AZ801" t="s">
        <v>2540</v>
      </c>
      <c r="BA801" t="s">
        <v>74</v>
      </c>
      <c r="BB801">
        <v>111</v>
      </c>
      <c r="BC801">
        <v>117</v>
      </c>
      <c r="BD801" t="s">
        <v>74</v>
      </c>
      <c r="BE801" t="s">
        <v>15011</v>
      </c>
      <c r="BF801" t="str">
        <f>HYPERLINK("http://dx.doi.org/10.1016/j.jtherbio.2014.07.009","http://dx.doi.org/10.1016/j.jtherbio.2014.07.009")</f>
        <v>http://dx.doi.org/10.1016/j.jtherbio.2014.07.009</v>
      </c>
      <c r="BG801" t="s">
        <v>74</v>
      </c>
      <c r="BH801" t="s">
        <v>74</v>
      </c>
      <c r="BI801">
        <v>7</v>
      </c>
      <c r="BJ801" t="s">
        <v>13437</v>
      </c>
      <c r="BK801" t="s">
        <v>264</v>
      </c>
      <c r="BL801" t="s">
        <v>13438</v>
      </c>
      <c r="BM801" t="s">
        <v>13439</v>
      </c>
      <c r="BN801">
        <v>26615733</v>
      </c>
      <c r="BO801" t="s">
        <v>431</v>
      </c>
      <c r="BP801" t="s">
        <v>74</v>
      </c>
      <c r="BQ801" t="s">
        <v>74</v>
      </c>
      <c r="BR801" t="s">
        <v>100</v>
      </c>
      <c r="BS801" t="s">
        <v>15012</v>
      </c>
      <c r="BT801" t="str">
        <f>HYPERLINK("https%3A%2F%2Fwww.webofscience.com%2Fwos%2Fwoscc%2Ffull-record%2FWOS:000366775500015","View Full Record in Web of Science")</f>
        <v>View Full Record in Web of Science</v>
      </c>
    </row>
    <row r="802" spans="1:72" x14ac:dyDescent="0.15">
      <c r="A802" t="s">
        <v>72</v>
      </c>
      <c r="B802" t="s">
        <v>15013</v>
      </c>
      <c r="C802" t="s">
        <v>74</v>
      </c>
      <c r="D802" t="s">
        <v>74</v>
      </c>
      <c r="E802" t="s">
        <v>74</v>
      </c>
      <c r="F802" t="s">
        <v>15014</v>
      </c>
      <c r="G802" t="s">
        <v>74</v>
      </c>
      <c r="H802" t="s">
        <v>74</v>
      </c>
      <c r="I802" t="s">
        <v>15015</v>
      </c>
      <c r="J802" t="s">
        <v>13421</v>
      </c>
      <c r="K802" t="s">
        <v>74</v>
      </c>
      <c r="L802" t="s">
        <v>74</v>
      </c>
      <c r="M802" t="s">
        <v>200</v>
      </c>
      <c r="N802" t="s">
        <v>79</v>
      </c>
      <c r="O802" t="s">
        <v>74</v>
      </c>
      <c r="P802" t="s">
        <v>74</v>
      </c>
      <c r="Q802" t="s">
        <v>74</v>
      </c>
      <c r="R802" t="s">
        <v>74</v>
      </c>
      <c r="S802" t="s">
        <v>74</v>
      </c>
      <c r="T802" t="s">
        <v>15016</v>
      </c>
      <c r="U802" t="s">
        <v>15017</v>
      </c>
      <c r="V802" t="s">
        <v>15018</v>
      </c>
      <c r="W802" t="s">
        <v>15019</v>
      </c>
      <c r="X802" t="s">
        <v>15020</v>
      </c>
      <c r="Y802" t="s">
        <v>15021</v>
      </c>
      <c r="Z802" t="s">
        <v>15022</v>
      </c>
      <c r="AA802" t="s">
        <v>15023</v>
      </c>
      <c r="AB802" t="s">
        <v>15024</v>
      </c>
      <c r="AC802" t="s">
        <v>15025</v>
      </c>
      <c r="AD802" t="s">
        <v>15026</v>
      </c>
      <c r="AE802" t="s">
        <v>15027</v>
      </c>
      <c r="AF802" t="s">
        <v>74</v>
      </c>
      <c r="AG802">
        <v>245</v>
      </c>
      <c r="AH802">
        <v>42</v>
      </c>
      <c r="AI802">
        <v>49</v>
      </c>
      <c r="AJ802">
        <v>3</v>
      </c>
      <c r="AK802">
        <v>104</v>
      </c>
      <c r="AL802" t="s">
        <v>5888</v>
      </c>
      <c r="AM802" t="s">
        <v>1386</v>
      </c>
      <c r="AN802" t="s">
        <v>5889</v>
      </c>
      <c r="AO802" t="s">
        <v>13433</v>
      </c>
      <c r="AP802" t="s">
        <v>15028</v>
      </c>
      <c r="AQ802" t="s">
        <v>74</v>
      </c>
      <c r="AR802" t="s">
        <v>13434</v>
      </c>
      <c r="AS802" t="s">
        <v>13435</v>
      </c>
      <c r="AT802" t="s">
        <v>12574</v>
      </c>
      <c r="AU802">
        <v>2015</v>
      </c>
      <c r="AV802">
        <v>54</v>
      </c>
      <c r="AW802" t="s">
        <v>74</v>
      </c>
      <c r="AX802" t="s">
        <v>74</v>
      </c>
      <c r="AY802" t="s">
        <v>74</v>
      </c>
      <c r="AZ802" t="s">
        <v>2540</v>
      </c>
      <c r="BA802" t="s">
        <v>74</v>
      </c>
      <c r="BB802">
        <v>118</v>
      </c>
      <c r="BC802">
        <v>132</v>
      </c>
      <c r="BD802" t="s">
        <v>74</v>
      </c>
      <c r="BE802" t="s">
        <v>15029</v>
      </c>
      <c r="BF802" t="str">
        <f>HYPERLINK("http://dx.doi.org/10.1016/j.jtherbio.2014.05.004","http://dx.doi.org/10.1016/j.jtherbio.2014.05.004")</f>
        <v>http://dx.doi.org/10.1016/j.jtherbio.2014.05.004</v>
      </c>
      <c r="BG802" t="s">
        <v>74</v>
      </c>
      <c r="BH802" t="s">
        <v>74</v>
      </c>
      <c r="BI802">
        <v>15</v>
      </c>
      <c r="BJ802" t="s">
        <v>13437</v>
      </c>
      <c r="BK802" t="s">
        <v>264</v>
      </c>
      <c r="BL802" t="s">
        <v>13438</v>
      </c>
      <c r="BM802" t="s">
        <v>13439</v>
      </c>
      <c r="BN802">
        <v>26615734</v>
      </c>
      <c r="BO802" t="s">
        <v>11333</v>
      </c>
      <c r="BP802" t="s">
        <v>74</v>
      </c>
      <c r="BQ802" t="s">
        <v>74</v>
      </c>
      <c r="BR802" t="s">
        <v>100</v>
      </c>
      <c r="BS802" t="s">
        <v>15030</v>
      </c>
      <c r="BT802" t="str">
        <f>HYPERLINK("https%3A%2F%2Fwww.webofscience.com%2Fwos%2Fwoscc%2Ffull-record%2FWOS:000366775500016","View Full Record in Web of Science")</f>
        <v>View Full Record in Web of Science</v>
      </c>
    </row>
    <row r="803" spans="1:72" x14ac:dyDescent="0.15">
      <c r="A803" t="s">
        <v>72</v>
      </c>
      <c r="B803" t="s">
        <v>15031</v>
      </c>
      <c r="C803" t="s">
        <v>74</v>
      </c>
      <c r="D803" t="s">
        <v>74</v>
      </c>
      <c r="E803" t="s">
        <v>74</v>
      </c>
      <c r="F803" t="s">
        <v>15032</v>
      </c>
      <c r="G803" t="s">
        <v>74</v>
      </c>
      <c r="H803" t="s">
        <v>74</v>
      </c>
      <c r="I803" t="s">
        <v>15033</v>
      </c>
      <c r="J803" t="s">
        <v>15034</v>
      </c>
      <c r="K803" t="s">
        <v>74</v>
      </c>
      <c r="L803" t="s">
        <v>74</v>
      </c>
      <c r="M803" t="s">
        <v>15035</v>
      </c>
      <c r="N803" t="s">
        <v>79</v>
      </c>
      <c r="O803" t="s">
        <v>74</v>
      </c>
      <c r="P803" t="s">
        <v>74</v>
      </c>
      <c r="Q803" t="s">
        <v>74</v>
      </c>
      <c r="R803" t="s">
        <v>74</v>
      </c>
      <c r="S803" t="s">
        <v>74</v>
      </c>
      <c r="T803" t="s">
        <v>15036</v>
      </c>
      <c r="U803" t="s">
        <v>74</v>
      </c>
      <c r="V803" t="s">
        <v>15037</v>
      </c>
      <c r="W803" t="s">
        <v>15038</v>
      </c>
      <c r="X803" t="s">
        <v>15039</v>
      </c>
      <c r="Y803" t="s">
        <v>15040</v>
      </c>
      <c r="Z803" t="s">
        <v>15041</v>
      </c>
      <c r="AA803" t="s">
        <v>15042</v>
      </c>
      <c r="AB803" t="s">
        <v>15043</v>
      </c>
      <c r="AC803" t="s">
        <v>74</v>
      </c>
      <c r="AD803" t="s">
        <v>74</v>
      </c>
      <c r="AE803" t="s">
        <v>74</v>
      </c>
      <c r="AF803" t="s">
        <v>74</v>
      </c>
      <c r="AG803">
        <v>24</v>
      </c>
      <c r="AH803">
        <v>5</v>
      </c>
      <c r="AI803">
        <v>5</v>
      </c>
      <c r="AJ803">
        <v>1</v>
      </c>
      <c r="AK803">
        <v>1</v>
      </c>
      <c r="AL803" t="s">
        <v>15044</v>
      </c>
      <c r="AM803" t="s">
        <v>7192</v>
      </c>
      <c r="AN803" t="s">
        <v>15045</v>
      </c>
      <c r="AO803" t="s">
        <v>15046</v>
      </c>
      <c r="AP803" t="s">
        <v>15047</v>
      </c>
      <c r="AQ803" t="s">
        <v>74</v>
      </c>
      <c r="AR803" t="s">
        <v>15048</v>
      </c>
      <c r="AS803" t="s">
        <v>15049</v>
      </c>
      <c r="AT803" t="s">
        <v>12574</v>
      </c>
      <c r="AU803">
        <v>2015</v>
      </c>
      <c r="AV803">
        <v>31</v>
      </c>
      <c r="AW803">
        <v>6</v>
      </c>
      <c r="AX803" t="s">
        <v>74</v>
      </c>
      <c r="AY803" t="s">
        <v>74</v>
      </c>
      <c r="AZ803" t="s">
        <v>74</v>
      </c>
      <c r="BA803" t="s">
        <v>74</v>
      </c>
      <c r="BB803">
        <v>501</v>
      </c>
      <c r="BC803">
        <v>512</v>
      </c>
      <c r="BD803" t="s">
        <v>74</v>
      </c>
      <c r="BE803" t="s">
        <v>15050</v>
      </c>
      <c r="BF803" t="str">
        <f>HYPERLINK("http://dx.doi.org/10.7780/kjrs.2015.31.6.1","http://dx.doi.org/10.7780/kjrs.2015.31.6.1")</f>
        <v>http://dx.doi.org/10.7780/kjrs.2015.31.6.1</v>
      </c>
      <c r="BG803" t="s">
        <v>74</v>
      </c>
      <c r="BH803" t="s">
        <v>74</v>
      </c>
      <c r="BI803">
        <v>12</v>
      </c>
      <c r="BJ803" t="s">
        <v>15051</v>
      </c>
      <c r="BK803" t="s">
        <v>96</v>
      </c>
      <c r="BL803" t="s">
        <v>15051</v>
      </c>
      <c r="BM803" t="s">
        <v>15052</v>
      </c>
      <c r="BN803" t="s">
        <v>74</v>
      </c>
      <c r="BO803" t="s">
        <v>486</v>
      </c>
      <c r="BP803" t="s">
        <v>74</v>
      </c>
      <c r="BQ803" t="s">
        <v>74</v>
      </c>
      <c r="BR803" t="s">
        <v>100</v>
      </c>
      <c r="BS803" t="s">
        <v>15053</v>
      </c>
      <c r="BT803" t="str">
        <f>HYPERLINK("https%3A%2F%2Fwww.webofscience.com%2Fwos%2Fwoscc%2Ffull-record%2FWOS:000410277000001","View Full Record in Web of Science")</f>
        <v>View Full Record in Web of Science</v>
      </c>
    </row>
    <row r="804" spans="1:72" x14ac:dyDescent="0.15">
      <c r="A804" t="s">
        <v>72</v>
      </c>
      <c r="B804" t="s">
        <v>15054</v>
      </c>
      <c r="C804" t="s">
        <v>74</v>
      </c>
      <c r="D804" t="s">
        <v>74</v>
      </c>
      <c r="E804" t="s">
        <v>74</v>
      </c>
      <c r="F804" t="s">
        <v>15055</v>
      </c>
      <c r="G804" t="s">
        <v>74</v>
      </c>
      <c r="H804" t="s">
        <v>74</v>
      </c>
      <c r="I804" t="s">
        <v>15056</v>
      </c>
      <c r="J804" t="s">
        <v>13749</v>
      </c>
      <c r="K804" t="s">
        <v>74</v>
      </c>
      <c r="L804" t="s">
        <v>74</v>
      </c>
      <c r="M804" t="s">
        <v>200</v>
      </c>
      <c r="N804" t="s">
        <v>79</v>
      </c>
      <c r="O804" t="s">
        <v>74</v>
      </c>
      <c r="P804" t="s">
        <v>74</v>
      </c>
      <c r="Q804" t="s">
        <v>74</v>
      </c>
      <c r="R804" t="s">
        <v>74</v>
      </c>
      <c r="S804" t="s">
        <v>74</v>
      </c>
      <c r="T804" t="s">
        <v>15057</v>
      </c>
      <c r="U804" t="s">
        <v>15058</v>
      </c>
      <c r="V804" t="s">
        <v>15059</v>
      </c>
      <c r="W804" t="s">
        <v>15060</v>
      </c>
      <c r="X804" t="s">
        <v>15061</v>
      </c>
      <c r="Y804" t="s">
        <v>15062</v>
      </c>
      <c r="Z804" t="s">
        <v>15063</v>
      </c>
      <c r="AA804" t="s">
        <v>15064</v>
      </c>
      <c r="AB804" t="s">
        <v>15065</v>
      </c>
      <c r="AC804" t="s">
        <v>15066</v>
      </c>
      <c r="AD804" t="s">
        <v>15067</v>
      </c>
      <c r="AE804" t="s">
        <v>15068</v>
      </c>
      <c r="AF804" t="s">
        <v>74</v>
      </c>
      <c r="AG804">
        <v>124</v>
      </c>
      <c r="AH804">
        <v>21</v>
      </c>
      <c r="AI804">
        <v>22</v>
      </c>
      <c r="AJ804">
        <v>2</v>
      </c>
      <c r="AK804">
        <v>41</v>
      </c>
      <c r="AL804" t="s">
        <v>6373</v>
      </c>
      <c r="AM804" t="s">
        <v>6374</v>
      </c>
      <c r="AN804" t="s">
        <v>6375</v>
      </c>
      <c r="AO804" t="s">
        <v>13762</v>
      </c>
      <c r="AP804" t="s">
        <v>13763</v>
      </c>
      <c r="AQ804" t="s">
        <v>74</v>
      </c>
      <c r="AR804" t="s">
        <v>13764</v>
      </c>
      <c r="AS804" t="s">
        <v>13765</v>
      </c>
      <c r="AT804" t="s">
        <v>12574</v>
      </c>
      <c r="AU804">
        <v>2015</v>
      </c>
      <c r="AV804">
        <v>45</v>
      </c>
      <c r="AW804">
        <v>4</v>
      </c>
      <c r="AX804" t="s">
        <v>74</v>
      </c>
      <c r="AY804" t="s">
        <v>74</v>
      </c>
      <c r="AZ804" t="s">
        <v>74</v>
      </c>
      <c r="BA804" t="s">
        <v>74</v>
      </c>
      <c r="BB804">
        <v>743</v>
      </c>
      <c r="BC804">
        <v>762</v>
      </c>
      <c r="BD804" t="s">
        <v>74</v>
      </c>
      <c r="BE804" t="s">
        <v>15069</v>
      </c>
      <c r="BF804" t="str">
        <f>HYPERLINK("http://dx.doi.org/10.1007/s12526-014-0284-6","http://dx.doi.org/10.1007/s12526-014-0284-6")</f>
        <v>http://dx.doi.org/10.1007/s12526-014-0284-6</v>
      </c>
      <c r="BG804" t="s">
        <v>74</v>
      </c>
      <c r="BH804" t="s">
        <v>74</v>
      </c>
      <c r="BI804">
        <v>20</v>
      </c>
      <c r="BJ804" t="s">
        <v>384</v>
      </c>
      <c r="BK804" t="s">
        <v>264</v>
      </c>
      <c r="BL804" t="s">
        <v>385</v>
      </c>
      <c r="BM804" t="s">
        <v>13767</v>
      </c>
      <c r="BN804" t="s">
        <v>74</v>
      </c>
      <c r="BO804" t="s">
        <v>431</v>
      </c>
      <c r="BP804" t="s">
        <v>74</v>
      </c>
      <c r="BQ804" t="s">
        <v>74</v>
      </c>
      <c r="BR804" t="s">
        <v>100</v>
      </c>
      <c r="BS804" t="s">
        <v>15070</v>
      </c>
      <c r="BT804" t="str">
        <f>HYPERLINK("https%3A%2F%2Fwww.webofscience.com%2Fwos%2Fwoscc%2Ffull-record%2FWOS:000365873600029","View Full Record in Web of Science")</f>
        <v>View Full Record in Web of Science</v>
      </c>
    </row>
    <row r="805" spans="1:72" x14ac:dyDescent="0.15">
      <c r="A805" t="s">
        <v>72</v>
      </c>
      <c r="B805" t="s">
        <v>15071</v>
      </c>
      <c r="C805" t="s">
        <v>74</v>
      </c>
      <c r="D805" t="s">
        <v>74</v>
      </c>
      <c r="E805" t="s">
        <v>74</v>
      </c>
      <c r="F805" t="s">
        <v>15072</v>
      </c>
      <c r="G805" t="s">
        <v>74</v>
      </c>
      <c r="H805" t="s">
        <v>74</v>
      </c>
      <c r="I805" t="s">
        <v>15073</v>
      </c>
      <c r="J805" t="s">
        <v>6361</v>
      </c>
      <c r="K805" t="s">
        <v>74</v>
      </c>
      <c r="L805" t="s">
        <v>74</v>
      </c>
      <c r="M805" t="s">
        <v>200</v>
      </c>
      <c r="N805" t="s">
        <v>79</v>
      </c>
      <c r="O805" t="s">
        <v>74</v>
      </c>
      <c r="P805" t="s">
        <v>74</v>
      </c>
      <c r="Q805" t="s">
        <v>74</v>
      </c>
      <c r="R805" t="s">
        <v>74</v>
      </c>
      <c r="S805" t="s">
        <v>74</v>
      </c>
      <c r="T805" t="s">
        <v>74</v>
      </c>
      <c r="U805" t="s">
        <v>15074</v>
      </c>
      <c r="V805" t="s">
        <v>15075</v>
      </c>
      <c r="W805" t="s">
        <v>15076</v>
      </c>
      <c r="X805" t="s">
        <v>15077</v>
      </c>
      <c r="Y805" t="s">
        <v>15078</v>
      </c>
      <c r="Z805" t="s">
        <v>15079</v>
      </c>
      <c r="AA805" t="s">
        <v>15080</v>
      </c>
      <c r="AB805" t="s">
        <v>15081</v>
      </c>
      <c r="AC805" t="s">
        <v>15082</v>
      </c>
      <c r="AD805" t="s">
        <v>15083</v>
      </c>
      <c r="AE805" t="s">
        <v>15084</v>
      </c>
      <c r="AF805" t="s">
        <v>74</v>
      </c>
      <c r="AG805">
        <v>51</v>
      </c>
      <c r="AH805">
        <v>14</v>
      </c>
      <c r="AI805">
        <v>14</v>
      </c>
      <c r="AJ805">
        <v>0</v>
      </c>
      <c r="AK805">
        <v>52</v>
      </c>
      <c r="AL805" t="s">
        <v>6373</v>
      </c>
      <c r="AM805" t="s">
        <v>6374</v>
      </c>
      <c r="AN805" t="s">
        <v>6375</v>
      </c>
      <c r="AO805" t="s">
        <v>6376</v>
      </c>
      <c r="AP805" t="s">
        <v>6377</v>
      </c>
      <c r="AQ805" t="s">
        <v>74</v>
      </c>
      <c r="AR805" t="s">
        <v>6378</v>
      </c>
      <c r="AS805" t="s">
        <v>6379</v>
      </c>
      <c r="AT805" t="s">
        <v>12574</v>
      </c>
      <c r="AU805">
        <v>2015</v>
      </c>
      <c r="AV805">
        <v>162</v>
      </c>
      <c r="AW805">
        <v>12</v>
      </c>
      <c r="AX805" t="s">
        <v>74</v>
      </c>
      <c r="AY805" t="s">
        <v>74</v>
      </c>
      <c r="AZ805" t="s">
        <v>74</v>
      </c>
      <c r="BA805" t="s">
        <v>74</v>
      </c>
      <c r="BB805">
        <v>2521</v>
      </c>
      <c r="BC805">
        <v>2526</v>
      </c>
      <c r="BD805" t="s">
        <v>74</v>
      </c>
      <c r="BE805" t="s">
        <v>15085</v>
      </c>
      <c r="BF805" t="str">
        <f>HYPERLINK("http://dx.doi.org/10.1007/s00227-015-2757-y","http://dx.doi.org/10.1007/s00227-015-2757-y")</f>
        <v>http://dx.doi.org/10.1007/s00227-015-2757-y</v>
      </c>
      <c r="BG805" t="s">
        <v>74</v>
      </c>
      <c r="BH805" t="s">
        <v>74</v>
      </c>
      <c r="BI805">
        <v>6</v>
      </c>
      <c r="BJ805" t="s">
        <v>1479</v>
      </c>
      <c r="BK805" t="s">
        <v>264</v>
      </c>
      <c r="BL805" t="s">
        <v>1479</v>
      </c>
      <c r="BM805" t="s">
        <v>15086</v>
      </c>
      <c r="BN805" t="s">
        <v>74</v>
      </c>
      <c r="BO805" t="s">
        <v>74</v>
      </c>
      <c r="BP805" t="s">
        <v>74</v>
      </c>
      <c r="BQ805" t="s">
        <v>74</v>
      </c>
      <c r="BR805" t="s">
        <v>100</v>
      </c>
      <c r="BS805" t="s">
        <v>15087</v>
      </c>
      <c r="BT805" t="str">
        <f>HYPERLINK("https%3A%2F%2Fwww.webofscience.com%2Fwos%2Fwoscc%2Ffull-record%2FWOS:000365790600018","View Full Record in Web of Science")</f>
        <v>View Full Record in Web of Science</v>
      </c>
    </row>
    <row r="806" spans="1:72" x14ac:dyDescent="0.15">
      <c r="A806" t="s">
        <v>72</v>
      </c>
      <c r="B806" t="s">
        <v>15088</v>
      </c>
      <c r="C806" t="s">
        <v>74</v>
      </c>
      <c r="D806" t="s">
        <v>74</v>
      </c>
      <c r="E806" t="s">
        <v>74</v>
      </c>
      <c r="F806" t="s">
        <v>15089</v>
      </c>
      <c r="G806" t="s">
        <v>74</v>
      </c>
      <c r="H806" t="s">
        <v>74</v>
      </c>
      <c r="I806" t="s">
        <v>15090</v>
      </c>
      <c r="J806" t="s">
        <v>13074</v>
      </c>
      <c r="K806" t="s">
        <v>74</v>
      </c>
      <c r="L806" t="s">
        <v>74</v>
      </c>
      <c r="M806" t="s">
        <v>200</v>
      </c>
      <c r="N806" t="s">
        <v>79</v>
      </c>
      <c r="O806" t="s">
        <v>74</v>
      </c>
      <c r="P806" t="s">
        <v>74</v>
      </c>
      <c r="Q806" t="s">
        <v>74</v>
      </c>
      <c r="R806" t="s">
        <v>74</v>
      </c>
      <c r="S806" t="s">
        <v>74</v>
      </c>
      <c r="T806" t="s">
        <v>15091</v>
      </c>
      <c r="U806" t="s">
        <v>15092</v>
      </c>
      <c r="V806" t="s">
        <v>15093</v>
      </c>
      <c r="W806" t="s">
        <v>15094</v>
      </c>
      <c r="X806" t="s">
        <v>468</v>
      </c>
      <c r="Y806" t="s">
        <v>15095</v>
      </c>
      <c r="Z806" t="s">
        <v>15096</v>
      </c>
      <c r="AA806" t="s">
        <v>15097</v>
      </c>
      <c r="AB806" t="s">
        <v>15098</v>
      </c>
      <c r="AC806" t="s">
        <v>15099</v>
      </c>
      <c r="AD806" t="s">
        <v>15100</v>
      </c>
      <c r="AE806" t="s">
        <v>15101</v>
      </c>
      <c r="AF806" t="s">
        <v>74</v>
      </c>
      <c r="AG806">
        <v>13</v>
      </c>
      <c r="AH806">
        <v>4</v>
      </c>
      <c r="AI806">
        <v>4</v>
      </c>
      <c r="AJ806">
        <v>0</v>
      </c>
      <c r="AK806">
        <v>10</v>
      </c>
      <c r="AL806" t="s">
        <v>7137</v>
      </c>
      <c r="AM806" t="s">
        <v>209</v>
      </c>
      <c r="AN806" t="s">
        <v>7138</v>
      </c>
      <c r="AO806" t="s">
        <v>13087</v>
      </c>
      <c r="AP806" t="s">
        <v>13088</v>
      </c>
      <c r="AQ806" t="s">
        <v>74</v>
      </c>
      <c r="AR806" t="s">
        <v>13089</v>
      </c>
      <c r="AS806" t="s">
        <v>13090</v>
      </c>
      <c r="AT806" t="s">
        <v>12574</v>
      </c>
      <c r="AU806">
        <v>2015</v>
      </c>
      <c r="AV806">
        <v>24</v>
      </c>
      <c r="AW806" t="s">
        <v>74</v>
      </c>
      <c r="AX806">
        <v>3</v>
      </c>
      <c r="AY806" t="s">
        <v>74</v>
      </c>
      <c r="AZ806" t="s">
        <v>74</v>
      </c>
      <c r="BA806" t="s">
        <v>74</v>
      </c>
      <c r="BB806">
        <v>231</v>
      </c>
      <c r="BC806">
        <v>232</v>
      </c>
      <c r="BD806" t="s">
        <v>74</v>
      </c>
      <c r="BE806" t="s">
        <v>15102</v>
      </c>
      <c r="BF806" t="str">
        <f>HYPERLINK("http://dx.doi.org/10.1016/j.margen.2015.06.004","http://dx.doi.org/10.1016/j.margen.2015.06.004")</f>
        <v>http://dx.doi.org/10.1016/j.margen.2015.06.004</v>
      </c>
      <c r="BG806" t="s">
        <v>74</v>
      </c>
      <c r="BH806" t="s">
        <v>74</v>
      </c>
      <c r="BI806">
        <v>2</v>
      </c>
      <c r="BJ806" t="s">
        <v>13092</v>
      </c>
      <c r="BK806" t="s">
        <v>264</v>
      </c>
      <c r="BL806" t="s">
        <v>13092</v>
      </c>
      <c r="BM806" t="s">
        <v>13110</v>
      </c>
      <c r="BN806">
        <v>26102557</v>
      </c>
      <c r="BO806" t="s">
        <v>74</v>
      </c>
      <c r="BP806" t="s">
        <v>74</v>
      </c>
      <c r="BQ806" t="s">
        <v>74</v>
      </c>
      <c r="BR806" t="s">
        <v>100</v>
      </c>
      <c r="BS806" t="s">
        <v>15103</v>
      </c>
      <c r="BT806" t="str">
        <f>HYPERLINK("https%3A%2F%2Fwww.webofscience.com%2Fwos%2Fwoscc%2Ffull-record%2FWOS:000367762400013","View Full Record in Web of Science")</f>
        <v>View Full Record in Web of Science</v>
      </c>
    </row>
    <row r="807" spans="1:72" x14ac:dyDescent="0.15">
      <c r="A807" t="s">
        <v>72</v>
      </c>
      <c r="B807" t="s">
        <v>15104</v>
      </c>
      <c r="C807" t="s">
        <v>74</v>
      </c>
      <c r="D807" t="s">
        <v>74</v>
      </c>
      <c r="E807" t="s">
        <v>74</v>
      </c>
      <c r="F807" t="s">
        <v>15105</v>
      </c>
      <c r="G807" t="s">
        <v>74</v>
      </c>
      <c r="H807" t="s">
        <v>74</v>
      </c>
      <c r="I807" t="s">
        <v>15106</v>
      </c>
      <c r="J807" t="s">
        <v>15107</v>
      </c>
      <c r="K807" t="s">
        <v>74</v>
      </c>
      <c r="L807" t="s">
        <v>74</v>
      </c>
      <c r="M807" t="s">
        <v>200</v>
      </c>
      <c r="N807" t="s">
        <v>79</v>
      </c>
      <c r="O807" t="s">
        <v>74</v>
      </c>
      <c r="P807" t="s">
        <v>74</v>
      </c>
      <c r="Q807" t="s">
        <v>74</v>
      </c>
      <c r="R807" t="s">
        <v>74</v>
      </c>
      <c r="S807" t="s">
        <v>74</v>
      </c>
      <c r="T807" t="s">
        <v>15108</v>
      </c>
      <c r="U807" t="s">
        <v>15109</v>
      </c>
      <c r="V807" t="s">
        <v>15110</v>
      </c>
      <c r="W807" t="s">
        <v>15111</v>
      </c>
      <c r="X807" t="s">
        <v>15112</v>
      </c>
      <c r="Y807" t="s">
        <v>15113</v>
      </c>
      <c r="Z807" t="s">
        <v>15114</v>
      </c>
      <c r="AA807" t="s">
        <v>15115</v>
      </c>
      <c r="AB807" t="s">
        <v>15116</v>
      </c>
      <c r="AC807" t="s">
        <v>15117</v>
      </c>
      <c r="AD807" t="s">
        <v>15117</v>
      </c>
      <c r="AE807" t="s">
        <v>15118</v>
      </c>
      <c r="AF807" t="s">
        <v>74</v>
      </c>
      <c r="AG807">
        <v>42</v>
      </c>
      <c r="AH807">
        <v>8</v>
      </c>
      <c r="AI807">
        <v>8</v>
      </c>
      <c r="AJ807">
        <v>0</v>
      </c>
      <c r="AK807">
        <v>45</v>
      </c>
      <c r="AL807" t="s">
        <v>5464</v>
      </c>
      <c r="AM807" t="s">
        <v>5465</v>
      </c>
      <c r="AN807" t="s">
        <v>5466</v>
      </c>
      <c r="AO807" t="s">
        <v>15119</v>
      </c>
      <c r="AP807" t="s">
        <v>15120</v>
      </c>
      <c r="AQ807" t="s">
        <v>74</v>
      </c>
      <c r="AR807" t="s">
        <v>15121</v>
      </c>
      <c r="AS807" t="s">
        <v>15122</v>
      </c>
      <c r="AT807" t="s">
        <v>12574</v>
      </c>
      <c r="AU807">
        <v>2015</v>
      </c>
      <c r="AV807">
        <v>6</v>
      </c>
      <c r="AW807">
        <v>12</v>
      </c>
      <c r="AX807" t="s">
        <v>74</v>
      </c>
      <c r="AY807" t="s">
        <v>74</v>
      </c>
      <c r="AZ807" t="s">
        <v>74</v>
      </c>
      <c r="BA807" t="s">
        <v>74</v>
      </c>
      <c r="BB807">
        <v>1407</v>
      </c>
      <c r="BC807">
        <v>1416</v>
      </c>
      <c r="BD807" t="s">
        <v>74</v>
      </c>
      <c r="BE807" t="s">
        <v>15123</v>
      </c>
      <c r="BF807" t="str">
        <f>HYPERLINK("http://dx.doi.org/10.1111/2041-210X.12434","http://dx.doi.org/10.1111/2041-210X.12434")</f>
        <v>http://dx.doi.org/10.1111/2041-210X.12434</v>
      </c>
      <c r="BG807" t="s">
        <v>74</v>
      </c>
      <c r="BH807" t="s">
        <v>74</v>
      </c>
      <c r="BI807">
        <v>10</v>
      </c>
      <c r="BJ807" t="s">
        <v>5445</v>
      </c>
      <c r="BK807" t="s">
        <v>264</v>
      </c>
      <c r="BL807" t="s">
        <v>2887</v>
      </c>
      <c r="BM807" t="s">
        <v>15124</v>
      </c>
      <c r="BN807" t="s">
        <v>74</v>
      </c>
      <c r="BO807" t="s">
        <v>486</v>
      </c>
      <c r="BP807" t="s">
        <v>74</v>
      </c>
      <c r="BQ807" t="s">
        <v>74</v>
      </c>
      <c r="BR807" t="s">
        <v>100</v>
      </c>
      <c r="BS807" t="s">
        <v>15125</v>
      </c>
      <c r="BT807" t="str">
        <f>HYPERLINK("https%3A%2F%2Fwww.webofscience.com%2Fwos%2Fwoscc%2Ffull-record%2FWOS:000368517700004","View Full Record in Web of Science")</f>
        <v>View Full Record in Web of Science</v>
      </c>
    </row>
    <row r="808" spans="1:72" x14ac:dyDescent="0.15">
      <c r="A808" t="s">
        <v>72</v>
      </c>
      <c r="B808" t="s">
        <v>15126</v>
      </c>
      <c r="C808" t="s">
        <v>74</v>
      </c>
      <c r="D808" t="s">
        <v>74</v>
      </c>
      <c r="E808" t="s">
        <v>74</v>
      </c>
      <c r="F808" t="s">
        <v>15127</v>
      </c>
      <c r="G808" t="s">
        <v>74</v>
      </c>
      <c r="H808" t="s">
        <v>74</v>
      </c>
      <c r="I808" t="s">
        <v>15128</v>
      </c>
      <c r="J808" t="s">
        <v>10577</v>
      </c>
      <c r="K808" t="s">
        <v>74</v>
      </c>
      <c r="L808" t="s">
        <v>74</v>
      </c>
      <c r="M808" t="s">
        <v>200</v>
      </c>
      <c r="N808" t="s">
        <v>79</v>
      </c>
      <c r="O808" t="s">
        <v>74</v>
      </c>
      <c r="P808" t="s">
        <v>74</v>
      </c>
      <c r="Q808" t="s">
        <v>74</v>
      </c>
      <c r="R808" t="s">
        <v>74</v>
      </c>
      <c r="S808" t="s">
        <v>74</v>
      </c>
      <c r="T808" t="s">
        <v>74</v>
      </c>
      <c r="U808" t="s">
        <v>15129</v>
      </c>
      <c r="V808" t="s">
        <v>15130</v>
      </c>
      <c r="W808" t="s">
        <v>15131</v>
      </c>
      <c r="X808" t="s">
        <v>15132</v>
      </c>
      <c r="Y808" t="s">
        <v>15133</v>
      </c>
      <c r="Z808" t="s">
        <v>15134</v>
      </c>
      <c r="AA808" t="s">
        <v>15135</v>
      </c>
      <c r="AB808" t="s">
        <v>15136</v>
      </c>
      <c r="AC808" t="s">
        <v>15137</v>
      </c>
      <c r="AD808" t="s">
        <v>15138</v>
      </c>
      <c r="AE808" t="s">
        <v>15139</v>
      </c>
      <c r="AF808" t="s">
        <v>74</v>
      </c>
      <c r="AG808">
        <v>49</v>
      </c>
      <c r="AH808">
        <v>159</v>
      </c>
      <c r="AI808">
        <v>174</v>
      </c>
      <c r="AJ808">
        <v>2</v>
      </c>
      <c r="AK808">
        <v>67</v>
      </c>
      <c r="AL808" t="s">
        <v>11845</v>
      </c>
      <c r="AM808" t="s">
        <v>2354</v>
      </c>
      <c r="AN808" t="s">
        <v>11846</v>
      </c>
      <c r="AO808" t="s">
        <v>10590</v>
      </c>
      <c r="AP808" t="s">
        <v>10591</v>
      </c>
      <c r="AQ808" t="s">
        <v>74</v>
      </c>
      <c r="AR808" t="s">
        <v>10592</v>
      </c>
      <c r="AS808" t="s">
        <v>10593</v>
      </c>
      <c r="AT808" t="s">
        <v>12574</v>
      </c>
      <c r="AU808">
        <v>2015</v>
      </c>
      <c r="AV808">
        <v>8</v>
      </c>
      <c r="AW808">
        <v>12</v>
      </c>
      <c r="AX808" t="s">
        <v>74</v>
      </c>
      <c r="AY808" t="s">
        <v>74</v>
      </c>
      <c r="AZ808" t="s">
        <v>74</v>
      </c>
      <c r="BA808" t="s">
        <v>74</v>
      </c>
      <c r="BB808">
        <v>927</v>
      </c>
      <c r="BC808" t="s">
        <v>15140</v>
      </c>
      <c r="BD808" t="s">
        <v>74</v>
      </c>
      <c r="BE808" t="s">
        <v>15141</v>
      </c>
      <c r="BF808" t="str">
        <f>HYPERLINK("http://dx.doi.org/10.1038/NGEO2563","http://dx.doi.org/10.1038/NGEO2563")</f>
        <v>http://dx.doi.org/10.1038/NGEO2563</v>
      </c>
      <c r="BG808" t="s">
        <v>74</v>
      </c>
      <c r="BH808" t="s">
        <v>74</v>
      </c>
      <c r="BI808">
        <v>8</v>
      </c>
      <c r="BJ808" t="s">
        <v>95</v>
      </c>
      <c r="BK808" t="s">
        <v>264</v>
      </c>
      <c r="BL808" t="s">
        <v>97</v>
      </c>
      <c r="BM808" t="s">
        <v>15142</v>
      </c>
      <c r="BN808" t="s">
        <v>74</v>
      </c>
      <c r="BO808" t="s">
        <v>241</v>
      </c>
      <c r="BP808" t="s">
        <v>74</v>
      </c>
      <c r="BQ808" t="s">
        <v>74</v>
      </c>
      <c r="BR808" t="s">
        <v>100</v>
      </c>
      <c r="BS808" t="s">
        <v>15143</v>
      </c>
      <c r="BT808" t="str">
        <f>HYPERLINK("https%3A%2F%2Fwww.webofscience.com%2Fwos%2Fwoscc%2Ffull-record%2FWOS:000367200200014","View Full Record in Web of Science")</f>
        <v>View Full Record in Web of Science</v>
      </c>
    </row>
    <row r="809" spans="1:72" x14ac:dyDescent="0.15">
      <c r="A809" t="s">
        <v>72</v>
      </c>
      <c r="B809" t="s">
        <v>15144</v>
      </c>
      <c r="C809" t="s">
        <v>74</v>
      </c>
      <c r="D809" t="s">
        <v>74</v>
      </c>
      <c r="E809" t="s">
        <v>74</v>
      </c>
      <c r="F809" t="s">
        <v>15145</v>
      </c>
      <c r="G809" t="s">
        <v>74</v>
      </c>
      <c r="H809" t="s">
        <v>74</v>
      </c>
      <c r="I809" t="s">
        <v>15146</v>
      </c>
      <c r="J809" t="s">
        <v>10577</v>
      </c>
      <c r="K809" t="s">
        <v>74</v>
      </c>
      <c r="L809" t="s">
        <v>74</v>
      </c>
      <c r="M809" t="s">
        <v>200</v>
      </c>
      <c r="N809" t="s">
        <v>79</v>
      </c>
      <c r="O809" t="s">
        <v>74</v>
      </c>
      <c r="P809" t="s">
        <v>74</v>
      </c>
      <c r="Q809" t="s">
        <v>74</v>
      </c>
      <c r="R809" t="s">
        <v>74</v>
      </c>
      <c r="S809" t="s">
        <v>74</v>
      </c>
      <c r="T809" t="s">
        <v>74</v>
      </c>
      <c r="U809" t="s">
        <v>15147</v>
      </c>
      <c r="V809" t="s">
        <v>15148</v>
      </c>
      <c r="W809" t="s">
        <v>15149</v>
      </c>
      <c r="X809" t="s">
        <v>15150</v>
      </c>
      <c r="Y809" t="s">
        <v>15151</v>
      </c>
      <c r="Z809" t="s">
        <v>15152</v>
      </c>
      <c r="AA809" t="s">
        <v>15153</v>
      </c>
      <c r="AB809" t="s">
        <v>15154</v>
      </c>
      <c r="AC809" t="s">
        <v>15155</v>
      </c>
      <c r="AD809" t="s">
        <v>15156</v>
      </c>
      <c r="AE809" t="s">
        <v>15157</v>
      </c>
      <c r="AF809" t="s">
        <v>74</v>
      </c>
      <c r="AG809">
        <v>30</v>
      </c>
      <c r="AH809">
        <v>85</v>
      </c>
      <c r="AI809">
        <v>94</v>
      </c>
      <c r="AJ809">
        <v>10</v>
      </c>
      <c r="AK809">
        <v>125</v>
      </c>
      <c r="AL809" t="s">
        <v>7256</v>
      </c>
      <c r="AM809" t="s">
        <v>289</v>
      </c>
      <c r="AN809" t="s">
        <v>10589</v>
      </c>
      <c r="AO809" t="s">
        <v>10590</v>
      </c>
      <c r="AP809" t="s">
        <v>10591</v>
      </c>
      <c r="AQ809" t="s">
        <v>74</v>
      </c>
      <c r="AR809" t="s">
        <v>10592</v>
      </c>
      <c r="AS809" t="s">
        <v>10593</v>
      </c>
      <c r="AT809" t="s">
        <v>12574</v>
      </c>
      <c r="AU809">
        <v>2015</v>
      </c>
      <c r="AV809">
        <v>8</v>
      </c>
      <c r="AW809">
        <v>12</v>
      </c>
      <c r="AX809" t="s">
        <v>74</v>
      </c>
      <c r="AY809" t="s">
        <v>74</v>
      </c>
      <c r="AZ809" t="s">
        <v>74</v>
      </c>
      <c r="BA809" t="s">
        <v>74</v>
      </c>
      <c r="BB809">
        <v>946</v>
      </c>
      <c r="BC809" t="s">
        <v>15158</v>
      </c>
      <c r="BD809" t="s">
        <v>74</v>
      </c>
      <c r="BE809" t="s">
        <v>15159</v>
      </c>
      <c r="BF809" t="str">
        <f>HYPERLINK("http://dx.doi.org/10.1038/NGEO2557","http://dx.doi.org/10.1038/NGEO2557")</f>
        <v>http://dx.doi.org/10.1038/NGEO2557</v>
      </c>
      <c r="BG809" t="s">
        <v>74</v>
      </c>
      <c r="BH809" t="s">
        <v>74</v>
      </c>
      <c r="BI809">
        <v>5</v>
      </c>
      <c r="BJ809" t="s">
        <v>95</v>
      </c>
      <c r="BK809" t="s">
        <v>264</v>
      </c>
      <c r="BL809" t="s">
        <v>97</v>
      </c>
      <c r="BM809" t="s">
        <v>15142</v>
      </c>
      <c r="BN809" t="s">
        <v>74</v>
      </c>
      <c r="BO809" t="s">
        <v>403</v>
      </c>
      <c r="BP809" t="s">
        <v>74</v>
      </c>
      <c r="BQ809" t="s">
        <v>74</v>
      </c>
      <c r="BR809" t="s">
        <v>100</v>
      </c>
      <c r="BS809" t="s">
        <v>15160</v>
      </c>
      <c r="BT809" t="str">
        <f>HYPERLINK("https%3A%2F%2Fwww.webofscience.com%2Fwos%2Fwoscc%2Ffull-record%2FWOS:000367200200018","View Full Record in Web of Science")</f>
        <v>View Full Record in Web of Science</v>
      </c>
    </row>
    <row r="810" spans="1:72" x14ac:dyDescent="0.15">
      <c r="A810" t="s">
        <v>72</v>
      </c>
      <c r="B810" t="s">
        <v>15161</v>
      </c>
      <c r="C810" t="s">
        <v>74</v>
      </c>
      <c r="D810" t="s">
        <v>74</v>
      </c>
      <c r="E810" t="s">
        <v>74</v>
      </c>
      <c r="F810" t="s">
        <v>15162</v>
      </c>
      <c r="G810" t="s">
        <v>74</v>
      </c>
      <c r="H810" t="s">
        <v>74</v>
      </c>
      <c r="I810" t="s">
        <v>15163</v>
      </c>
      <c r="J810" t="s">
        <v>10577</v>
      </c>
      <c r="K810" t="s">
        <v>74</v>
      </c>
      <c r="L810" t="s">
        <v>74</v>
      </c>
      <c r="M810" t="s">
        <v>200</v>
      </c>
      <c r="N810" t="s">
        <v>79</v>
      </c>
      <c r="O810" t="s">
        <v>74</v>
      </c>
      <c r="P810" t="s">
        <v>74</v>
      </c>
      <c r="Q810" t="s">
        <v>74</v>
      </c>
      <c r="R810" t="s">
        <v>74</v>
      </c>
      <c r="S810" t="s">
        <v>74</v>
      </c>
      <c r="T810" t="s">
        <v>74</v>
      </c>
      <c r="U810" t="s">
        <v>15164</v>
      </c>
      <c r="V810" t="s">
        <v>15165</v>
      </c>
      <c r="W810" t="s">
        <v>15166</v>
      </c>
      <c r="X810" t="s">
        <v>15167</v>
      </c>
      <c r="Y810" t="s">
        <v>15168</v>
      </c>
      <c r="Z810" t="s">
        <v>15169</v>
      </c>
      <c r="AA810" t="s">
        <v>15170</v>
      </c>
      <c r="AB810" t="s">
        <v>15171</v>
      </c>
      <c r="AC810" t="s">
        <v>15172</v>
      </c>
      <c r="AD810" t="s">
        <v>15173</v>
      </c>
      <c r="AE810" t="s">
        <v>15174</v>
      </c>
      <c r="AF810" t="s">
        <v>74</v>
      </c>
      <c r="AG810">
        <v>37</v>
      </c>
      <c r="AH810">
        <v>51</v>
      </c>
      <c r="AI810">
        <v>54</v>
      </c>
      <c r="AJ810">
        <v>2</v>
      </c>
      <c r="AK810">
        <v>60</v>
      </c>
      <c r="AL810" t="s">
        <v>7256</v>
      </c>
      <c r="AM810" t="s">
        <v>289</v>
      </c>
      <c r="AN810" t="s">
        <v>10589</v>
      </c>
      <c r="AO810" t="s">
        <v>10590</v>
      </c>
      <c r="AP810" t="s">
        <v>10591</v>
      </c>
      <c r="AQ810" t="s">
        <v>74</v>
      </c>
      <c r="AR810" t="s">
        <v>10592</v>
      </c>
      <c r="AS810" t="s">
        <v>10593</v>
      </c>
      <c r="AT810" t="s">
        <v>12574</v>
      </c>
      <c r="AU810">
        <v>2015</v>
      </c>
      <c r="AV810">
        <v>8</v>
      </c>
      <c r="AW810">
        <v>12</v>
      </c>
      <c r="AX810" t="s">
        <v>74</v>
      </c>
      <c r="AY810" t="s">
        <v>74</v>
      </c>
      <c r="AZ810" t="s">
        <v>74</v>
      </c>
      <c r="BA810" t="s">
        <v>74</v>
      </c>
      <c r="BB810">
        <v>950</v>
      </c>
      <c r="BC810" t="s">
        <v>15175</v>
      </c>
      <c r="BD810" t="s">
        <v>74</v>
      </c>
      <c r="BE810" t="s">
        <v>15176</v>
      </c>
      <c r="BF810" t="str">
        <f>HYPERLINK("http://dx.doi.org/10.1038/NGEO2558","http://dx.doi.org/10.1038/NGEO2558")</f>
        <v>http://dx.doi.org/10.1038/NGEO2558</v>
      </c>
      <c r="BG810" t="s">
        <v>74</v>
      </c>
      <c r="BH810" t="s">
        <v>74</v>
      </c>
      <c r="BI810">
        <v>6</v>
      </c>
      <c r="BJ810" t="s">
        <v>95</v>
      </c>
      <c r="BK810" t="s">
        <v>264</v>
      </c>
      <c r="BL810" t="s">
        <v>97</v>
      </c>
      <c r="BM810" t="s">
        <v>15142</v>
      </c>
      <c r="BN810" t="s">
        <v>74</v>
      </c>
      <c r="BO810" t="s">
        <v>74</v>
      </c>
      <c r="BP810" t="s">
        <v>74</v>
      </c>
      <c r="BQ810" t="s">
        <v>74</v>
      </c>
      <c r="BR810" t="s">
        <v>100</v>
      </c>
      <c r="BS810" t="s">
        <v>15177</v>
      </c>
      <c r="BT810" t="str">
        <f>HYPERLINK("https%3A%2F%2Fwww.webofscience.com%2Fwos%2Fwoscc%2Ffull-record%2FWOS:000367200200019","View Full Record in Web of Science")</f>
        <v>View Full Record in Web of Science</v>
      </c>
    </row>
    <row r="811" spans="1:72" x14ac:dyDescent="0.15">
      <c r="A811" t="s">
        <v>72</v>
      </c>
      <c r="B811" t="s">
        <v>15178</v>
      </c>
      <c r="C811" t="s">
        <v>74</v>
      </c>
      <c r="D811" t="s">
        <v>74</v>
      </c>
      <c r="E811" t="s">
        <v>74</v>
      </c>
      <c r="F811" t="s">
        <v>15179</v>
      </c>
      <c r="G811" t="s">
        <v>74</v>
      </c>
      <c r="H811" t="s">
        <v>74</v>
      </c>
      <c r="I811" t="s">
        <v>15180</v>
      </c>
      <c r="J811" t="s">
        <v>15181</v>
      </c>
      <c r="K811" t="s">
        <v>74</v>
      </c>
      <c r="L811" t="s">
        <v>74</v>
      </c>
      <c r="M811" t="s">
        <v>200</v>
      </c>
      <c r="N811" t="s">
        <v>79</v>
      </c>
      <c r="O811" t="s">
        <v>74</v>
      </c>
      <c r="P811" t="s">
        <v>74</v>
      </c>
      <c r="Q811" t="s">
        <v>74</v>
      </c>
      <c r="R811" t="s">
        <v>74</v>
      </c>
      <c r="S811" t="s">
        <v>74</v>
      </c>
      <c r="T811" t="s">
        <v>15182</v>
      </c>
      <c r="U811" t="s">
        <v>15183</v>
      </c>
      <c r="V811" t="s">
        <v>15184</v>
      </c>
      <c r="W811" t="s">
        <v>15185</v>
      </c>
      <c r="X811" t="s">
        <v>15186</v>
      </c>
      <c r="Y811" t="s">
        <v>15187</v>
      </c>
      <c r="Z811" t="s">
        <v>15188</v>
      </c>
      <c r="AA811" t="s">
        <v>15189</v>
      </c>
      <c r="AB811" t="s">
        <v>15190</v>
      </c>
      <c r="AC811" t="s">
        <v>15191</v>
      </c>
      <c r="AD811" t="s">
        <v>15192</v>
      </c>
      <c r="AE811" t="s">
        <v>15193</v>
      </c>
      <c r="AF811" t="s">
        <v>74</v>
      </c>
      <c r="AG811">
        <v>69</v>
      </c>
      <c r="AH811">
        <v>57</v>
      </c>
      <c r="AI811">
        <v>62</v>
      </c>
      <c r="AJ811">
        <v>3</v>
      </c>
      <c r="AK811">
        <v>79</v>
      </c>
      <c r="AL811" t="s">
        <v>3560</v>
      </c>
      <c r="AM811" t="s">
        <v>289</v>
      </c>
      <c r="AN811" t="s">
        <v>6124</v>
      </c>
      <c r="AO811" t="s">
        <v>15194</v>
      </c>
      <c r="AP811" t="s">
        <v>15195</v>
      </c>
      <c r="AQ811" t="s">
        <v>74</v>
      </c>
      <c r="AR811" t="s">
        <v>15181</v>
      </c>
      <c r="AS811" t="s">
        <v>15196</v>
      </c>
      <c r="AT811" t="s">
        <v>12574</v>
      </c>
      <c r="AU811">
        <v>2015</v>
      </c>
      <c r="AV811">
        <v>179</v>
      </c>
      <c r="AW811">
        <v>4</v>
      </c>
      <c r="AX811" t="s">
        <v>74</v>
      </c>
      <c r="AY811" t="s">
        <v>74</v>
      </c>
      <c r="AZ811" t="s">
        <v>74</v>
      </c>
      <c r="BA811" t="s">
        <v>74</v>
      </c>
      <c r="BB811">
        <v>1053</v>
      </c>
      <c r="BC811">
        <v>1065</v>
      </c>
      <c r="BD811" t="s">
        <v>74</v>
      </c>
      <c r="BE811" t="s">
        <v>15197</v>
      </c>
      <c r="BF811" t="str">
        <f>HYPERLINK("http://dx.doi.org/10.1007/s00442-015-3421-4","http://dx.doi.org/10.1007/s00442-015-3421-4")</f>
        <v>http://dx.doi.org/10.1007/s00442-015-3421-4</v>
      </c>
      <c r="BG811" t="s">
        <v>74</v>
      </c>
      <c r="BH811" t="s">
        <v>74</v>
      </c>
      <c r="BI811">
        <v>13</v>
      </c>
      <c r="BJ811" t="s">
        <v>5445</v>
      </c>
      <c r="BK811" t="s">
        <v>264</v>
      </c>
      <c r="BL811" t="s">
        <v>2887</v>
      </c>
      <c r="BM811" t="s">
        <v>15198</v>
      </c>
      <c r="BN811">
        <v>26323982</v>
      </c>
      <c r="BO811" t="s">
        <v>74</v>
      </c>
      <c r="BP811" t="s">
        <v>74</v>
      </c>
      <c r="BQ811" t="s">
        <v>74</v>
      </c>
      <c r="BR811" t="s">
        <v>100</v>
      </c>
      <c r="BS811" t="s">
        <v>15199</v>
      </c>
      <c r="BT811" t="str">
        <f>HYPERLINK("https%3A%2F%2Fwww.webofscience.com%2Fwos%2Fwoscc%2Ffull-record%2FWOS:000364226900012","View Full Record in Web of Science")</f>
        <v>View Full Record in Web of Science</v>
      </c>
    </row>
    <row r="812" spans="1:72" x14ac:dyDescent="0.15">
      <c r="A812" t="s">
        <v>72</v>
      </c>
      <c r="B812" t="s">
        <v>15200</v>
      </c>
      <c r="C812" t="s">
        <v>74</v>
      </c>
      <c r="D812" t="s">
        <v>74</v>
      </c>
      <c r="E812" t="s">
        <v>74</v>
      </c>
      <c r="F812" t="s">
        <v>15201</v>
      </c>
      <c r="G812" t="s">
        <v>74</v>
      </c>
      <c r="H812" t="s">
        <v>74</v>
      </c>
      <c r="I812" t="s">
        <v>15202</v>
      </c>
      <c r="J812" t="s">
        <v>15203</v>
      </c>
      <c r="K812" t="s">
        <v>74</v>
      </c>
      <c r="L812" t="s">
        <v>74</v>
      </c>
      <c r="M812" t="s">
        <v>200</v>
      </c>
      <c r="N812" t="s">
        <v>79</v>
      </c>
      <c r="O812" t="s">
        <v>74</v>
      </c>
      <c r="P812" t="s">
        <v>74</v>
      </c>
      <c r="Q812" t="s">
        <v>74</v>
      </c>
      <c r="R812" t="s">
        <v>74</v>
      </c>
      <c r="S812" t="s">
        <v>74</v>
      </c>
      <c r="T812" t="s">
        <v>15204</v>
      </c>
      <c r="U812" t="s">
        <v>15205</v>
      </c>
      <c r="V812" t="s">
        <v>15206</v>
      </c>
      <c r="W812" t="s">
        <v>15207</v>
      </c>
      <c r="X812" t="s">
        <v>15208</v>
      </c>
      <c r="Y812" t="s">
        <v>15209</v>
      </c>
      <c r="Z812" t="s">
        <v>15210</v>
      </c>
      <c r="AA812" t="s">
        <v>15211</v>
      </c>
      <c r="AB812" t="s">
        <v>15212</v>
      </c>
      <c r="AC812" t="s">
        <v>15213</v>
      </c>
      <c r="AD812" t="s">
        <v>15214</v>
      </c>
      <c r="AE812" t="s">
        <v>15215</v>
      </c>
      <c r="AF812" t="s">
        <v>74</v>
      </c>
      <c r="AG812">
        <v>54</v>
      </c>
      <c r="AH812">
        <v>26</v>
      </c>
      <c r="AI812">
        <v>27</v>
      </c>
      <c r="AJ812">
        <v>0</v>
      </c>
      <c r="AK812">
        <v>50</v>
      </c>
      <c r="AL812" t="s">
        <v>6373</v>
      </c>
      <c r="AM812" t="s">
        <v>6374</v>
      </c>
      <c r="AN812" t="s">
        <v>6375</v>
      </c>
      <c r="AO812" t="s">
        <v>15216</v>
      </c>
      <c r="AP812" t="s">
        <v>15217</v>
      </c>
      <c r="AQ812" t="s">
        <v>74</v>
      </c>
      <c r="AR812" t="s">
        <v>15218</v>
      </c>
      <c r="AS812" t="s">
        <v>15219</v>
      </c>
      <c r="AT812" t="s">
        <v>12574</v>
      </c>
      <c r="AU812">
        <v>2015</v>
      </c>
      <c r="AV812">
        <v>15</v>
      </c>
      <c r="AW812">
        <v>4</v>
      </c>
      <c r="AX812" t="s">
        <v>74</v>
      </c>
      <c r="AY812" t="s">
        <v>74</v>
      </c>
      <c r="AZ812" t="s">
        <v>74</v>
      </c>
      <c r="BA812" t="s">
        <v>74</v>
      </c>
      <c r="BB812">
        <v>663</v>
      </c>
      <c r="BC812">
        <v>670</v>
      </c>
      <c r="BD812" t="s">
        <v>74</v>
      </c>
      <c r="BE812" t="s">
        <v>15220</v>
      </c>
      <c r="BF812" t="str">
        <f>HYPERLINK("http://dx.doi.org/10.1007/s13127-015-0224-8","http://dx.doi.org/10.1007/s13127-015-0224-8")</f>
        <v>http://dx.doi.org/10.1007/s13127-015-0224-8</v>
      </c>
      <c r="BG812" t="s">
        <v>74</v>
      </c>
      <c r="BH812" t="s">
        <v>74</v>
      </c>
      <c r="BI812">
        <v>8</v>
      </c>
      <c r="BJ812" t="s">
        <v>3909</v>
      </c>
      <c r="BK812" t="s">
        <v>264</v>
      </c>
      <c r="BL812" t="s">
        <v>3909</v>
      </c>
      <c r="BM812" t="s">
        <v>15221</v>
      </c>
      <c r="BN812" t="s">
        <v>74</v>
      </c>
      <c r="BO812" t="s">
        <v>74</v>
      </c>
      <c r="BP812" t="s">
        <v>74</v>
      </c>
      <c r="BQ812" t="s">
        <v>74</v>
      </c>
      <c r="BR812" t="s">
        <v>100</v>
      </c>
      <c r="BS812" t="s">
        <v>15222</v>
      </c>
      <c r="BT812" t="str">
        <f>HYPERLINK("https%3A%2F%2Fwww.webofscience.com%2Fwos%2Fwoscc%2Ffull-record%2FWOS:000365753500003","View Full Record in Web of Science")</f>
        <v>View Full Record in Web of Science</v>
      </c>
    </row>
    <row r="813" spans="1:72" x14ac:dyDescent="0.15">
      <c r="A813" t="s">
        <v>72</v>
      </c>
      <c r="B813" t="s">
        <v>15223</v>
      </c>
      <c r="C813" t="s">
        <v>74</v>
      </c>
      <c r="D813" t="s">
        <v>74</v>
      </c>
      <c r="E813" t="s">
        <v>74</v>
      </c>
      <c r="F813" t="s">
        <v>15224</v>
      </c>
      <c r="G813" t="s">
        <v>74</v>
      </c>
      <c r="H813" t="s">
        <v>74</v>
      </c>
      <c r="I813" t="s">
        <v>15225</v>
      </c>
      <c r="J813" t="s">
        <v>6454</v>
      </c>
      <c r="K813" t="s">
        <v>74</v>
      </c>
      <c r="L813" t="s">
        <v>74</v>
      </c>
      <c r="M813" t="s">
        <v>200</v>
      </c>
      <c r="N813" t="s">
        <v>79</v>
      </c>
      <c r="O813" t="s">
        <v>74</v>
      </c>
      <c r="P813" t="s">
        <v>74</v>
      </c>
      <c r="Q813" t="s">
        <v>74</v>
      </c>
      <c r="R813" t="s">
        <v>74</v>
      </c>
      <c r="S813" t="s">
        <v>74</v>
      </c>
      <c r="T813" t="s">
        <v>15226</v>
      </c>
      <c r="U813" t="s">
        <v>15227</v>
      </c>
      <c r="V813" t="s">
        <v>15228</v>
      </c>
      <c r="W813" t="s">
        <v>15229</v>
      </c>
      <c r="X813" t="s">
        <v>15230</v>
      </c>
      <c r="Y813" t="s">
        <v>15231</v>
      </c>
      <c r="Z813" t="s">
        <v>15232</v>
      </c>
      <c r="AA813" t="s">
        <v>15233</v>
      </c>
      <c r="AB813" t="s">
        <v>15234</v>
      </c>
      <c r="AC813" t="s">
        <v>15235</v>
      </c>
      <c r="AD813" t="s">
        <v>15236</v>
      </c>
      <c r="AE813" t="s">
        <v>15237</v>
      </c>
      <c r="AF813" t="s">
        <v>74</v>
      </c>
      <c r="AG813">
        <v>62</v>
      </c>
      <c r="AH813">
        <v>26</v>
      </c>
      <c r="AI813">
        <v>27</v>
      </c>
      <c r="AJ813">
        <v>2</v>
      </c>
      <c r="AK813">
        <v>44</v>
      </c>
      <c r="AL813" t="s">
        <v>3560</v>
      </c>
      <c r="AM813" t="s">
        <v>289</v>
      </c>
      <c r="AN813" t="s">
        <v>5440</v>
      </c>
      <c r="AO813" t="s">
        <v>6470</v>
      </c>
      <c r="AP813" t="s">
        <v>6471</v>
      </c>
      <c r="AQ813" t="s">
        <v>74</v>
      </c>
      <c r="AR813" t="s">
        <v>6472</v>
      </c>
      <c r="AS813" t="s">
        <v>6473</v>
      </c>
      <c r="AT813" t="s">
        <v>12574</v>
      </c>
      <c r="AU813">
        <v>2015</v>
      </c>
      <c r="AV813">
        <v>38</v>
      </c>
      <c r="AW813">
        <v>12</v>
      </c>
      <c r="AX813" t="s">
        <v>74</v>
      </c>
      <c r="AY813" t="s">
        <v>74</v>
      </c>
      <c r="AZ813" t="s">
        <v>74</v>
      </c>
      <c r="BA813" t="s">
        <v>74</v>
      </c>
      <c r="BB813">
        <v>2069</v>
      </c>
      <c r="BC813">
        <v>2083</v>
      </c>
      <c r="BD813" t="s">
        <v>74</v>
      </c>
      <c r="BE813" t="s">
        <v>15238</v>
      </c>
      <c r="BF813" t="str">
        <f>HYPERLINK("http://dx.doi.org/10.1007/s00300-015-1767-z","http://dx.doi.org/10.1007/s00300-015-1767-z")</f>
        <v>http://dx.doi.org/10.1007/s00300-015-1767-z</v>
      </c>
      <c r="BG813" t="s">
        <v>74</v>
      </c>
      <c r="BH813" t="s">
        <v>74</v>
      </c>
      <c r="BI813">
        <v>15</v>
      </c>
      <c r="BJ813" t="s">
        <v>6475</v>
      </c>
      <c r="BK813" t="s">
        <v>264</v>
      </c>
      <c r="BL813" t="s">
        <v>6476</v>
      </c>
      <c r="BM813" t="s">
        <v>13812</v>
      </c>
      <c r="BN813" t="s">
        <v>74</v>
      </c>
      <c r="BO813" t="s">
        <v>6737</v>
      </c>
      <c r="BP813" t="s">
        <v>74</v>
      </c>
      <c r="BQ813" t="s">
        <v>74</v>
      </c>
      <c r="BR813" t="s">
        <v>100</v>
      </c>
      <c r="BS813" t="s">
        <v>15239</v>
      </c>
      <c r="BT813" t="str">
        <f>HYPERLINK("https%3A%2F%2Fwww.webofscience.com%2Fwos%2Fwoscc%2Ffull-record%2FWOS:000365791300010","View Full Record in Web of Science")</f>
        <v>View Full Record in Web of Science</v>
      </c>
    </row>
    <row r="814" spans="1:72" x14ac:dyDescent="0.15">
      <c r="A814" t="s">
        <v>72</v>
      </c>
      <c r="B814" t="s">
        <v>15240</v>
      </c>
      <c r="C814" t="s">
        <v>74</v>
      </c>
      <c r="D814" t="s">
        <v>74</v>
      </c>
      <c r="E814" t="s">
        <v>74</v>
      </c>
      <c r="F814" t="s">
        <v>15241</v>
      </c>
      <c r="G814" t="s">
        <v>74</v>
      </c>
      <c r="H814" t="s">
        <v>74</v>
      </c>
      <c r="I814" t="s">
        <v>15242</v>
      </c>
      <c r="J814" t="s">
        <v>13894</v>
      </c>
      <c r="K814" t="s">
        <v>74</v>
      </c>
      <c r="L814" t="s">
        <v>74</v>
      </c>
      <c r="M814" t="s">
        <v>200</v>
      </c>
      <c r="N814" t="s">
        <v>8638</v>
      </c>
      <c r="O814" t="s">
        <v>74</v>
      </c>
      <c r="P814" t="s">
        <v>74</v>
      </c>
      <c r="Q814" t="s">
        <v>74</v>
      </c>
      <c r="R814" t="s">
        <v>74</v>
      </c>
      <c r="S814" t="s">
        <v>74</v>
      </c>
      <c r="T814" t="s">
        <v>15243</v>
      </c>
      <c r="U814" t="s">
        <v>15244</v>
      </c>
      <c r="V814" t="s">
        <v>15245</v>
      </c>
      <c r="W814" t="s">
        <v>15246</v>
      </c>
      <c r="X814" t="s">
        <v>15247</v>
      </c>
      <c r="Y814" t="s">
        <v>15248</v>
      </c>
      <c r="Z814" t="s">
        <v>15249</v>
      </c>
      <c r="AA814" t="s">
        <v>15250</v>
      </c>
      <c r="AB814" t="s">
        <v>15251</v>
      </c>
      <c r="AC814" t="s">
        <v>74</v>
      </c>
      <c r="AD814" t="s">
        <v>74</v>
      </c>
      <c r="AE814" t="s">
        <v>74</v>
      </c>
      <c r="AF814" t="s">
        <v>74</v>
      </c>
      <c r="AG814">
        <v>9</v>
      </c>
      <c r="AH814">
        <v>0</v>
      </c>
      <c r="AI814">
        <v>1</v>
      </c>
      <c r="AJ814">
        <v>1</v>
      </c>
      <c r="AK814">
        <v>9</v>
      </c>
      <c r="AL814" t="s">
        <v>7137</v>
      </c>
      <c r="AM814" t="s">
        <v>209</v>
      </c>
      <c r="AN814" t="s">
        <v>7138</v>
      </c>
      <c r="AO814" t="s">
        <v>13902</v>
      </c>
      <c r="AP814" t="s">
        <v>13903</v>
      </c>
      <c r="AQ814" t="s">
        <v>74</v>
      </c>
      <c r="AR814" t="s">
        <v>13904</v>
      </c>
      <c r="AS814" t="s">
        <v>13905</v>
      </c>
      <c r="AT814" t="s">
        <v>12574</v>
      </c>
      <c r="AU814">
        <v>2015</v>
      </c>
      <c r="AV814">
        <v>9</v>
      </c>
      <c r="AW814">
        <v>4</v>
      </c>
      <c r="AX814" t="s">
        <v>74</v>
      </c>
      <c r="AY814" t="s">
        <v>74</v>
      </c>
      <c r="AZ814" t="s">
        <v>2540</v>
      </c>
      <c r="BA814" t="s">
        <v>74</v>
      </c>
      <c r="BB814">
        <v>335</v>
      </c>
      <c r="BC814">
        <v>337</v>
      </c>
      <c r="BD814" t="s">
        <v>74</v>
      </c>
      <c r="BE814" t="s">
        <v>15252</v>
      </c>
      <c r="BF814" t="str">
        <f>HYPERLINK("http://dx.doi.org/10.1016/j.polar.2015.10.005","http://dx.doi.org/10.1016/j.polar.2015.10.005")</f>
        <v>http://dx.doi.org/10.1016/j.polar.2015.10.005</v>
      </c>
      <c r="BG814" t="s">
        <v>74</v>
      </c>
      <c r="BH814" t="s">
        <v>74</v>
      </c>
      <c r="BI814">
        <v>3</v>
      </c>
      <c r="BJ814" t="s">
        <v>2839</v>
      </c>
      <c r="BK814" t="s">
        <v>264</v>
      </c>
      <c r="BL814" t="s">
        <v>2840</v>
      </c>
      <c r="BM814" t="s">
        <v>13907</v>
      </c>
      <c r="BN814" t="s">
        <v>74</v>
      </c>
      <c r="BO814" t="s">
        <v>5581</v>
      </c>
      <c r="BP814" t="s">
        <v>74</v>
      </c>
      <c r="BQ814" t="s">
        <v>74</v>
      </c>
      <c r="BR814" t="s">
        <v>100</v>
      </c>
      <c r="BS814" t="s">
        <v>15253</v>
      </c>
      <c r="BT814" t="str">
        <f>HYPERLINK("https%3A%2F%2Fwww.webofscience.com%2Fwos%2Fwoscc%2Ffull-record%2FWOS:000365384900001","View Full Record in Web of Science")</f>
        <v>View Full Record in Web of Science</v>
      </c>
    </row>
    <row r="815" spans="1:72" x14ac:dyDescent="0.15">
      <c r="A815" t="s">
        <v>72</v>
      </c>
      <c r="B815" t="s">
        <v>15254</v>
      </c>
      <c r="C815" t="s">
        <v>74</v>
      </c>
      <c r="D815" t="s">
        <v>74</v>
      </c>
      <c r="E815" t="s">
        <v>74</v>
      </c>
      <c r="F815" t="s">
        <v>15255</v>
      </c>
      <c r="G815" t="s">
        <v>74</v>
      </c>
      <c r="H815" t="s">
        <v>74</v>
      </c>
      <c r="I815" t="s">
        <v>15256</v>
      </c>
      <c r="J815" t="s">
        <v>13894</v>
      </c>
      <c r="K815" t="s">
        <v>74</v>
      </c>
      <c r="L815" t="s">
        <v>74</v>
      </c>
      <c r="M815" t="s">
        <v>200</v>
      </c>
      <c r="N815" t="s">
        <v>79</v>
      </c>
      <c r="O815" t="s">
        <v>74</v>
      </c>
      <c r="P815" t="s">
        <v>74</v>
      </c>
      <c r="Q815" t="s">
        <v>74</v>
      </c>
      <c r="R815" t="s">
        <v>74</v>
      </c>
      <c r="S815" t="s">
        <v>74</v>
      </c>
      <c r="T815" t="s">
        <v>15257</v>
      </c>
      <c r="U815" t="s">
        <v>15258</v>
      </c>
      <c r="V815" t="s">
        <v>15259</v>
      </c>
      <c r="W815" t="s">
        <v>15260</v>
      </c>
      <c r="X815" t="s">
        <v>15261</v>
      </c>
      <c r="Y815" t="s">
        <v>15262</v>
      </c>
      <c r="Z815" t="s">
        <v>15263</v>
      </c>
      <c r="AA815" t="s">
        <v>15264</v>
      </c>
      <c r="AB815" t="s">
        <v>15265</v>
      </c>
      <c r="AC815" t="s">
        <v>15266</v>
      </c>
      <c r="AD815" t="s">
        <v>4959</v>
      </c>
      <c r="AE815" t="s">
        <v>15267</v>
      </c>
      <c r="AF815" t="s">
        <v>74</v>
      </c>
      <c r="AG815">
        <v>43</v>
      </c>
      <c r="AH815">
        <v>5</v>
      </c>
      <c r="AI815">
        <v>5</v>
      </c>
      <c r="AJ815">
        <v>0</v>
      </c>
      <c r="AK815">
        <v>12</v>
      </c>
      <c r="AL815" t="s">
        <v>7137</v>
      </c>
      <c r="AM815" t="s">
        <v>209</v>
      </c>
      <c r="AN815" t="s">
        <v>7138</v>
      </c>
      <c r="AO815" t="s">
        <v>13902</v>
      </c>
      <c r="AP815" t="s">
        <v>13903</v>
      </c>
      <c r="AQ815" t="s">
        <v>74</v>
      </c>
      <c r="AR815" t="s">
        <v>13904</v>
      </c>
      <c r="AS815" t="s">
        <v>13905</v>
      </c>
      <c r="AT815" t="s">
        <v>12574</v>
      </c>
      <c r="AU815">
        <v>2015</v>
      </c>
      <c r="AV815">
        <v>9</v>
      </c>
      <c r="AW815">
        <v>4</v>
      </c>
      <c r="AX815" t="s">
        <v>74</v>
      </c>
      <c r="AY815" t="s">
        <v>74</v>
      </c>
      <c r="AZ815" t="s">
        <v>2540</v>
      </c>
      <c r="BA815" t="s">
        <v>74</v>
      </c>
      <c r="BB815">
        <v>345</v>
      </c>
      <c r="BC815">
        <v>353</v>
      </c>
      <c r="BD815" t="s">
        <v>74</v>
      </c>
      <c r="BE815" t="s">
        <v>15268</v>
      </c>
      <c r="BF815" t="str">
        <f>HYPERLINK("http://dx.doi.org/10.1016/j.polar.2015.08.003","http://dx.doi.org/10.1016/j.polar.2015.08.003")</f>
        <v>http://dx.doi.org/10.1016/j.polar.2015.08.003</v>
      </c>
      <c r="BG815" t="s">
        <v>74</v>
      </c>
      <c r="BH815" t="s">
        <v>74</v>
      </c>
      <c r="BI815">
        <v>9</v>
      </c>
      <c r="BJ815" t="s">
        <v>2839</v>
      </c>
      <c r="BK815" t="s">
        <v>264</v>
      </c>
      <c r="BL815" t="s">
        <v>2840</v>
      </c>
      <c r="BM815" t="s">
        <v>13907</v>
      </c>
      <c r="BN815" t="s">
        <v>74</v>
      </c>
      <c r="BO815" t="s">
        <v>5581</v>
      </c>
      <c r="BP815" t="s">
        <v>74</v>
      </c>
      <c r="BQ815" t="s">
        <v>74</v>
      </c>
      <c r="BR815" t="s">
        <v>100</v>
      </c>
      <c r="BS815" t="s">
        <v>15269</v>
      </c>
      <c r="BT815" t="str">
        <f>HYPERLINK("https%3A%2F%2Fwww.webofscience.com%2Fwos%2Fwoscc%2Ffull-record%2FWOS:000365384900003","View Full Record in Web of Science")</f>
        <v>View Full Record in Web of Science</v>
      </c>
    </row>
    <row r="816" spans="1:72" x14ac:dyDescent="0.15">
      <c r="A816" t="s">
        <v>72</v>
      </c>
      <c r="B816" t="s">
        <v>15270</v>
      </c>
      <c r="C816" t="s">
        <v>74</v>
      </c>
      <c r="D816" t="s">
        <v>74</v>
      </c>
      <c r="E816" t="s">
        <v>74</v>
      </c>
      <c r="F816" t="s">
        <v>15271</v>
      </c>
      <c r="G816" t="s">
        <v>74</v>
      </c>
      <c r="H816" t="s">
        <v>74</v>
      </c>
      <c r="I816" t="s">
        <v>15272</v>
      </c>
      <c r="J816" t="s">
        <v>13894</v>
      </c>
      <c r="K816" t="s">
        <v>74</v>
      </c>
      <c r="L816" t="s">
        <v>74</v>
      </c>
      <c r="M816" t="s">
        <v>200</v>
      </c>
      <c r="N816" t="s">
        <v>79</v>
      </c>
      <c r="O816" t="s">
        <v>74</v>
      </c>
      <c r="P816" t="s">
        <v>74</v>
      </c>
      <c r="Q816" t="s">
        <v>74</v>
      </c>
      <c r="R816" t="s">
        <v>74</v>
      </c>
      <c r="S816" t="s">
        <v>74</v>
      </c>
      <c r="T816" t="s">
        <v>15273</v>
      </c>
      <c r="U816" t="s">
        <v>15274</v>
      </c>
      <c r="V816" t="s">
        <v>15275</v>
      </c>
      <c r="W816" t="s">
        <v>15276</v>
      </c>
      <c r="X816" t="s">
        <v>15277</v>
      </c>
      <c r="Y816" t="s">
        <v>15278</v>
      </c>
      <c r="Z816" t="s">
        <v>15279</v>
      </c>
      <c r="AA816" t="s">
        <v>15280</v>
      </c>
      <c r="AB816" t="s">
        <v>15281</v>
      </c>
      <c r="AC816" t="s">
        <v>74</v>
      </c>
      <c r="AD816" t="s">
        <v>74</v>
      </c>
      <c r="AE816" t="s">
        <v>74</v>
      </c>
      <c r="AF816" t="s">
        <v>74</v>
      </c>
      <c r="AG816">
        <v>77</v>
      </c>
      <c r="AH816">
        <v>21</v>
      </c>
      <c r="AI816">
        <v>24</v>
      </c>
      <c r="AJ816">
        <v>1</v>
      </c>
      <c r="AK816">
        <v>26</v>
      </c>
      <c r="AL816" t="s">
        <v>7137</v>
      </c>
      <c r="AM816" t="s">
        <v>209</v>
      </c>
      <c r="AN816" t="s">
        <v>7138</v>
      </c>
      <c r="AO816" t="s">
        <v>13902</v>
      </c>
      <c r="AP816" t="s">
        <v>13903</v>
      </c>
      <c r="AQ816" t="s">
        <v>74</v>
      </c>
      <c r="AR816" t="s">
        <v>13904</v>
      </c>
      <c r="AS816" t="s">
        <v>13905</v>
      </c>
      <c r="AT816" t="s">
        <v>12574</v>
      </c>
      <c r="AU816">
        <v>2015</v>
      </c>
      <c r="AV816">
        <v>9</v>
      </c>
      <c r="AW816">
        <v>4</v>
      </c>
      <c r="AX816" t="s">
        <v>74</v>
      </c>
      <c r="AY816" t="s">
        <v>74</v>
      </c>
      <c r="AZ816" t="s">
        <v>2540</v>
      </c>
      <c r="BA816" t="s">
        <v>74</v>
      </c>
      <c r="BB816">
        <v>359</v>
      </c>
      <c r="BC816">
        <v>367</v>
      </c>
      <c r="BD816" t="s">
        <v>74</v>
      </c>
      <c r="BE816" t="s">
        <v>15282</v>
      </c>
      <c r="BF816" t="str">
        <f>HYPERLINK("http://dx.doi.org/10.1016/j.polar.2015.09.004","http://dx.doi.org/10.1016/j.polar.2015.09.004")</f>
        <v>http://dx.doi.org/10.1016/j.polar.2015.09.004</v>
      </c>
      <c r="BG816" t="s">
        <v>74</v>
      </c>
      <c r="BH816" t="s">
        <v>74</v>
      </c>
      <c r="BI816">
        <v>9</v>
      </c>
      <c r="BJ816" t="s">
        <v>2839</v>
      </c>
      <c r="BK816" t="s">
        <v>264</v>
      </c>
      <c r="BL816" t="s">
        <v>2840</v>
      </c>
      <c r="BM816" t="s">
        <v>13907</v>
      </c>
      <c r="BN816" t="s">
        <v>74</v>
      </c>
      <c r="BO816" t="s">
        <v>5581</v>
      </c>
      <c r="BP816" t="s">
        <v>74</v>
      </c>
      <c r="BQ816" t="s">
        <v>74</v>
      </c>
      <c r="BR816" t="s">
        <v>100</v>
      </c>
      <c r="BS816" t="s">
        <v>15283</v>
      </c>
      <c r="BT816" t="str">
        <f>HYPERLINK("https%3A%2F%2Fwww.webofscience.com%2Fwos%2Fwoscc%2Ffull-record%2FWOS:000365384900005","View Full Record in Web of Science")</f>
        <v>View Full Record in Web of Science</v>
      </c>
    </row>
    <row r="817" spans="1:72" x14ac:dyDescent="0.15">
      <c r="A817" t="s">
        <v>72</v>
      </c>
      <c r="B817" t="s">
        <v>15284</v>
      </c>
      <c r="C817" t="s">
        <v>74</v>
      </c>
      <c r="D817" t="s">
        <v>74</v>
      </c>
      <c r="E817" t="s">
        <v>74</v>
      </c>
      <c r="F817" t="s">
        <v>15285</v>
      </c>
      <c r="G817" t="s">
        <v>74</v>
      </c>
      <c r="H817" t="s">
        <v>74</v>
      </c>
      <c r="I817" t="s">
        <v>15286</v>
      </c>
      <c r="J817" t="s">
        <v>13894</v>
      </c>
      <c r="K817" t="s">
        <v>74</v>
      </c>
      <c r="L817" t="s">
        <v>74</v>
      </c>
      <c r="M817" t="s">
        <v>200</v>
      </c>
      <c r="N817" t="s">
        <v>79</v>
      </c>
      <c r="O817" t="s">
        <v>74</v>
      </c>
      <c r="P817" t="s">
        <v>74</v>
      </c>
      <c r="Q817" t="s">
        <v>74</v>
      </c>
      <c r="R817" t="s">
        <v>74</v>
      </c>
      <c r="S817" t="s">
        <v>74</v>
      </c>
      <c r="T817" t="s">
        <v>15287</v>
      </c>
      <c r="U817" t="s">
        <v>15288</v>
      </c>
      <c r="V817" t="s">
        <v>15289</v>
      </c>
      <c r="W817" t="s">
        <v>15290</v>
      </c>
      <c r="X817" t="s">
        <v>15291</v>
      </c>
      <c r="Y817" t="s">
        <v>15292</v>
      </c>
      <c r="Z817" t="s">
        <v>15293</v>
      </c>
      <c r="AA817" t="s">
        <v>7678</v>
      </c>
      <c r="AB817" t="s">
        <v>15294</v>
      </c>
      <c r="AC817" t="s">
        <v>74</v>
      </c>
      <c r="AD817" t="s">
        <v>74</v>
      </c>
      <c r="AE817" t="s">
        <v>74</v>
      </c>
      <c r="AF817" t="s">
        <v>74</v>
      </c>
      <c r="AG817">
        <v>17</v>
      </c>
      <c r="AH817">
        <v>11</v>
      </c>
      <c r="AI817">
        <v>12</v>
      </c>
      <c r="AJ817">
        <v>0</v>
      </c>
      <c r="AK817">
        <v>20</v>
      </c>
      <c r="AL817" t="s">
        <v>7137</v>
      </c>
      <c r="AM817" t="s">
        <v>209</v>
      </c>
      <c r="AN817" t="s">
        <v>7138</v>
      </c>
      <c r="AO817" t="s">
        <v>13902</v>
      </c>
      <c r="AP817" t="s">
        <v>13903</v>
      </c>
      <c r="AQ817" t="s">
        <v>74</v>
      </c>
      <c r="AR817" t="s">
        <v>13904</v>
      </c>
      <c r="AS817" t="s">
        <v>13905</v>
      </c>
      <c r="AT817" t="s">
        <v>12574</v>
      </c>
      <c r="AU817">
        <v>2015</v>
      </c>
      <c r="AV817">
        <v>9</v>
      </c>
      <c r="AW817">
        <v>4</v>
      </c>
      <c r="AX817" t="s">
        <v>74</v>
      </c>
      <c r="AY817" t="s">
        <v>74</v>
      </c>
      <c r="AZ817" t="s">
        <v>2540</v>
      </c>
      <c r="BA817" t="s">
        <v>74</v>
      </c>
      <c r="BB817">
        <v>382</v>
      </c>
      <c r="BC817">
        <v>388</v>
      </c>
      <c r="BD817" t="s">
        <v>74</v>
      </c>
      <c r="BE817" t="s">
        <v>15295</v>
      </c>
      <c r="BF817" t="str">
        <f>HYPERLINK("http://dx.doi.org/10.1016/j.polar.2015.10.002","http://dx.doi.org/10.1016/j.polar.2015.10.002")</f>
        <v>http://dx.doi.org/10.1016/j.polar.2015.10.002</v>
      </c>
      <c r="BG817" t="s">
        <v>74</v>
      </c>
      <c r="BH817" t="s">
        <v>74</v>
      </c>
      <c r="BI817">
        <v>7</v>
      </c>
      <c r="BJ817" t="s">
        <v>2839</v>
      </c>
      <c r="BK817" t="s">
        <v>264</v>
      </c>
      <c r="BL817" t="s">
        <v>2840</v>
      </c>
      <c r="BM817" t="s">
        <v>13907</v>
      </c>
      <c r="BN817" t="s">
        <v>74</v>
      </c>
      <c r="BO817" t="s">
        <v>5581</v>
      </c>
      <c r="BP817" t="s">
        <v>74</v>
      </c>
      <c r="BQ817" t="s">
        <v>74</v>
      </c>
      <c r="BR817" t="s">
        <v>100</v>
      </c>
      <c r="BS817" t="s">
        <v>15296</v>
      </c>
      <c r="BT817" t="str">
        <f>HYPERLINK("https%3A%2F%2Fwww.webofscience.com%2Fwos%2Fwoscc%2Ffull-record%2FWOS:000365384900008","View Full Record in Web of Science")</f>
        <v>View Full Record in Web of Science</v>
      </c>
    </row>
    <row r="818" spans="1:72" x14ac:dyDescent="0.15">
      <c r="A818" t="s">
        <v>72</v>
      </c>
      <c r="B818" t="s">
        <v>15297</v>
      </c>
      <c r="C818" t="s">
        <v>74</v>
      </c>
      <c r="D818" t="s">
        <v>74</v>
      </c>
      <c r="E818" t="s">
        <v>74</v>
      </c>
      <c r="F818" t="s">
        <v>15298</v>
      </c>
      <c r="G818" t="s">
        <v>74</v>
      </c>
      <c r="H818" t="s">
        <v>74</v>
      </c>
      <c r="I818" t="s">
        <v>15299</v>
      </c>
      <c r="J818" t="s">
        <v>13894</v>
      </c>
      <c r="K818" t="s">
        <v>74</v>
      </c>
      <c r="L818" t="s">
        <v>74</v>
      </c>
      <c r="M818" t="s">
        <v>200</v>
      </c>
      <c r="N818" t="s">
        <v>79</v>
      </c>
      <c r="O818" t="s">
        <v>74</v>
      </c>
      <c r="P818" t="s">
        <v>74</v>
      </c>
      <c r="Q818" t="s">
        <v>74</v>
      </c>
      <c r="R818" t="s">
        <v>74</v>
      </c>
      <c r="S818" t="s">
        <v>74</v>
      </c>
      <c r="T818" t="s">
        <v>15300</v>
      </c>
      <c r="U818" t="s">
        <v>15301</v>
      </c>
      <c r="V818" t="s">
        <v>15302</v>
      </c>
      <c r="W818" t="s">
        <v>15303</v>
      </c>
      <c r="X818" t="s">
        <v>15304</v>
      </c>
      <c r="Y818" t="s">
        <v>15305</v>
      </c>
      <c r="Z818" t="s">
        <v>15306</v>
      </c>
      <c r="AA818" t="s">
        <v>74</v>
      </c>
      <c r="AB818" t="s">
        <v>15307</v>
      </c>
      <c r="AC818" t="s">
        <v>15308</v>
      </c>
      <c r="AD818" t="s">
        <v>15309</v>
      </c>
      <c r="AE818" t="s">
        <v>15310</v>
      </c>
      <c r="AF818" t="s">
        <v>74</v>
      </c>
      <c r="AG818">
        <v>52</v>
      </c>
      <c r="AH818">
        <v>21</v>
      </c>
      <c r="AI818">
        <v>21</v>
      </c>
      <c r="AJ818">
        <v>1</v>
      </c>
      <c r="AK818">
        <v>31</v>
      </c>
      <c r="AL818" t="s">
        <v>7137</v>
      </c>
      <c r="AM818" t="s">
        <v>209</v>
      </c>
      <c r="AN818" t="s">
        <v>7138</v>
      </c>
      <c r="AO818" t="s">
        <v>13902</v>
      </c>
      <c r="AP818" t="s">
        <v>13903</v>
      </c>
      <c r="AQ818" t="s">
        <v>74</v>
      </c>
      <c r="AR818" t="s">
        <v>13904</v>
      </c>
      <c r="AS818" t="s">
        <v>13905</v>
      </c>
      <c r="AT818" t="s">
        <v>12574</v>
      </c>
      <c r="AU818">
        <v>2015</v>
      </c>
      <c r="AV818">
        <v>9</v>
      </c>
      <c r="AW818">
        <v>4</v>
      </c>
      <c r="AX818" t="s">
        <v>74</v>
      </c>
      <c r="AY818" t="s">
        <v>74</v>
      </c>
      <c r="AZ818" t="s">
        <v>2540</v>
      </c>
      <c r="BA818" t="s">
        <v>74</v>
      </c>
      <c r="BB818">
        <v>393</v>
      </c>
      <c r="BC818">
        <v>400</v>
      </c>
      <c r="BD818" t="s">
        <v>74</v>
      </c>
      <c r="BE818" t="s">
        <v>15311</v>
      </c>
      <c r="BF818" t="str">
        <f>HYPERLINK("http://dx.doi.org/10.1016/j.polar.2015.10.001","http://dx.doi.org/10.1016/j.polar.2015.10.001")</f>
        <v>http://dx.doi.org/10.1016/j.polar.2015.10.001</v>
      </c>
      <c r="BG818" t="s">
        <v>74</v>
      </c>
      <c r="BH818" t="s">
        <v>74</v>
      </c>
      <c r="BI818">
        <v>8</v>
      </c>
      <c r="BJ818" t="s">
        <v>2839</v>
      </c>
      <c r="BK818" t="s">
        <v>264</v>
      </c>
      <c r="BL818" t="s">
        <v>2840</v>
      </c>
      <c r="BM818" t="s">
        <v>13907</v>
      </c>
      <c r="BN818" t="s">
        <v>74</v>
      </c>
      <c r="BO818" t="s">
        <v>5581</v>
      </c>
      <c r="BP818" t="s">
        <v>74</v>
      </c>
      <c r="BQ818" t="s">
        <v>74</v>
      </c>
      <c r="BR818" t="s">
        <v>100</v>
      </c>
      <c r="BS818" t="s">
        <v>15312</v>
      </c>
      <c r="BT818" t="str">
        <f>HYPERLINK("https%3A%2F%2Fwww.webofscience.com%2Fwos%2Fwoscc%2Ffull-record%2FWOS:000365384900010","View Full Record in Web of Science")</f>
        <v>View Full Record in Web of Science</v>
      </c>
    </row>
    <row r="819" spans="1:72" x14ac:dyDescent="0.15">
      <c r="A819" t="s">
        <v>72</v>
      </c>
      <c r="B819" t="s">
        <v>15313</v>
      </c>
      <c r="C819" t="s">
        <v>74</v>
      </c>
      <c r="D819" t="s">
        <v>74</v>
      </c>
      <c r="E819" t="s">
        <v>74</v>
      </c>
      <c r="F819" t="s">
        <v>15314</v>
      </c>
      <c r="G819" t="s">
        <v>74</v>
      </c>
      <c r="H819" t="s">
        <v>74</v>
      </c>
      <c r="I819" t="s">
        <v>15315</v>
      </c>
      <c r="J819" t="s">
        <v>15316</v>
      </c>
      <c r="K819" t="s">
        <v>74</v>
      </c>
      <c r="L819" t="s">
        <v>74</v>
      </c>
      <c r="M819" t="s">
        <v>200</v>
      </c>
      <c r="N819" t="s">
        <v>79</v>
      </c>
      <c r="O819" t="s">
        <v>74</v>
      </c>
      <c r="P819" t="s">
        <v>74</v>
      </c>
      <c r="Q819" t="s">
        <v>74</v>
      </c>
      <c r="R819" t="s">
        <v>74</v>
      </c>
      <c r="S819" t="s">
        <v>74</v>
      </c>
      <c r="T819" t="s">
        <v>15317</v>
      </c>
      <c r="U819" t="s">
        <v>74</v>
      </c>
      <c r="V819" t="s">
        <v>15318</v>
      </c>
      <c r="W819" t="s">
        <v>15319</v>
      </c>
      <c r="X819" t="s">
        <v>468</v>
      </c>
      <c r="Y819" t="s">
        <v>15320</v>
      </c>
      <c r="Z819" t="s">
        <v>15321</v>
      </c>
      <c r="AA819" t="s">
        <v>15322</v>
      </c>
      <c r="AB819" t="s">
        <v>11114</v>
      </c>
      <c r="AC819" t="s">
        <v>8965</v>
      </c>
      <c r="AD819" t="s">
        <v>7515</v>
      </c>
      <c r="AE819" t="s">
        <v>74</v>
      </c>
      <c r="AF819" t="s">
        <v>74</v>
      </c>
      <c r="AG819">
        <v>33</v>
      </c>
      <c r="AH819">
        <v>5</v>
      </c>
      <c r="AI819">
        <v>6</v>
      </c>
      <c r="AJ819">
        <v>0</v>
      </c>
      <c r="AK819">
        <v>20</v>
      </c>
      <c r="AL819" t="s">
        <v>15323</v>
      </c>
      <c r="AM819" t="s">
        <v>10650</v>
      </c>
      <c r="AN819" t="s">
        <v>15324</v>
      </c>
      <c r="AO819" t="s">
        <v>15325</v>
      </c>
      <c r="AP819" t="s">
        <v>74</v>
      </c>
      <c r="AQ819" t="s">
        <v>74</v>
      </c>
      <c r="AR819" t="s">
        <v>15316</v>
      </c>
      <c r="AS819" t="s">
        <v>15326</v>
      </c>
      <c r="AT819" t="s">
        <v>12574</v>
      </c>
      <c r="AU819">
        <v>2015</v>
      </c>
      <c r="AV819">
        <v>3</v>
      </c>
      <c r="AW819">
        <v>4</v>
      </c>
      <c r="AX819" t="s">
        <v>74</v>
      </c>
      <c r="AY819" t="s">
        <v>74</v>
      </c>
      <c r="AZ819" t="s">
        <v>74</v>
      </c>
      <c r="BA819" t="s">
        <v>74</v>
      </c>
      <c r="BB819">
        <v>248</v>
      </c>
      <c r="BC819">
        <v>262</v>
      </c>
      <c r="BD819" t="s">
        <v>74</v>
      </c>
      <c r="BE819" t="s">
        <v>15327</v>
      </c>
      <c r="BF819" t="str">
        <f>HYPERLINK("http://dx.doi.org/10.3390/publications3040248","http://dx.doi.org/10.3390/publications3040248")</f>
        <v>http://dx.doi.org/10.3390/publications3040248</v>
      </c>
      <c r="BG819" t="s">
        <v>74</v>
      </c>
      <c r="BH819" t="s">
        <v>74</v>
      </c>
      <c r="BI819">
        <v>15</v>
      </c>
      <c r="BJ819" t="s">
        <v>15328</v>
      </c>
      <c r="BK819" t="s">
        <v>96</v>
      </c>
      <c r="BL819" t="s">
        <v>15328</v>
      </c>
      <c r="BM819" t="s">
        <v>15329</v>
      </c>
      <c r="BN819" t="s">
        <v>74</v>
      </c>
      <c r="BO819" t="s">
        <v>3415</v>
      </c>
      <c r="BP819" t="s">
        <v>74</v>
      </c>
      <c r="BQ819" t="s">
        <v>74</v>
      </c>
      <c r="BR819" t="s">
        <v>100</v>
      </c>
      <c r="BS819" t="s">
        <v>15330</v>
      </c>
      <c r="BT819" t="str">
        <f>HYPERLINK("https%3A%2F%2Fwww.webofscience.com%2Fwos%2Fwoscc%2Ffull-record%2FWOS:000367808800004","View Full Record in Web of Science")</f>
        <v>View Full Record in Web of Science</v>
      </c>
    </row>
    <row r="820" spans="1:72" x14ac:dyDescent="0.15">
      <c r="A820" t="s">
        <v>72</v>
      </c>
      <c r="B820" t="s">
        <v>15331</v>
      </c>
      <c r="C820" t="s">
        <v>74</v>
      </c>
      <c r="D820" t="s">
        <v>74</v>
      </c>
      <c r="E820" t="s">
        <v>74</v>
      </c>
      <c r="F820" t="s">
        <v>15332</v>
      </c>
      <c r="G820" t="s">
        <v>74</v>
      </c>
      <c r="H820" t="s">
        <v>74</v>
      </c>
      <c r="I820" t="s">
        <v>15333</v>
      </c>
      <c r="J820" t="s">
        <v>7022</v>
      </c>
      <c r="K820" t="s">
        <v>74</v>
      </c>
      <c r="L820" t="s">
        <v>74</v>
      </c>
      <c r="M820" t="s">
        <v>200</v>
      </c>
      <c r="N820" t="s">
        <v>717</v>
      </c>
      <c r="O820" t="s">
        <v>74</v>
      </c>
      <c r="P820" t="s">
        <v>74</v>
      </c>
      <c r="Q820" t="s">
        <v>74</v>
      </c>
      <c r="R820" t="s">
        <v>74</v>
      </c>
      <c r="S820" t="s">
        <v>74</v>
      </c>
      <c r="T820" t="s">
        <v>15334</v>
      </c>
      <c r="U820" t="s">
        <v>15335</v>
      </c>
      <c r="V820" t="s">
        <v>15336</v>
      </c>
      <c r="W820" t="s">
        <v>15337</v>
      </c>
      <c r="X820" t="s">
        <v>15338</v>
      </c>
      <c r="Y820" t="s">
        <v>15339</v>
      </c>
      <c r="Z820" t="s">
        <v>15340</v>
      </c>
      <c r="AA820" t="s">
        <v>15341</v>
      </c>
      <c r="AB820" t="s">
        <v>15342</v>
      </c>
      <c r="AC820" t="s">
        <v>15343</v>
      </c>
      <c r="AD820" t="s">
        <v>15344</v>
      </c>
      <c r="AE820" t="s">
        <v>15345</v>
      </c>
      <c r="AF820" t="s">
        <v>74</v>
      </c>
      <c r="AG820">
        <v>281</v>
      </c>
      <c r="AH820">
        <v>118</v>
      </c>
      <c r="AI820">
        <v>122</v>
      </c>
      <c r="AJ820">
        <v>2</v>
      </c>
      <c r="AK820">
        <v>75</v>
      </c>
      <c r="AL820" t="s">
        <v>5888</v>
      </c>
      <c r="AM820" t="s">
        <v>1386</v>
      </c>
      <c r="AN820" t="s">
        <v>5889</v>
      </c>
      <c r="AO820" t="s">
        <v>7035</v>
      </c>
      <c r="AP820" t="s">
        <v>74</v>
      </c>
      <c r="AQ820" t="s">
        <v>74</v>
      </c>
      <c r="AR820" t="s">
        <v>7036</v>
      </c>
      <c r="AS820" t="s">
        <v>7037</v>
      </c>
      <c r="AT820" t="s">
        <v>13519</v>
      </c>
      <c r="AU820">
        <v>2015</v>
      </c>
      <c r="AV820">
        <v>129</v>
      </c>
      <c r="AW820" t="s">
        <v>74</v>
      </c>
      <c r="AX820" t="s">
        <v>74</v>
      </c>
      <c r="AY820" t="s">
        <v>74</v>
      </c>
      <c r="AZ820" t="s">
        <v>74</v>
      </c>
      <c r="BA820" t="s">
        <v>74</v>
      </c>
      <c r="BB820">
        <v>1</v>
      </c>
      <c r="BC820">
        <v>36</v>
      </c>
      <c r="BD820" t="s">
        <v>74</v>
      </c>
      <c r="BE820" t="s">
        <v>15346</v>
      </c>
      <c r="BF820" t="str">
        <f>HYPERLINK("http://dx.doi.org/10.1016/j.quascirev.2015.09.018","http://dx.doi.org/10.1016/j.quascirev.2015.09.018")</f>
        <v>http://dx.doi.org/10.1016/j.quascirev.2015.09.018</v>
      </c>
      <c r="BG820" t="s">
        <v>74</v>
      </c>
      <c r="BH820" t="s">
        <v>74</v>
      </c>
      <c r="BI820">
        <v>36</v>
      </c>
      <c r="BJ820" t="s">
        <v>2247</v>
      </c>
      <c r="BK820" t="s">
        <v>264</v>
      </c>
      <c r="BL820" t="s">
        <v>2248</v>
      </c>
      <c r="BM820" t="s">
        <v>13611</v>
      </c>
      <c r="BN820" t="s">
        <v>74</v>
      </c>
      <c r="BO820" t="s">
        <v>15347</v>
      </c>
      <c r="BP820" t="s">
        <v>74</v>
      </c>
      <c r="BQ820" t="s">
        <v>74</v>
      </c>
      <c r="BR820" t="s">
        <v>100</v>
      </c>
      <c r="BS820" t="s">
        <v>15348</v>
      </c>
      <c r="BT820" t="str">
        <f>HYPERLINK("https%3A%2F%2Fwww.webofscience.com%2Fwos%2Fwoscc%2Ffull-record%2FWOS:000366232300001","View Full Record in Web of Science")</f>
        <v>View Full Record in Web of Science</v>
      </c>
    </row>
    <row r="821" spans="1:72" x14ac:dyDescent="0.15">
      <c r="A821" t="s">
        <v>72</v>
      </c>
      <c r="B821" t="s">
        <v>15349</v>
      </c>
      <c r="C821" t="s">
        <v>74</v>
      </c>
      <c r="D821" t="s">
        <v>74</v>
      </c>
      <c r="E821" t="s">
        <v>74</v>
      </c>
      <c r="F821" t="s">
        <v>15350</v>
      </c>
      <c r="G821" t="s">
        <v>74</v>
      </c>
      <c r="H821" t="s">
        <v>74</v>
      </c>
      <c r="I821" t="s">
        <v>15351</v>
      </c>
      <c r="J821" t="s">
        <v>7022</v>
      </c>
      <c r="K821" t="s">
        <v>74</v>
      </c>
      <c r="L821" t="s">
        <v>74</v>
      </c>
      <c r="M821" t="s">
        <v>200</v>
      </c>
      <c r="N821" t="s">
        <v>79</v>
      </c>
      <c r="O821" t="s">
        <v>74</v>
      </c>
      <c r="P821" t="s">
        <v>74</v>
      </c>
      <c r="Q821" t="s">
        <v>74</v>
      </c>
      <c r="R821" t="s">
        <v>74</v>
      </c>
      <c r="S821" t="s">
        <v>74</v>
      </c>
      <c r="T821" t="s">
        <v>15352</v>
      </c>
      <c r="U821" t="s">
        <v>15353</v>
      </c>
      <c r="V821" t="s">
        <v>15354</v>
      </c>
      <c r="W821" t="s">
        <v>15355</v>
      </c>
      <c r="X821" t="s">
        <v>15356</v>
      </c>
      <c r="Y821" t="s">
        <v>15357</v>
      </c>
      <c r="Z821" t="s">
        <v>15358</v>
      </c>
      <c r="AA821" t="s">
        <v>15359</v>
      </c>
      <c r="AB821" t="s">
        <v>15360</v>
      </c>
      <c r="AC821" t="s">
        <v>15361</v>
      </c>
      <c r="AD821" t="s">
        <v>15362</v>
      </c>
      <c r="AE821" t="s">
        <v>15363</v>
      </c>
      <c r="AF821" t="s">
        <v>74</v>
      </c>
      <c r="AG821">
        <v>104</v>
      </c>
      <c r="AH821">
        <v>29</v>
      </c>
      <c r="AI821">
        <v>29</v>
      </c>
      <c r="AJ821">
        <v>0</v>
      </c>
      <c r="AK821">
        <v>21</v>
      </c>
      <c r="AL821" t="s">
        <v>5888</v>
      </c>
      <c r="AM821" t="s">
        <v>1386</v>
      </c>
      <c r="AN821" t="s">
        <v>5889</v>
      </c>
      <c r="AO821" t="s">
        <v>7035</v>
      </c>
      <c r="AP821" t="s">
        <v>74</v>
      </c>
      <c r="AQ821" t="s">
        <v>74</v>
      </c>
      <c r="AR821" t="s">
        <v>7036</v>
      </c>
      <c r="AS821" t="s">
        <v>7037</v>
      </c>
      <c r="AT821" t="s">
        <v>13519</v>
      </c>
      <c r="AU821">
        <v>2015</v>
      </c>
      <c r="AV821">
        <v>129</v>
      </c>
      <c r="AW821" t="s">
        <v>74</v>
      </c>
      <c r="AX821" t="s">
        <v>74</v>
      </c>
      <c r="AY821" t="s">
        <v>74</v>
      </c>
      <c r="AZ821" t="s">
        <v>74</v>
      </c>
      <c r="BA821" t="s">
        <v>74</v>
      </c>
      <c r="BB821">
        <v>341</v>
      </c>
      <c r="BC821">
        <v>365</v>
      </c>
      <c r="BD821" t="s">
        <v>74</v>
      </c>
      <c r="BE821" t="s">
        <v>15364</v>
      </c>
      <c r="BF821" t="str">
        <f>HYPERLINK("http://dx.doi.org/10.1016/j.quascirev.2015.10.029","http://dx.doi.org/10.1016/j.quascirev.2015.10.029")</f>
        <v>http://dx.doi.org/10.1016/j.quascirev.2015.10.029</v>
      </c>
      <c r="BG821" t="s">
        <v>74</v>
      </c>
      <c r="BH821" t="s">
        <v>74</v>
      </c>
      <c r="BI821">
        <v>25</v>
      </c>
      <c r="BJ821" t="s">
        <v>2247</v>
      </c>
      <c r="BK821" t="s">
        <v>264</v>
      </c>
      <c r="BL821" t="s">
        <v>2248</v>
      </c>
      <c r="BM821" t="s">
        <v>13611</v>
      </c>
      <c r="BN821" t="s">
        <v>74</v>
      </c>
      <c r="BO821" t="s">
        <v>403</v>
      </c>
      <c r="BP821" t="s">
        <v>74</v>
      </c>
      <c r="BQ821" t="s">
        <v>74</v>
      </c>
      <c r="BR821" t="s">
        <v>100</v>
      </c>
      <c r="BS821" t="s">
        <v>15365</v>
      </c>
      <c r="BT821" t="str">
        <f>HYPERLINK("https%3A%2F%2Fwww.webofscience.com%2Fwos%2Fwoscc%2Ffull-record%2FWOS:000366232300022","View Full Record in Web of Science")</f>
        <v>View Full Record in Web of Science</v>
      </c>
    </row>
    <row r="822" spans="1:72" x14ac:dyDescent="0.15">
      <c r="A822" t="s">
        <v>72</v>
      </c>
      <c r="B822" t="s">
        <v>15366</v>
      </c>
      <c r="C822" t="s">
        <v>74</v>
      </c>
      <c r="D822" t="s">
        <v>74</v>
      </c>
      <c r="E822" t="s">
        <v>74</v>
      </c>
      <c r="F822" t="s">
        <v>15367</v>
      </c>
      <c r="G822" t="s">
        <v>74</v>
      </c>
      <c r="H822" t="s">
        <v>74</v>
      </c>
      <c r="I822" t="s">
        <v>15368</v>
      </c>
      <c r="J822" t="s">
        <v>15369</v>
      </c>
      <c r="K822" t="s">
        <v>74</v>
      </c>
      <c r="L822" t="s">
        <v>74</v>
      </c>
      <c r="M822" t="s">
        <v>200</v>
      </c>
      <c r="N822" t="s">
        <v>79</v>
      </c>
      <c r="O822" t="s">
        <v>74</v>
      </c>
      <c r="P822" t="s">
        <v>74</v>
      </c>
      <c r="Q822" t="s">
        <v>74</v>
      </c>
      <c r="R822" t="s">
        <v>74</v>
      </c>
      <c r="S822" t="s">
        <v>74</v>
      </c>
      <c r="T822" t="s">
        <v>15370</v>
      </c>
      <c r="U822" t="s">
        <v>15371</v>
      </c>
      <c r="V822" t="s">
        <v>15372</v>
      </c>
      <c r="W822" t="s">
        <v>15373</v>
      </c>
      <c r="X822" t="s">
        <v>15374</v>
      </c>
      <c r="Y822" t="s">
        <v>15375</v>
      </c>
      <c r="Z822" t="s">
        <v>15376</v>
      </c>
      <c r="AA822" t="s">
        <v>15377</v>
      </c>
      <c r="AB822" t="s">
        <v>15378</v>
      </c>
      <c r="AC822" t="s">
        <v>15379</v>
      </c>
      <c r="AD822" t="s">
        <v>15380</v>
      </c>
      <c r="AE822" t="s">
        <v>15381</v>
      </c>
      <c r="AF822" t="s">
        <v>74</v>
      </c>
      <c r="AG822">
        <v>213</v>
      </c>
      <c r="AH822">
        <v>46</v>
      </c>
      <c r="AI822">
        <v>53</v>
      </c>
      <c r="AJ822">
        <v>3</v>
      </c>
      <c r="AK822">
        <v>86</v>
      </c>
      <c r="AL822" t="s">
        <v>7137</v>
      </c>
      <c r="AM822" t="s">
        <v>209</v>
      </c>
      <c r="AN822" t="s">
        <v>7138</v>
      </c>
      <c r="AO822" t="s">
        <v>15382</v>
      </c>
      <c r="AP822" t="s">
        <v>15383</v>
      </c>
      <c r="AQ822" t="s">
        <v>74</v>
      </c>
      <c r="AR822" t="s">
        <v>15384</v>
      </c>
      <c r="AS822" t="s">
        <v>15385</v>
      </c>
      <c r="AT822" t="s">
        <v>12574</v>
      </c>
      <c r="AU822">
        <v>2015</v>
      </c>
      <c r="AV822">
        <v>166</v>
      </c>
      <c r="AW822">
        <v>10</v>
      </c>
      <c r="AX822" t="s">
        <v>74</v>
      </c>
      <c r="AY822" t="s">
        <v>74</v>
      </c>
      <c r="AZ822" t="s">
        <v>2540</v>
      </c>
      <c r="BA822" t="s">
        <v>74</v>
      </c>
      <c r="BB822">
        <v>782</v>
      </c>
      <c r="BC822">
        <v>795</v>
      </c>
      <c r="BD822" t="s">
        <v>74</v>
      </c>
      <c r="BE822" t="s">
        <v>15386</v>
      </c>
      <c r="BF822" t="str">
        <f>HYPERLINK("http://dx.doi.org/10.1016/j.resmic.2015.09.002","http://dx.doi.org/10.1016/j.resmic.2015.09.002")</f>
        <v>http://dx.doi.org/10.1016/j.resmic.2015.09.002</v>
      </c>
      <c r="BG822" t="s">
        <v>74</v>
      </c>
      <c r="BH822" t="s">
        <v>74</v>
      </c>
      <c r="BI822">
        <v>14</v>
      </c>
      <c r="BJ822" t="s">
        <v>5726</v>
      </c>
      <c r="BK822" t="s">
        <v>264</v>
      </c>
      <c r="BL822" t="s">
        <v>5726</v>
      </c>
      <c r="BM822" t="s">
        <v>15387</v>
      </c>
      <c r="BN822">
        <v>26408452</v>
      </c>
      <c r="BO822" t="s">
        <v>5581</v>
      </c>
      <c r="BP822" t="s">
        <v>74</v>
      </c>
      <c r="BQ822" t="s">
        <v>74</v>
      </c>
      <c r="BR822" t="s">
        <v>100</v>
      </c>
      <c r="BS822" t="s">
        <v>15388</v>
      </c>
      <c r="BT822" t="str">
        <f>HYPERLINK("https%3A%2F%2Fwww.webofscience.com%2Fwos%2Fwoscc%2Ffull-record%2FWOS:000368454700007","View Full Record in Web of Science")</f>
        <v>View Full Record in Web of Science</v>
      </c>
    </row>
    <row r="823" spans="1:72" x14ac:dyDescent="0.15">
      <c r="A823" t="s">
        <v>72</v>
      </c>
      <c r="B823" t="s">
        <v>15389</v>
      </c>
      <c r="C823" t="s">
        <v>74</v>
      </c>
      <c r="D823" t="s">
        <v>74</v>
      </c>
      <c r="E823" t="s">
        <v>74</v>
      </c>
      <c r="F823" t="s">
        <v>15390</v>
      </c>
      <c r="G823" t="s">
        <v>74</v>
      </c>
      <c r="H823" t="s">
        <v>74</v>
      </c>
      <c r="I823" t="s">
        <v>15391</v>
      </c>
      <c r="J823" t="s">
        <v>15392</v>
      </c>
      <c r="K823" t="s">
        <v>74</v>
      </c>
      <c r="L823" t="s">
        <v>74</v>
      </c>
      <c r="M823" t="s">
        <v>200</v>
      </c>
      <c r="N823" t="s">
        <v>717</v>
      </c>
      <c r="O823" t="s">
        <v>74</v>
      </c>
      <c r="P823" t="s">
        <v>74</v>
      </c>
      <c r="Q823" t="s">
        <v>74</v>
      </c>
      <c r="R823" t="s">
        <v>74</v>
      </c>
      <c r="S823" t="s">
        <v>74</v>
      </c>
      <c r="T823" t="s">
        <v>74</v>
      </c>
      <c r="U823" t="s">
        <v>15393</v>
      </c>
      <c r="V823" t="s">
        <v>15394</v>
      </c>
      <c r="W823" t="s">
        <v>15395</v>
      </c>
      <c r="X823" t="s">
        <v>15396</v>
      </c>
      <c r="Y823" t="s">
        <v>15397</v>
      </c>
      <c r="Z823" t="s">
        <v>15398</v>
      </c>
      <c r="AA823" t="s">
        <v>15399</v>
      </c>
      <c r="AB823" t="s">
        <v>15400</v>
      </c>
      <c r="AC823" t="s">
        <v>15401</v>
      </c>
      <c r="AD823" t="s">
        <v>15402</v>
      </c>
      <c r="AE823" t="s">
        <v>15403</v>
      </c>
      <c r="AF823" t="s">
        <v>74</v>
      </c>
      <c r="AG823">
        <v>356</v>
      </c>
      <c r="AH823">
        <v>54</v>
      </c>
      <c r="AI823">
        <v>58</v>
      </c>
      <c r="AJ823">
        <v>0</v>
      </c>
      <c r="AK823">
        <v>31</v>
      </c>
      <c r="AL823" t="s">
        <v>2410</v>
      </c>
      <c r="AM823" t="s">
        <v>1559</v>
      </c>
      <c r="AN823" t="s">
        <v>2411</v>
      </c>
      <c r="AO823" t="s">
        <v>15404</v>
      </c>
      <c r="AP823" t="s">
        <v>15405</v>
      </c>
      <c r="AQ823" t="s">
        <v>74</v>
      </c>
      <c r="AR823" t="s">
        <v>15406</v>
      </c>
      <c r="AS823" t="s">
        <v>15407</v>
      </c>
      <c r="AT823" t="s">
        <v>12574</v>
      </c>
      <c r="AU823">
        <v>2015</v>
      </c>
      <c r="AV823">
        <v>53</v>
      </c>
      <c r="AW823">
        <v>4</v>
      </c>
      <c r="AX823" t="s">
        <v>74</v>
      </c>
      <c r="AY823" t="s">
        <v>74</v>
      </c>
      <c r="AZ823" t="s">
        <v>74</v>
      </c>
      <c r="BA823" t="s">
        <v>74</v>
      </c>
      <c r="BB823">
        <v>1051</v>
      </c>
      <c r="BC823">
        <v>1098</v>
      </c>
      <c r="BD823" t="s">
        <v>74</v>
      </c>
      <c r="BE823" t="s">
        <v>15408</v>
      </c>
      <c r="BF823" t="str">
        <f>HYPERLINK("http://dx.doi.org/10.1191/095968398677085532; 10.1002/2015RG000495","http://dx.doi.org/10.1191/095968398677085532; 10.1002/2015RG000495")</f>
        <v>http://dx.doi.org/10.1191/095968398677085532; 10.1002/2015RG000495</v>
      </c>
      <c r="BG823" t="s">
        <v>74</v>
      </c>
      <c r="BH823" t="s">
        <v>74</v>
      </c>
      <c r="BI823">
        <v>48</v>
      </c>
      <c r="BJ823" t="s">
        <v>4474</v>
      </c>
      <c r="BK823" t="s">
        <v>264</v>
      </c>
      <c r="BL823" t="s">
        <v>4474</v>
      </c>
      <c r="BM823" t="s">
        <v>15409</v>
      </c>
      <c r="BN823" t="s">
        <v>74</v>
      </c>
      <c r="BO823" t="s">
        <v>403</v>
      </c>
      <c r="BP823" t="s">
        <v>74</v>
      </c>
      <c r="BQ823" t="s">
        <v>74</v>
      </c>
      <c r="BR823" t="s">
        <v>100</v>
      </c>
      <c r="BS823" t="s">
        <v>15410</v>
      </c>
      <c r="BT823" t="str">
        <f>HYPERLINK("https%3A%2F%2Fwww.webofscience.com%2Fwos%2Fwoscc%2Ffull-record%2FWOS:000369157300001","View Full Record in Web of Science")</f>
        <v>View Full Record in Web of Science</v>
      </c>
    </row>
    <row r="824" spans="1:72" x14ac:dyDescent="0.15">
      <c r="A824" t="s">
        <v>72</v>
      </c>
      <c r="B824" t="s">
        <v>15411</v>
      </c>
      <c r="C824" t="s">
        <v>74</v>
      </c>
      <c r="D824" t="s">
        <v>74</v>
      </c>
      <c r="E824" t="s">
        <v>74</v>
      </c>
      <c r="F824" t="s">
        <v>15412</v>
      </c>
      <c r="G824" t="s">
        <v>74</v>
      </c>
      <c r="H824" t="s">
        <v>74</v>
      </c>
      <c r="I824" t="s">
        <v>15413</v>
      </c>
      <c r="J824" t="s">
        <v>15414</v>
      </c>
      <c r="K824" t="s">
        <v>74</v>
      </c>
      <c r="L824" t="s">
        <v>74</v>
      </c>
      <c r="M824" t="s">
        <v>200</v>
      </c>
      <c r="N824" t="s">
        <v>52</v>
      </c>
      <c r="O824" t="s">
        <v>74</v>
      </c>
      <c r="P824" t="s">
        <v>74</v>
      </c>
      <c r="Q824" t="s">
        <v>74</v>
      </c>
      <c r="R824" t="s">
        <v>74</v>
      </c>
      <c r="S824" t="s">
        <v>74</v>
      </c>
      <c r="T824" t="s">
        <v>74</v>
      </c>
      <c r="U824" t="s">
        <v>74</v>
      </c>
      <c r="V824" t="s">
        <v>74</v>
      </c>
      <c r="W824" t="s">
        <v>15415</v>
      </c>
      <c r="X824" t="s">
        <v>15416</v>
      </c>
      <c r="Y824" t="s">
        <v>74</v>
      </c>
      <c r="Z824" t="s">
        <v>74</v>
      </c>
      <c r="AA824" t="s">
        <v>74</v>
      </c>
      <c r="AB824" t="s">
        <v>74</v>
      </c>
      <c r="AC824" t="s">
        <v>15417</v>
      </c>
      <c r="AD824" t="s">
        <v>15418</v>
      </c>
      <c r="AE824" t="s">
        <v>15419</v>
      </c>
      <c r="AF824" t="s">
        <v>74</v>
      </c>
      <c r="AG824">
        <v>0</v>
      </c>
      <c r="AH824">
        <v>0</v>
      </c>
      <c r="AI824">
        <v>0</v>
      </c>
      <c r="AJ824">
        <v>1</v>
      </c>
      <c r="AK824">
        <v>2</v>
      </c>
      <c r="AL824" t="s">
        <v>7137</v>
      </c>
      <c r="AM824" t="s">
        <v>209</v>
      </c>
      <c r="AN824" t="s">
        <v>7138</v>
      </c>
      <c r="AO824" t="s">
        <v>15420</v>
      </c>
      <c r="AP824" t="s">
        <v>15421</v>
      </c>
      <c r="AQ824" t="s">
        <v>74</v>
      </c>
      <c r="AR824" t="s">
        <v>15422</v>
      </c>
      <c r="AS824" t="s">
        <v>15423</v>
      </c>
      <c r="AT824" t="s">
        <v>12574</v>
      </c>
      <c r="AU824">
        <v>2015</v>
      </c>
      <c r="AV824">
        <v>16</v>
      </c>
      <c r="AW824" t="s">
        <v>74</v>
      </c>
      <c r="AX824" t="s">
        <v>74</v>
      </c>
      <c r="AY824">
        <v>1</v>
      </c>
      <c r="AZ824" t="s">
        <v>74</v>
      </c>
      <c r="BA824" t="s">
        <v>74</v>
      </c>
      <c r="BB824" t="s">
        <v>15424</v>
      </c>
      <c r="BC824" t="s">
        <v>15424</v>
      </c>
      <c r="BD824" t="s">
        <v>74</v>
      </c>
      <c r="BE824" t="s">
        <v>15425</v>
      </c>
      <c r="BF824" t="str">
        <f>HYPERLINK("http://dx.doi.org/10.1016/j.sleep.2015.02.101","http://dx.doi.org/10.1016/j.sleep.2015.02.101")</f>
        <v>http://dx.doi.org/10.1016/j.sleep.2015.02.101</v>
      </c>
      <c r="BG824" t="s">
        <v>74</v>
      </c>
      <c r="BH824" t="s">
        <v>74</v>
      </c>
      <c r="BI824">
        <v>1</v>
      </c>
      <c r="BJ824" t="s">
        <v>645</v>
      </c>
      <c r="BK824" t="s">
        <v>264</v>
      </c>
      <c r="BL824" t="s">
        <v>646</v>
      </c>
      <c r="BM824" t="s">
        <v>15426</v>
      </c>
      <c r="BN824" t="s">
        <v>74</v>
      </c>
      <c r="BO824" t="s">
        <v>74</v>
      </c>
      <c r="BP824" t="s">
        <v>74</v>
      </c>
      <c r="BQ824" t="s">
        <v>74</v>
      </c>
      <c r="BR824" t="s">
        <v>100</v>
      </c>
      <c r="BS824" t="s">
        <v>15427</v>
      </c>
      <c r="BT824" t="str">
        <f>HYPERLINK("https%3A%2F%2Fwww.webofscience.com%2Fwos%2Fwoscc%2Ffull-record%2FWOS:000721696000100","View Full Record in Web of Science")</f>
        <v>View Full Record in Web of Science</v>
      </c>
    </row>
    <row r="825" spans="1:72" x14ac:dyDescent="0.15">
      <c r="A825" t="s">
        <v>72</v>
      </c>
      <c r="B825" t="s">
        <v>15428</v>
      </c>
      <c r="C825" t="s">
        <v>74</v>
      </c>
      <c r="D825" t="s">
        <v>74</v>
      </c>
      <c r="E825" t="s">
        <v>74</v>
      </c>
      <c r="F825" t="s">
        <v>15429</v>
      </c>
      <c r="G825" t="s">
        <v>74</v>
      </c>
      <c r="H825" t="s">
        <v>74</v>
      </c>
      <c r="I825" t="s">
        <v>15430</v>
      </c>
      <c r="J825" t="s">
        <v>15414</v>
      </c>
      <c r="K825" t="s">
        <v>74</v>
      </c>
      <c r="L825" t="s">
        <v>74</v>
      </c>
      <c r="M825" t="s">
        <v>200</v>
      </c>
      <c r="N825" t="s">
        <v>52</v>
      </c>
      <c r="O825" t="s">
        <v>74</v>
      </c>
      <c r="P825" t="s">
        <v>74</v>
      </c>
      <c r="Q825" t="s">
        <v>74</v>
      </c>
      <c r="R825" t="s">
        <v>74</v>
      </c>
      <c r="S825" t="s">
        <v>74</v>
      </c>
      <c r="T825" t="s">
        <v>74</v>
      </c>
      <c r="U825" t="s">
        <v>74</v>
      </c>
      <c r="V825" t="s">
        <v>74</v>
      </c>
      <c r="W825" t="s">
        <v>15431</v>
      </c>
      <c r="X825" t="s">
        <v>15432</v>
      </c>
      <c r="Y825" t="s">
        <v>74</v>
      </c>
      <c r="Z825" t="s">
        <v>74</v>
      </c>
      <c r="AA825" t="s">
        <v>74</v>
      </c>
      <c r="AB825" t="s">
        <v>74</v>
      </c>
      <c r="AC825" t="s">
        <v>15433</v>
      </c>
      <c r="AD825" t="s">
        <v>15434</v>
      </c>
      <c r="AE825" t="s">
        <v>15435</v>
      </c>
      <c r="AF825" t="s">
        <v>74</v>
      </c>
      <c r="AG825">
        <v>0</v>
      </c>
      <c r="AH825">
        <v>0</v>
      </c>
      <c r="AI825">
        <v>0</v>
      </c>
      <c r="AJ825">
        <v>0</v>
      </c>
      <c r="AK825">
        <v>1</v>
      </c>
      <c r="AL825" t="s">
        <v>7137</v>
      </c>
      <c r="AM825" t="s">
        <v>209</v>
      </c>
      <c r="AN825" t="s">
        <v>7138</v>
      </c>
      <c r="AO825" t="s">
        <v>15420</v>
      </c>
      <c r="AP825" t="s">
        <v>15421</v>
      </c>
      <c r="AQ825" t="s">
        <v>74</v>
      </c>
      <c r="AR825" t="s">
        <v>15422</v>
      </c>
      <c r="AS825" t="s">
        <v>15423</v>
      </c>
      <c r="AT825" t="s">
        <v>12574</v>
      </c>
      <c r="AU825">
        <v>2015</v>
      </c>
      <c r="AV825">
        <v>16</v>
      </c>
      <c r="AW825" t="s">
        <v>74</v>
      </c>
      <c r="AX825" t="s">
        <v>74</v>
      </c>
      <c r="AY825">
        <v>1</v>
      </c>
      <c r="AZ825" t="s">
        <v>74</v>
      </c>
      <c r="BA825" t="s">
        <v>74</v>
      </c>
      <c r="BB825" t="s">
        <v>15436</v>
      </c>
      <c r="BC825" t="s">
        <v>15437</v>
      </c>
      <c r="BD825" t="s">
        <v>74</v>
      </c>
      <c r="BE825" t="s">
        <v>15438</v>
      </c>
      <c r="BF825" t="str">
        <f>HYPERLINK("http://dx.doi.org/10.1016/j.sleep.2015.02.1560","http://dx.doi.org/10.1016/j.sleep.2015.02.1560")</f>
        <v>http://dx.doi.org/10.1016/j.sleep.2015.02.1560</v>
      </c>
      <c r="BG825" t="s">
        <v>74</v>
      </c>
      <c r="BH825" t="s">
        <v>74</v>
      </c>
      <c r="BI825">
        <v>2</v>
      </c>
      <c r="BJ825" t="s">
        <v>645</v>
      </c>
      <c r="BK825" t="s">
        <v>264</v>
      </c>
      <c r="BL825" t="s">
        <v>646</v>
      </c>
      <c r="BM825" t="s">
        <v>15426</v>
      </c>
      <c r="BN825" t="s">
        <v>74</v>
      </c>
      <c r="BO825" t="s">
        <v>74</v>
      </c>
      <c r="BP825" t="s">
        <v>74</v>
      </c>
      <c r="BQ825" t="s">
        <v>74</v>
      </c>
      <c r="BR825" t="s">
        <v>100</v>
      </c>
      <c r="BS825" t="s">
        <v>15439</v>
      </c>
      <c r="BT825" t="str">
        <f>HYPERLINK("https%3A%2F%2Fwww.webofscience.com%2Fwos%2Fwoscc%2Ffull-record%2FWOS:000721696000445","View Full Record in Web of Science")</f>
        <v>View Full Record in Web of Science</v>
      </c>
    </row>
    <row r="826" spans="1:72" x14ac:dyDescent="0.15">
      <c r="A826" t="s">
        <v>72</v>
      </c>
      <c r="B826" t="s">
        <v>15440</v>
      </c>
      <c r="C826" t="s">
        <v>74</v>
      </c>
      <c r="D826" t="s">
        <v>74</v>
      </c>
      <c r="E826" t="s">
        <v>74</v>
      </c>
      <c r="F826" t="s">
        <v>15441</v>
      </c>
      <c r="G826" t="s">
        <v>74</v>
      </c>
      <c r="H826" t="s">
        <v>74</v>
      </c>
      <c r="I826" t="s">
        <v>15442</v>
      </c>
      <c r="J826" t="s">
        <v>15443</v>
      </c>
      <c r="K826" t="s">
        <v>74</v>
      </c>
      <c r="L826" t="s">
        <v>74</v>
      </c>
      <c r="M826" t="s">
        <v>200</v>
      </c>
      <c r="N826" t="s">
        <v>717</v>
      </c>
      <c r="O826" t="s">
        <v>74</v>
      </c>
      <c r="P826" t="s">
        <v>74</v>
      </c>
      <c r="Q826" t="s">
        <v>74</v>
      </c>
      <c r="R826" t="s">
        <v>74</v>
      </c>
      <c r="S826" t="s">
        <v>74</v>
      </c>
      <c r="T826" t="s">
        <v>15444</v>
      </c>
      <c r="U826" t="s">
        <v>15445</v>
      </c>
      <c r="V826" t="s">
        <v>15446</v>
      </c>
      <c r="W826" t="s">
        <v>15447</v>
      </c>
      <c r="X826" t="s">
        <v>15448</v>
      </c>
      <c r="Y826" t="s">
        <v>15449</v>
      </c>
      <c r="Z826" t="s">
        <v>15450</v>
      </c>
      <c r="AA826" t="s">
        <v>15451</v>
      </c>
      <c r="AB826" t="s">
        <v>15452</v>
      </c>
      <c r="AC826" t="s">
        <v>15453</v>
      </c>
      <c r="AD826" t="s">
        <v>15454</v>
      </c>
      <c r="AE826" t="s">
        <v>15455</v>
      </c>
      <c r="AF826" t="s">
        <v>74</v>
      </c>
      <c r="AG826">
        <v>219</v>
      </c>
      <c r="AH826">
        <v>99</v>
      </c>
      <c r="AI826">
        <v>102</v>
      </c>
      <c r="AJ826">
        <v>0</v>
      </c>
      <c r="AK826">
        <v>44</v>
      </c>
      <c r="AL826" t="s">
        <v>3560</v>
      </c>
      <c r="AM826" t="s">
        <v>4093</v>
      </c>
      <c r="AN826" t="s">
        <v>6706</v>
      </c>
      <c r="AO826" t="s">
        <v>15456</v>
      </c>
      <c r="AP826" t="s">
        <v>15457</v>
      </c>
      <c r="AQ826" t="s">
        <v>74</v>
      </c>
      <c r="AR826" t="s">
        <v>15458</v>
      </c>
      <c r="AS826" t="s">
        <v>15459</v>
      </c>
      <c r="AT826" t="s">
        <v>12574</v>
      </c>
      <c r="AU826">
        <v>2015</v>
      </c>
      <c r="AV826">
        <v>197</v>
      </c>
      <c r="AW826" t="s">
        <v>15460</v>
      </c>
      <c r="AX826" t="s">
        <v>74</v>
      </c>
      <c r="AY826" t="s">
        <v>74</v>
      </c>
      <c r="AZ826" t="s">
        <v>74</v>
      </c>
      <c r="BA826" t="s">
        <v>74</v>
      </c>
      <c r="BB826">
        <v>47</v>
      </c>
      <c r="BC826">
        <v>83</v>
      </c>
      <c r="BD826" t="s">
        <v>74</v>
      </c>
      <c r="BE826" t="s">
        <v>15461</v>
      </c>
      <c r="BF826" t="str">
        <f>HYPERLINK("http://dx.doi.org/10.1007/s11214-015-0156-9","http://dx.doi.org/10.1007/s11214-015-0156-9")</f>
        <v>http://dx.doi.org/10.1007/s11214-015-0156-9</v>
      </c>
      <c r="BG826" t="s">
        <v>74</v>
      </c>
      <c r="BH826" t="s">
        <v>74</v>
      </c>
      <c r="BI826">
        <v>37</v>
      </c>
      <c r="BJ826" t="s">
        <v>1168</v>
      </c>
      <c r="BK826" t="s">
        <v>264</v>
      </c>
      <c r="BL826" t="s">
        <v>1168</v>
      </c>
      <c r="BM826" t="s">
        <v>15462</v>
      </c>
      <c r="BN826" t="s">
        <v>74</v>
      </c>
      <c r="BO826" t="s">
        <v>8889</v>
      </c>
      <c r="BP826" t="s">
        <v>74</v>
      </c>
      <c r="BQ826" t="s">
        <v>74</v>
      </c>
      <c r="BR826" t="s">
        <v>100</v>
      </c>
      <c r="BS826" t="s">
        <v>15463</v>
      </c>
      <c r="BT826" t="str">
        <f>HYPERLINK("https%3A%2F%2Fwww.webofscience.com%2Fwos%2Fwoscc%2Ffull-record%2FWOS:000366377100003","View Full Record in Web of Science")</f>
        <v>View Full Record in Web of Science</v>
      </c>
    </row>
    <row r="827" spans="1:72" x14ac:dyDescent="0.15">
      <c r="A827" t="s">
        <v>72</v>
      </c>
      <c r="B827" t="s">
        <v>15464</v>
      </c>
      <c r="C827" t="s">
        <v>74</v>
      </c>
      <c r="D827" t="s">
        <v>74</v>
      </c>
      <c r="E827" t="s">
        <v>74</v>
      </c>
      <c r="F827" t="s">
        <v>15465</v>
      </c>
      <c r="G827" t="s">
        <v>74</v>
      </c>
      <c r="H827" t="s">
        <v>74</v>
      </c>
      <c r="I827" t="s">
        <v>15466</v>
      </c>
      <c r="J827" t="s">
        <v>15467</v>
      </c>
      <c r="K827" t="s">
        <v>74</v>
      </c>
      <c r="L827" t="s">
        <v>74</v>
      </c>
      <c r="M827" t="s">
        <v>200</v>
      </c>
      <c r="N827" t="s">
        <v>79</v>
      </c>
      <c r="O827" t="s">
        <v>74</v>
      </c>
      <c r="P827" t="s">
        <v>74</v>
      </c>
      <c r="Q827" t="s">
        <v>74</v>
      </c>
      <c r="R827" t="s">
        <v>74</v>
      </c>
      <c r="S827" t="s">
        <v>74</v>
      </c>
      <c r="T827" t="s">
        <v>15468</v>
      </c>
      <c r="U827" t="s">
        <v>15469</v>
      </c>
      <c r="V827" t="s">
        <v>15470</v>
      </c>
      <c r="W827" t="s">
        <v>15471</v>
      </c>
      <c r="X827" t="s">
        <v>15472</v>
      </c>
      <c r="Y827" t="s">
        <v>15473</v>
      </c>
      <c r="Z827" t="s">
        <v>15474</v>
      </c>
      <c r="AA827" t="s">
        <v>74</v>
      </c>
      <c r="AB827" t="s">
        <v>74</v>
      </c>
      <c r="AC827" t="s">
        <v>15475</v>
      </c>
      <c r="AD827" t="s">
        <v>15476</v>
      </c>
      <c r="AE827" t="s">
        <v>15477</v>
      </c>
      <c r="AF827" t="s">
        <v>74</v>
      </c>
      <c r="AG827">
        <v>80</v>
      </c>
      <c r="AH827">
        <v>0</v>
      </c>
      <c r="AI827">
        <v>0</v>
      </c>
      <c r="AJ827">
        <v>0</v>
      </c>
      <c r="AK827">
        <v>0</v>
      </c>
      <c r="AL827" t="s">
        <v>13141</v>
      </c>
      <c r="AM827" t="s">
        <v>88</v>
      </c>
      <c r="AN827" t="s">
        <v>13142</v>
      </c>
      <c r="AO827" t="s">
        <v>15478</v>
      </c>
      <c r="AP827" t="s">
        <v>15479</v>
      </c>
      <c r="AQ827" t="s">
        <v>74</v>
      </c>
      <c r="AR827" t="s">
        <v>15480</v>
      </c>
      <c r="AS827" t="s">
        <v>15481</v>
      </c>
      <c r="AT827" t="s">
        <v>12574</v>
      </c>
      <c r="AU827">
        <v>2015</v>
      </c>
      <c r="AV827">
        <v>23</v>
      </c>
      <c r="AW827">
        <v>7</v>
      </c>
      <c r="AX827" t="s">
        <v>74</v>
      </c>
      <c r="AY827" t="s">
        <v>74</v>
      </c>
      <c r="AZ827" t="s">
        <v>74</v>
      </c>
      <c r="BA827" t="s">
        <v>74</v>
      </c>
      <c r="BB827">
        <v>716</v>
      </c>
      <c r="BC827">
        <v>726</v>
      </c>
      <c r="BD827" t="s">
        <v>74</v>
      </c>
      <c r="BE827" t="s">
        <v>15482</v>
      </c>
      <c r="BF827" t="str">
        <f>HYPERLINK("http://dx.doi.org/10.1134/S0869593815070035","http://dx.doi.org/10.1134/S0869593815070035")</f>
        <v>http://dx.doi.org/10.1134/S0869593815070035</v>
      </c>
      <c r="BG827" t="s">
        <v>74</v>
      </c>
      <c r="BH827" t="s">
        <v>74</v>
      </c>
      <c r="BI827">
        <v>11</v>
      </c>
      <c r="BJ827" t="s">
        <v>4698</v>
      </c>
      <c r="BK827" t="s">
        <v>264</v>
      </c>
      <c r="BL827" t="s">
        <v>4698</v>
      </c>
      <c r="BM827" t="s">
        <v>15483</v>
      </c>
      <c r="BN827" t="s">
        <v>74</v>
      </c>
      <c r="BO827" t="s">
        <v>74</v>
      </c>
      <c r="BP827" t="s">
        <v>74</v>
      </c>
      <c r="BQ827" t="s">
        <v>74</v>
      </c>
      <c r="BR827" t="s">
        <v>100</v>
      </c>
      <c r="BS827" t="s">
        <v>15484</v>
      </c>
      <c r="BT827" t="str">
        <f>HYPERLINK("https%3A%2F%2Fwww.webofscience.com%2Fwos%2Fwoscc%2Ffull-record%2FWOS:000372167400002","View Full Record in Web of Science")</f>
        <v>View Full Record in Web of Science</v>
      </c>
    </row>
    <row r="828" spans="1:72" x14ac:dyDescent="0.15">
      <c r="A828" t="s">
        <v>72</v>
      </c>
      <c r="B828" t="s">
        <v>15485</v>
      </c>
      <c r="C828" t="s">
        <v>74</v>
      </c>
      <c r="D828" t="s">
        <v>74</v>
      </c>
      <c r="E828" t="s">
        <v>74</v>
      </c>
      <c r="F828" t="s">
        <v>15486</v>
      </c>
      <c r="G828" t="s">
        <v>74</v>
      </c>
      <c r="H828" t="s">
        <v>74</v>
      </c>
      <c r="I828" t="s">
        <v>15487</v>
      </c>
      <c r="J828" t="s">
        <v>6930</v>
      </c>
      <c r="K828" t="s">
        <v>74</v>
      </c>
      <c r="L828" t="s">
        <v>74</v>
      </c>
      <c r="M828" t="s">
        <v>200</v>
      </c>
      <c r="N828" t="s">
        <v>79</v>
      </c>
      <c r="O828" t="s">
        <v>74</v>
      </c>
      <c r="P828" t="s">
        <v>74</v>
      </c>
      <c r="Q828" t="s">
        <v>74</v>
      </c>
      <c r="R828" t="s">
        <v>74</v>
      </c>
      <c r="S828" t="s">
        <v>74</v>
      </c>
      <c r="T828" t="s">
        <v>15488</v>
      </c>
      <c r="U828" t="s">
        <v>15489</v>
      </c>
      <c r="V828" t="s">
        <v>15490</v>
      </c>
      <c r="W828" t="s">
        <v>15491</v>
      </c>
      <c r="X828" t="s">
        <v>15492</v>
      </c>
      <c r="Y828" t="s">
        <v>15493</v>
      </c>
      <c r="Z828" t="s">
        <v>15494</v>
      </c>
      <c r="AA828" t="s">
        <v>15495</v>
      </c>
      <c r="AB828" t="s">
        <v>15496</v>
      </c>
      <c r="AC828" t="s">
        <v>15497</v>
      </c>
      <c r="AD828" t="s">
        <v>15498</v>
      </c>
      <c r="AE828" t="s">
        <v>15499</v>
      </c>
      <c r="AF828" t="s">
        <v>74</v>
      </c>
      <c r="AG828">
        <v>114</v>
      </c>
      <c r="AH828">
        <v>12</v>
      </c>
      <c r="AI828">
        <v>12</v>
      </c>
      <c r="AJ828">
        <v>2</v>
      </c>
      <c r="AK828">
        <v>35</v>
      </c>
      <c r="AL828" t="s">
        <v>6422</v>
      </c>
      <c r="AM828" t="s">
        <v>289</v>
      </c>
      <c r="AN828" t="s">
        <v>6423</v>
      </c>
      <c r="AO828" t="s">
        <v>6943</v>
      </c>
      <c r="AP828" t="s">
        <v>6944</v>
      </c>
      <c r="AQ828" t="s">
        <v>74</v>
      </c>
      <c r="AR828" t="s">
        <v>6945</v>
      </c>
      <c r="AS828" t="s">
        <v>6946</v>
      </c>
      <c r="AT828" t="s">
        <v>12574</v>
      </c>
      <c r="AU828">
        <v>2015</v>
      </c>
      <c r="AV828">
        <v>190</v>
      </c>
      <c r="AW828" t="s">
        <v>74</v>
      </c>
      <c r="AX828" t="s">
        <v>74</v>
      </c>
      <c r="AY828" t="s">
        <v>74</v>
      </c>
      <c r="AZ828" t="s">
        <v>74</v>
      </c>
      <c r="BA828" t="s">
        <v>74</v>
      </c>
      <c r="BB828">
        <v>61</v>
      </c>
      <c r="BC828">
        <v>67</v>
      </c>
      <c r="BD828" t="s">
        <v>74</v>
      </c>
      <c r="BE828" t="s">
        <v>15500</v>
      </c>
      <c r="BF828" t="str">
        <f>HYPERLINK("http://dx.doi.org/10.1016/j.cbpa.2015.09.004","http://dx.doi.org/10.1016/j.cbpa.2015.09.004")</f>
        <v>http://dx.doi.org/10.1016/j.cbpa.2015.09.004</v>
      </c>
      <c r="BG828" t="s">
        <v>74</v>
      </c>
      <c r="BH828" t="s">
        <v>74</v>
      </c>
      <c r="BI828">
        <v>7</v>
      </c>
      <c r="BJ828" t="s">
        <v>6948</v>
      </c>
      <c r="BK828" t="s">
        <v>264</v>
      </c>
      <c r="BL828" t="s">
        <v>6948</v>
      </c>
      <c r="BM828" t="s">
        <v>15501</v>
      </c>
      <c r="BN828">
        <v>26384457</v>
      </c>
      <c r="BO828" t="s">
        <v>403</v>
      </c>
      <c r="BP828" t="s">
        <v>74</v>
      </c>
      <c r="BQ828" t="s">
        <v>74</v>
      </c>
      <c r="BR828" t="s">
        <v>100</v>
      </c>
      <c r="BS828" t="s">
        <v>15502</v>
      </c>
      <c r="BT828" t="str">
        <f>HYPERLINK("https%3A%2F%2Fwww.webofscience.com%2Fwos%2Fwoscc%2Ffull-record%2FWOS:000363825300009","View Full Record in Web of Science")</f>
        <v>View Full Record in Web of Science</v>
      </c>
    </row>
    <row r="829" spans="1:72" x14ac:dyDescent="0.15">
      <c r="A829" t="s">
        <v>72</v>
      </c>
      <c r="B829" t="s">
        <v>15503</v>
      </c>
      <c r="C829" t="s">
        <v>74</v>
      </c>
      <c r="D829" t="s">
        <v>74</v>
      </c>
      <c r="E829" t="s">
        <v>74</v>
      </c>
      <c r="F829" t="s">
        <v>15504</v>
      </c>
      <c r="G829" t="s">
        <v>74</v>
      </c>
      <c r="H829" t="s">
        <v>74</v>
      </c>
      <c r="I829" t="s">
        <v>15505</v>
      </c>
      <c r="J829" t="s">
        <v>15506</v>
      </c>
      <c r="K829" t="s">
        <v>74</v>
      </c>
      <c r="L829" t="s">
        <v>74</v>
      </c>
      <c r="M829" t="s">
        <v>200</v>
      </c>
      <c r="N829" t="s">
        <v>79</v>
      </c>
      <c r="O829" t="s">
        <v>74</v>
      </c>
      <c r="P829" t="s">
        <v>74</v>
      </c>
      <c r="Q829" t="s">
        <v>74</v>
      </c>
      <c r="R829" t="s">
        <v>74</v>
      </c>
      <c r="S829" t="s">
        <v>74</v>
      </c>
      <c r="T829" t="s">
        <v>15507</v>
      </c>
      <c r="U829" t="s">
        <v>15508</v>
      </c>
      <c r="V829" t="s">
        <v>15509</v>
      </c>
      <c r="W829" t="s">
        <v>15510</v>
      </c>
      <c r="X829" t="s">
        <v>15511</v>
      </c>
      <c r="Y829" t="s">
        <v>15512</v>
      </c>
      <c r="Z829" t="s">
        <v>15513</v>
      </c>
      <c r="AA829" t="s">
        <v>15514</v>
      </c>
      <c r="AB829" t="s">
        <v>74</v>
      </c>
      <c r="AC829" t="s">
        <v>15515</v>
      </c>
      <c r="AD829" t="s">
        <v>15516</v>
      </c>
      <c r="AE829" t="s">
        <v>15517</v>
      </c>
      <c r="AF829" t="s">
        <v>74</v>
      </c>
      <c r="AG829">
        <v>30</v>
      </c>
      <c r="AH829">
        <v>9</v>
      </c>
      <c r="AI829">
        <v>9</v>
      </c>
      <c r="AJ829">
        <v>3</v>
      </c>
      <c r="AK829">
        <v>35</v>
      </c>
      <c r="AL829" t="s">
        <v>3560</v>
      </c>
      <c r="AM829" t="s">
        <v>289</v>
      </c>
      <c r="AN829" t="s">
        <v>5440</v>
      </c>
      <c r="AO829" t="s">
        <v>15518</v>
      </c>
      <c r="AP829" t="s">
        <v>15519</v>
      </c>
      <c r="AQ829" t="s">
        <v>74</v>
      </c>
      <c r="AR829" t="s">
        <v>15520</v>
      </c>
      <c r="AS829" t="s">
        <v>15521</v>
      </c>
      <c r="AT829" t="s">
        <v>12574</v>
      </c>
      <c r="AU829">
        <v>2015</v>
      </c>
      <c r="AV829">
        <v>9</v>
      </c>
      <c r="AW829">
        <v>4</v>
      </c>
      <c r="AX829" t="s">
        <v>74</v>
      </c>
      <c r="AY829" t="s">
        <v>74</v>
      </c>
      <c r="AZ829" t="s">
        <v>2540</v>
      </c>
      <c r="BA829" t="s">
        <v>74</v>
      </c>
      <c r="BB829">
        <v>700</v>
      </c>
      <c r="BC829">
        <v>708</v>
      </c>
      <c r="BD829" t="s">
        <v>74</v>
      </c>
      <c r="BE829" t="s">
        <v>15522</v>
      </c>
      <c r="BF829" t="str">
        <f>HYPERLINK("http://dx.doi.org/10.1007/s11707-015-0506-7","http://dx.doi.org/10.1007/s11707-015-0506-7")</f>
        <v>http://dx.doi.org/10.1007/s11707-015-0506-7</v>
      </c>
      <c r="BG829" t="s">
        <v>74</v>
      </c>
      <c r="BH829" t="s">
        <v>74</v>
      </c>
      <c r="BI829">
        <v>9</v>
      </c>
      <c r="BJ829" t="s">
        <v>95</v>
      </c>
      <c r="BK829" t="s">
        <v>264</v>
      </c>
      <c r="BL829" t="s">
        <v>97</v>
      </c>
      <c r="BM829" t="s">
        <v>15523</v>
      </c>
      <c r="BN829" t="s">
        <v>74</v>
      </c>
      <c r="BO829" t="s">
        <v>74</v>
      </c>
      <c r="BP829" t="s">
        <v>74</v>
      </c>
      <c r="BQ829" t="s">
        <v>74</v>
      </c>
      <c r="BR829" t="s">
        <v>100</v>
      </c>
      <c r="BS829" t="s">
        <v>15524</v>
      </c>
      <c r="BT829" t="str">
        <f>HYPERLINK("https%3A%2F%2Fwww.webofscience.com%2Fwos%2Fwoscc%2Ffull-record%2FWOS:000364223500009","View Full Record in Web of Science")</f>
        <v>View Full Record in Web of Science</v>
      </c>
    </row>
    <row r="830" spans="1:72" x14ac:dyDescent="0.15">
      <c r="A830" t="s">
        <v>72</v>
      </c>
      <c r="B830" t="s">
        <v>15525</v>
      </c>
      <c r="C830" t="s">
        <v>74</v>
      </c>
      <c r="D830" t="s">
        <v>74</v>
      </c>
      <c r="E830" t="s">
        <v>74</v>
      </c>
      <c r="F830" t="s">
        <v>15526</v>
      </c>
      <c r="G830" t="s">
        <v>74</v>
      </c>
      <c r="H830" t="s">
        <v>74</v>
      </c>
      <c r="I830" t="s">
        <v>15527</v>
      </c>
      <c r="J830" t="s">
        <v>15506</v>
      </c>
      <c r="K830" t="s">
        <v>74</v>
      </c>
      <c r="L830" t="s">
        <v>74</v>
      </c>
      <c r="M830" t="s">
        <v>200</v>
      </c>
      <c r="N830" t="s">
        <v>79</v>
      </c>
      <c r="O830" t="s">
        <v>74</v>
      </c>
      <c r="P830" t="s">
        <v>74</v>
      </c>
      <c r="Q830" t="s">
        <v>74</v>
      </c>
      <c r="R830" t="s">
        <v>74</v>
      </c>
      <c r="S830" t="s">
        <v>74</v>
      </c>
      <c r="T830" t="s">
        <v>15528</v>
      </c>
      <c r="U830" t="s">
        <v>15529</v>
      </c>
      <c r="V830" t="s">
        <v>15530</v>
      </c>
      <c r="W830" t="s">
        <v>15531</v>
      </c>
      <c r="X830" t="s">
        <v>3986</v>
      </c>
      <c r="Y830" t="s">
        <v>15532</v>
      </c>
      <c r="Z830" t="s">
        <v>15533</v>
      </c>
      <c r="AA830" t="s">
        <v>15534</v>
      </c>
      <c r="AB830" t="s">
        <v>15535</v>
      </c>
      <c r="AC830" t="s">
        <v>74</v>
      </c>
      <c r="AD830" t="s">
        <v>74</v>
      </c>
      <c r="AE830" t="s">
        <v>74</v>
      </c>
      <c r="AF830" t="s">
        <v>74</v>
      </c>
      <c r="AG830">
        <v>45</v>
      </c>
      <c r="AH830">
        <v>12</v>
      </c>
      <c r="AI830">
        <v>13</v>
      </c>
      <c r="AJ830">
        <v>0</v>
      </c>
      <c r="AK830">
        <v>19</v>
      </c>
      <c r="AL830" t="s">
        <v>3560</v>
      </c>
      <c r="AM830" t="s">
        <v>289</v>
      </c>
      <c r="AN830" t="s">
        <v>5440</v>
      </c>
      <c r="AO830" t="s">
        <v>15518</v>
      </c>
      <c r="AP830" t="s">
        <v>15519</v>
      </c>
      <c r="AQ830" t="s">
        <v>74</v>
      </c>
      <c r="AR830" t="s">
        <v>15520</v>
      </c>
      <c r="AS830" t="s">
        <v>15521</v>
      </c>
      <c r="AT830" t="s">
        <v>12574</v>
      </c>
      <c r="AU830">
        <v>2015</v>
      </c>
      <c r="AV830">
        <v>9</v>
      </c>
      <c r="AW830">
        <v>4</v>
      </c>
      <c r="AX830" t="s">
        <v>74</v>
      </c>
      <c r="AY830" t="s">
        <v>74</v>
      </c>
      <c r="AZ830" t="s">
        <v>2540</v>
      </c>
      <c r="BA830" t="s">
        <v>74</v>
      </c>
      <c r="BB830">
        <v>742</v>
      </c>
      <c r="BC830">
        <v>752</v>
      </c>
      <c r="BD830" t="s">
        <v>74</v>
      </c>
      <c r="BE830" t="s">
        <v>15536</v>
      </c>
      <c r="BF830" t="str">
        <f>HYPERLINK("http://dx.doi.org/10.1007/s11707-015-0541-4","http://dx.doi.org/10.1007/s11707-015-0541-4")</f>
        <v>http://dx.doi.org/10.1007/s11707-015-0541-4</v>
      </c>
      <c r="BG830" t="s">
        <v>74</v>
      </c>
      <c r="BH830" t="s">
        <v>74</v>
      </c>
      <c r="BI830">
        <v>11</v>
      </c>
      <c r="BJ830" t="s">
        <v>95</v>
      </c>
      <c r="BK830" t="s">
        <v>264</v>
      </c>
      <c r="BL830" t="s">
        <v>97</v>
      </c>
      <c r="BM830" t="s">
        <v>15523</v>
      </c>
      <c r="BN830" t="s">
        <v>74</v>
      </c>
      <c r="BO830" t="s">
        <v>74</v>
      </c>
      <c r="BP830" t="s">
        <v>74</v>
      </c>
      <c r="BQ830" t="s">
        <v>74</v>
      </c>
      <c r="BR830" t="s">
        <v>100</v>
      </c>
      <c r="BS830" t="s">
        <v>15537</v>
      </c>
      <c r="BT830" t="str">
        <f>HYPERLINK("https%3A%2F%2Fwww.webofscience.com%2Fwos%2Fwoscc%2Ffull-record%2FWOS:000364223500013","View Full Record in Web of Science")</f>
        <v>View Full Record in Web of Science</v>
      </c>
    </row>
    <row r="831" spans="1:72" x14ac:dyDescent="0.15">
      <c r="A831" t="s">
        <v>72</v>
      </c>
      <c r="B831" t="s">
        <v>15538</v>
      </c>
      <c r="C831" t="s">
        <v>74</v>
      </c>
      <c r="D831" t="s">
        <v>74</v>
      </c>
      <c r="E831" t="s">
        <v>74</v>
      </c>
      <c r="F831" t="s">
        <v>15539</v>
      </c>
      <c r="G831" t="s">
        <v>74</v>
      </c>
      <c r="H831" t="s">
        <v>74</v>
      </c>
      <c r="I831" t="s">
        <v>15540</v>
      </c>
      <c r="J831" t="s">
        <v>15181</v>
      </c>
      <c r="K831" t="s">
        <v>74</v>
      </c>
      <c r="L831" t="s">
        <v>74</v>
      </c>
      <c r="M831" t="s">
        <v>200</v>
      </c>
      <c r="N831" t="s">
        <v>79</v>
      </c>
      <c r="O831" t="s">
        <v>74</v>
      </c>
      <c r="P831" t="s">
        <v>74</v>
      </c>
      <c r="Q831" t="s">
        <v>74</v>
      </c>
      <c r="R831" t="s">
        <v>74</v>
      </c>
      <c r="S831" t="s">
        <v>74</v>
      </c>
      <c r="T831" t="s">
        <v>15541</v>
      </c>
      <c r="U831" t="s">
        <v>15542</v>
      </c>
      <c r="V831" t="s">
        <v>15543</v>
      </c>
      <c r="W831" t="s">
        <v>15544</v>
      </c>
      <c r="X831" t="s">
        <v>15545</v>
      </c>
      <c r="Y831" t="s">
        <v>15546</v>
      </c>
      <c r="Z831" t="s">
        <v>15547</v>
      </c>
      <c r="AA831" t="s">
        <v>15548</v>
      </c>
      <c r="AB831" t="s">
        <v>15549</v>
      </c>
      <c r="AC831" t="s">
        <v>15550</v>
      </c>
      <c r="AD831" t="s">
        <v>15551</v>
      </c>
      <c r="AE831" t="s">
        <v>15552</v>
      </c>
      <c r="AF831" t="s">
        <v>74</v>
      </c>
      <c r="AG831">
        <v>56</v>
      </c>
      <c r="AH831">
        <v>34</v>
      </c>
      <c r="AI831">
        <v>36</v>
      </c>
      <c r="AJ831">
        <v>1</v>
      </c>
      <c r="AK831">
        <v>42</v>
      </c>
      <c r="AL831" t="s">
        <v>3560</v>
      </c>
      <c r="AM831" t="s">
        <v>289</v>
      </c>
      <c r="AN831" t="s">
        <v>6124</v>
      </c>
      <c r="AO831" t="s">
        <v>15194</v>
      </c>
      <c r="AP831" t="s">
        <v>15195</v>
      </c>
      <c r="AQ831" t="s">
        <v>74</v>
      </c>
      <c r="AR831" t="s">
        <v>15181</v>
      </c>
      <c r="AS831" t="s">
        <v>15196</v>
      </c>
      <c r="AT831" t="s">
        <v>12574</v>
      </c>
      <c r="AU831">
        <v>2015</v>
      </c>
      <c r="AV831">
        <v>179</v>
      </c>
      <c r="AW831">
        <v>4</v>
      </c>
      <c r="AX831" t="s">
        <v>74</v>
      </c>
      <c r="AY831" t="s">
        <v>74</v>
      </c>
      <c r="AZ831" t="s">
        <v>74</v>
      </c>
      <c r="BA831" t="s">
        <v>74</v>
      </c>
      <c r="BB831">
        <v>1079</v>
      </c>
      <c r="BC831">
        <v>1090</v>
      </c>
      <c r="BD831" t="s">
        <v>74</v>
      </c>
      <c r="BE831" t="s">
        <v>15553</v>
      </c>
      <c r="BF831" t="str">
        <f>HYPERLINK("http://dx.doi.org/10.1007/s00442-015-3411-6","http://dx.doi.org/10.1007/s00442-015-3411-6")</f>
        <v>http://dx.doi.org/10.1007/s00442-015-3411-6</v>
      </c>
      <c r="BG831" t="s">
        <v>74</v>
      </c>
      <c r="BH831" t="s">
        <v>74</v>
      </c>
      <c r="BI831">
        <v>12</v>
      </c>
      <c r="BJ831" t="s">
        <v>5445</v>
      </c>
      <c r="BK831" t="s">
        <v>264</v>
      </c>
      <c r="BL831" t="s">
        <v>2887</v>
      </c>
      <c r="BM831" t="s">
        <v>15198</v>
      </c>
      <c r="BN831">
        <v>26245148</v>
      </c>
      <c r="BO831" t="s">
        <v>403</v>
      </c>
      <c r="BP831" t="s">
        <v>74</v>
      </c>
      <c r="BQ831" t="s">
        <v>74</v>
      </c>
      <c r="BR831" t="s">
        <v>100</v>
      </c>
      <c r="BS831" t="s">
        <v>15554</v>
      </c>
      <c r="BT831" t="str">
        <f>HYPERLINK("https%3A%2F%2Fwww.webofscience.com%2Fwos%2Fwoscc%2Ffull-record%2FWOS:000364226900014","View Full Record in Web of Science")</f>
        <v>View Full Record in Web of Science</v>
      </c>
    </row>
    <row r="832" spans="1:72" x14ac:dyDescent="0.15">
      <c r="A832" t="s">
        <v>72</v>
      </c>
      <c r="B832" t="s">
        <v>15555</v>
      </c>
      <c r="C832" t="s">
        <v>74</v>
      </c>
      <c r="D832" t="s">
        <v>74</v>
      </c>
      <c r="E832" t="s">
        <v>74</v>
      </c>
      <c r="F832" t="s">
        <v>15556</v>
      </c>
      <c r="G832" t="s">
        <v>74</v>
      </c>
      <c r="H832" t="s">
        <v>74</v>
      </c>
      <c r="I832" t="s">
        <v>15557</v>
      </c>
      <c r="J832" t="s">
        <v>14558</v>
      </c>
      <c r="K832" t="s">
        <v>74</v>
      </c>
      <c r="L832" t="s">
        <v>74</v>
      </c>
      <c r="M832" t="s">
        <v>200</v>
      </c>
      <c r="N832" t="s">
        <v>79</v>
      </c>
      <c r="O832" t="s">
        <v>74</v>
      </c>
      <c r="P832" t="s">
        <v>74</v>
      </c>
      <c r="Q832" t="s">
        <v>74</v>
      </c>
      <c r="R832" t="s">
        <v>74</v>
      </c>
      <c r="S832" t="s">
        <v>74</v>
      </c>
      <c r="T832" t="s">
        <v>15558</v>
      </c>
      <c r="U832" t="s">
        <v>15559</v>
      </c>
      <c r="V832" t="s">
        <v>15560</v>
      </c>
      <c r="W832" t="s">
        <v>15561</v>
      </c>
      <c r="X832" t="s">
        <v>15562</v>
      </c>
      <c r="Y832" t="s">
        <v>15563</v>
      </c>
      <c r="Z832" t="s">
        <v>15564</v>
      </c>
      <c r="AA832" t="s">
        <v>15565</v>
      </c>
      <c r="AB832" t="s">
        <v>15566</v>
      </c>
      <c r="AC832" t="s">
        <v>15567</v>
      </c>
      <c r="AD832" t="s">
        <v>15568</v>
      </c>
      <c r="AE832" t="s">
        <v>15569</v>
      </c>
      <c r="AF832" t="s">
        <v>74</v>
      </c>
      <c r="AG832">
        <v>63</v>
      </c>
      <c r="AH832">
        <v>135</v>
      </c>
      <c r="AI832">
        <v>140</v>
      </c>
      <c r="AJ832">
        <v>1</v>
      </c>
      <c r="AK832">
        <v>68</v>
      </c>
      <c r="AL832" t="s">
        <v>5464</v>
      </c>
      <c r="AM832" t="s">
        <v>5465</v>
      </c>
      <c r="AN832" t="s">
        <v>5466</v>
      </c>
      <c r="AO832" t="s">
        <v>14568</v>
      </c>
      <c r="AP832" t="s">
        <v>14569</v>
      </c>
      <c r="AQ832" t="s">
        <v>74</v>
      </c>
      <c r="AR832" t="s">
        <v>14570</v>
      </c>
      <c r="AS832" t="s">
        <v>14571</v>
      </c>
      <c r="AT832" t="s">
        <v>12574</v>
      </c>
      <c r="AU832">
        <v>2015</v>
      </c>
      <c r="AV832">
        <v>16</v>
      </c>
      <c r="AW832">
        <v>4</v>
      </c>
      <c r="AX832" t="s">
        <v>74</v>
      </c>
      <c r="AY832" t="s">
        <v>74</v>
      </c>
      <c r="AZ832" t="s">
        <v>74</v>
      </c>
      <c r="BA832" t="s">
        <v>74</v>
      </c>
      <c r="BB832">
        <v>684</v>
      </c>
      <c r="BC832">
        <v>696</v>
      </c>
      <c r="BD832" t="s">
        <v>74</v>
      </c>
      <c r="BE832" t="s">
        <v>15570</v>
      </c>
      <c r="BF832" t="str">
        <f>HYPERLINK("http://dx.doi.org/10.1111/faf.12087","http://dx.doi.org/10.1111/faf.12087")</f>
        <v>http://dx.doi.org/10.1111/faf.12087</v>
      </c>
      <c r="BG832" t="s">
        <v>74</v>
      </c>
      <c r="BH832" t="s">
        <v>74</v>
      </c>
      <c r="BI832">
        <v>13</v>
      </c>
      <c r="BJ832" t="s">
        <v>263</v>
      </c>
      <c r="BK832" t="s">
        <v>264</v>
      </c>
      <c r="BL832" t="s">
        <v>263</v>
      </c>
      <c r="BM832" t="s">
        <v>14573</v>
      </c>
      <c r="BN832" t="s">
        <v>74</v>
      </c>
      <c r="BO832" t="s">
        <v>74</v>
      </c>
      <c r="BP832" t="s">
        <v>74</v>
      </c>
      <c r="BQ832" t="s">
        <v>74</v>
      </c>
      <c r="BR832" t="s">
        <v>100</v>
      </c>
      <c r="BS832" t="s">
        <v>15571</v>
      </c>
      <c r="BT832" t="str">
        <f>HYPERLINK("https%3A%2F%2Fwww.webofscience.com%2Fwos%2Fwoscc%2Ffull-record%2FWOS:000363264400009","View Full Record in Web of Science")</f>
        <v>View Full Record in Web of Science</v>
      </c>
    </row>
    <row r="833" spans="1:72" x14ac:dyDescent="0.15">
      <c r="A833" t="s">
        <v>72</v>
      </c>
      <c r="B833" t="s">
        <v>15572</v>
      </c>
      <c r="C833" t="s">
        <v>74</v>
      </c>
      <c r="D833" t="s">
        <v>74</v>
      </c>
      <c r="E833" t="s">
        <v>74</v>
      </c>
      <c r="F833" t="s">
        <v>15573</v>
      </c>
      <c r="G833" t="s">
        <v>74</v>
      </c>
      <c r="H833" t="s">
        <v>74</v>
      </c>
      <c r="I833" t="s">
        <v>15574</v>
      </c>
      <c r="J833" t="s">
        <v>15575</v>
      </c>
      <c r="K833" t="s">
        <v>74</v>
      </c>
      <c r="L833" t="s">
        <v>74</v>
      </c>
      <c r="M833" t="s">
        <v>200</v>
      </c>
      <c r="N833" t="s">
        <v>79</v>
      </c>
      <c r="O833" t="s">
        <v>74</v>
      </c>
      <c r="P833" t="s">
        <v>74</v>
      </c>
      <c r="Q833" t="s">
        <v>74</v>
      </c>
      <c r="R833" t="s">
        <v>74</v>
      </c>
      <c r="S833" t="s">
        <v>74</v>
      </c>
      <c r="T833" t="s">
        <v>15576</v>
      </c>
      <c r="U833" t="s">
        <v>15577</v>
      </c>
      <c r="V833" t="s">
        <v>15578</v>
      </c>
      <c r="W833" t="s">
        <v>15579</v>
      </c>
      <c r="X833" t="s">
        <v>228</v>
      </c>
      <c r="Y833" t="s">
        <v>15580</v>
      </c>
      <c r="Z833" t="s">
        <v>15581</v>
      </c>
      <c r="AA833" t="s">
        <v>15582</v>
      </c>
      <c r="AB833" t="s">
        <v>15583</v>
      </c>
      <c r="AC833" t="s">
        <v>15584</v>
      </c>
      <c r="AD833" t="s">
        <v>15585</v>
      </c>
      <c r="AE833" t="s">
        <v>15586</v>
      </c>
      <c r="AF833" t="s">
        <v>74</v>
      </c>
      <c r="AG833">
        <v>95</v>
      </c>
      <c r="AH833">
        <v>26</v>
      </c>
      <c r="AI833">
        <v>27</v>
      </c>
      <c r="AJ833">
        <v>4</v>
      </c>
      <c r="AK833">
        <v>130</v>
      </c>
      <c r="AL833" t="s">
        <v>7218</v>
      </c>
      <c r="AM833" t="s">
        <v>1386</v>
      </c>
      <c r="AN833" t="s">
        <v>7219</v>
      </c>
      <c r="AO833" t="s">
        <v>15587</v>
      </c>
      <c r="AP833" t="s">
        <v>15588</v>
      </c>
      <c r="AQ833" t="s">
        <v>74</v>
      </c>
      <c r="AR833" t="s">
        <v>15589</v>
      </c>
      <c r="AS833" t="s">
        <v>15590</v>
      </c>
      <c r="AT833" t="s">
        <v>12574</v>
      </c>
      <c r="AU833">
        <v>2015</v>
      </c>
      <c r="AV833">
        <v>54</v>
      </c>
      <c r="AW833" t="s">
        <v>74</v>
      </c>
      <c r="AX833" t="s">
        <v>74</v>
      </c>
      <c r="AY833" t="s">
        <v>74</v>
      </c>
      <c r="AZ833" t="s">
        <v>74</v>
      </c>
      <c r="BA833" t="s">
        <v>74</v>
      </c>
      <c r="BB833">
        <v>35</v>
      </c>
      <c r="BC833">
        <v>43</v>
      </c>
      <c r="BD833" t="s">
        <v>74</v>
      </c>
      <c r="BE833" t="s">
        <v>15591</v>
      </c>
      <c r="BF833" t="str">
        <f>HYPERLINK("http://dx.doi.org/10.1016/j.envsci.2015.06.007","http://dx.doi.org/10.1016/j.envsci.2015.06.007")</f>
        <v>http://dx.doi.org/10.1016/j.envsci.2015.06.007</v>
      </c>
      <c r="BG833" t="s">
        <v>74</v>
      </c>
      <c r="BH833" t="s">
        <v>74</v>
      </c>
      <c r="BI833">
        <v>9</v>
      </c>
      <c r="BJ833" t="s">
        <v>5155</v>
      </c>
      <c r="BK833" t="s">
        <v>264</v>
      </c>
      <c r="BL833" t="s">
        <v>2887</v>
      </c>
      <c r="BM833" t="s">
        <v>15592</v>
      </c>
      <c r="BN833" t="s">
        <v>74</v>
      </c>
      <c r="BO833" t="s">
        <v>74</v>
      </c>
      <c r="BP833" t="s">
        <v>74</v>
      </c>
      <c r="BQ833" t="s">
        <v>74</v>
      </c>
      <c r="BR833" t="s">
        <v>100</v>
      </c>
      <c r="BS833" t="s">
        <v>15593</v>
      </c>
      <c r="BT833" t="str">
        <f>HYPERLINK("https%3A%2F%2Fwww.webofscience.com%2Fwos%2Fwoscc%2Ffull-record%2FWOS:000362603400005","View Full Record in Web of Science")</f>
        <v>View Full Record in Web of Science</v>
      </c>
    </row>
    <row r="834" spans="1:72" x14ac:dyDescent="0.15">
      <c r="A834" t="s">
        <v>72</v>
      </c>
      <c r="B834" t="s">
        <v>15594</v>
      </c>
      <c r="C834" t="s">
        <v>74</v>
      </c>
      <c r="D834" t="s">
        <v>74</v>
      </c>
      <c r="E834" t="s">
        <v>74</v>
      </c>
      <c r="F834" t="s">
        <v>15595</v>
      </c>
      <c r="G834" t="s">
        <v>74</v>
      </c>
      <c r="H834" t="s">
        <v>74</v>
      </c>
      <c r="I834" t="s">
        <v>15596</v>
      </c>
      <c r="J834" t="s">
        <v>8958</v>
      </c>
      <c r="K834" t="s">
        <v>74</v>
      </c>
      <c r="L834" t="s">
        <v>74</v>
      </c>
      <c r="M834" t="s">
        <v>200</v>
      </c>
      <c r="N834" t="s">
        <v>79</v>
      </c>
      <c r="O834" t="s">
        <v>74</v>
      </c>
      <c r="P834" t="s">
        <v>74</v>
      </c>
      <c r="Q834" t="s">
        <v>74</v>
      </c>
      <c r="R834" t="s">
        <v>74</v>
      </c>
      <c r="S834" t="s">
        <v>74</v>
      </c>
      <c r="T834" t="s">
        <v>15597</v>
      </c>
      <c r="U834" t="s">
        <v>15598</v>
      </c>
      <c r="V834" t="s">
        <v>15599</v>
      </c>
      <c r="W834" t="s">
        <v>15600</v>
      </c>
      <c r="X834" t="s">
        <v>74</v>
      </c>
      <c r="Y834" t="s">
        <v>15601</v>
      </c>
      <c r="Z834" t="s">
        <v>15602</v>
      </c>
      <c r="AA834" t="s">
        <v>74</v>
      </c>
      <c r="AB834" t="s">
        <v>15603</v>
      </c>
      <c r="AC834" t="s">
        <v>74</v>
      </c>
      <c r="AD834" t="s">
        <v>74</v>
      </c>
      <c r="AE834" t="s">
        <v>74</v>
      </c>
      <c r="AF834" t="s">
        <v>74</v>
      </c>
      <c r="AG834">
        <v>35</v>
      </c>
      <c r="AH834">
        <v>7</v>
      </c>
      <c r="AI834">
        <v>10</v>
      </c>
      <c r="AJ834">
        <v>3</v>
      </c>
      <c r="AK834">
        <v>30</v>
      </c>
      <c r="AL834" t="s">
        <v>7137</v>
      </c>
      <c r="AM834" t="s">
        <v>209</v>
      </c>
      <c r="AN834" t="s">
        <v>7138</v>
      </c>
      <c r="AO834" t="s">
        <v>8966</v>
      </c>
      <c r="AP834" t="s">
        <v>8967</v>
      </c>
      <c r="AQ834" t="s">
        <v>74</v>
      </c>
      <c r="AR834" t="s">
        <v>8968</v>
      </c>
      <c r="AS834" t="s">
        <v>8969</v>
      </c>
      <c r="AT834" t="s">
        <v>12574</v>
      </c>
      <c r="AU834">
        <v>2015</v>
      </c>
      <c r="AV834">
        <v>172</v>
      </c>
      <c r="AW834" t="s">
        <v>74</v>
      </c>
      <c r="AX834" t="s">
        <v>74</v>
      </c>
      <c r="AY834" t="s">
        <v>74</v>
      </c>
      <c r="AZ834" t="s">
        <v>74</v>
      </c>
      <c r="BA834" t="s">
        <v>74</v>
      </c>
      <c r="BB834">
        <v>234</v>
      </c>
      <c r="BC834">
        <v>242</v>
      </c>
      <c r="BD834" t="s">
        <v>74</v>
      </c>
      <c r="BE834" t="s">
        <v>15604</v>
      </c>
      <c r="BF834" t="str">
        <f>HYPERLINK("http://dx.doi.org/10.1016/j.fishres.2015.07.023","http://dx.doi.org/10.1016/j.fishres.2015.07.023")</f>
        <v>http://dx.doi.org/10.1016/j.fishres.2015.07.023</v>
      </c>
      <c r="BG834" t="s">
        <v>74</v>
      </c>
      <c r="BH834" t="s">
        <v>74</v>
      </c>
      <c r="BI834">
        <v>9</v>
      </c>
      <c r="BJ834" t="s">
        <v>263</v>
      </c>
      <c r="BK834" t="s">
        <v>264</v>
      </c>
      <c r="BL834" t="s">
        <v>263</v>
      </c>
      <c r="BM834" t="s">
        <v>15605</v>
      </c>
      <c r="BN834" t="s">
        <v>74</v>
      </c>
      <c r="BO834" t="s">
        <v>74</v>
      </c>
      <c r="BP834" t="s">
        <v>74</v>
      </c>
      <c r="BQ834" t="s">
        <v>74</v>
      </c>
      <c r="BR834" t="s">
        <v>100</v>
      </c>
      <c r="BS834" t="s">
        <v>15606</v>
      </c>
      <c r="BT834" t="str">
        <f>HYPERLINK("https%3A%2F%2Fwww.webofscience.com%2Fwos%2Fwoscc%2Ffull-record%2FWOS:000362138700026","View Full Record in Web of Science")</f>
        <v>View Full Record in Web of Science</v>
      </c>
    </row>
    <row r="835" spans="1:72" x14ac:dyDescent="0.15">
      <c r="A835" t="s">
        <v>72</v>
      </c>
      <c r="B835" t="s">
        <v>15607</v>
      </c>
      <c r="C835" t="s">
        <v>74</v>
      </c>
      <c r="D835" t="s">
        <v>74</v>
      </c>
      <c r="E835" t="s">
        <v>74</v>
      </c>
      <c r="F835" t="s">
        <v>15608</v>
      </c>
      <c r="G835" t="s">
        <v>74</v>
      </c>
      <c r="H835" t="s">
        <v>74</v>
      </c>
      <c r="I835" t="s">
        <v>15609</v>
      </c>
      <c r="J835" t="s">
        <v>15610</v>
      </c>
      <c r="K835" t="s">
        <v>74</v>
      </c>
      <c r="L835" t="s">
        <v>74</v>
      </c>
      <c r="M835" t="s">
        <v>200</v>
      </c>
      <c r="N835" t="s">
        <v>79</v>
      </c>
      <c r="O835" t="s">
        <v>74</v>
      </c>
      <c r="P835" t="s">
        <v>74</v>
      </c>
      <c r="Q835" t="s">
        <v>74</v>
      </c>
      <c r="R835" t="s">
        <v>74</v>
      </c>
      <c r="S835" t="s">
        <v>74</v>
      </c>
      <c r="T835" t="s">
        <v>15611</v>
      </c>
      <c r="U835" t="s">
        <v>15612</v>
      </c>
      <c r="V835" t="s">
        <v>15613</v>
      </c>
      <c r="W835" t="s">
        <v>15614</v>
      </c>
      <c r="X835" t="s">
        <v>15615</v>
      </c>
      <c r="Y835" t="s">
        <v>15616</v>
      </c>
      <c r="Z835" t="s">
        <v>15617</v>
      </c>
      <c r="AA835" t="s">
        <v>15618</v>
      </c>
      <c r="AB835" t="s">
        <v>15619</v>
      </c>
      <c r="AC835" t="s">
        <v>15620</v>
      </c>
      <c r="AD835" t="s">
        <v>15621</v>
      </c>
      <c r="AE835" t="s">
        <v>15622</v>
      </c>
      <c r="AF835" t="s">
        <v>74</v>
      </c>
      <c r="AG835">
        <v>100</v>
      </c>
      <c r="AH835">
        <v>20</v>
      </c>
      <c r="AI835">
        <v>21</v>
      </c>
      <c r="AJ835">
        <v>0</v>
      </c>
      <c r="AK835">
        <v>49</v>
      </c>
      <c r="AL835" t="s">
        <v>208</v>
      </c>
      <c r="AM835" t="s">
        <v>209</v>
      </c>
      <c r="AN835" t="s">
        <v>7114</v>
      </c>
      <c r="AO835" t="s">
        <v>15623</v>
      </c>
      <c r="AP835" t="s">
        <v>15624</v>
      </c>
      <c r="AQ835" t="s">
        <v>74</v>
      </c>
      <c r="AR835" t="s">
        <v>15625</v>
      </c>
      <c r="AS835" t="s">
        <v>15626</v>
      </c>
      <c r="AT835" t="s">
        <v>12574</v>
      </c>
      <c r="AU835">
        <v>2015</v>
      </c>
      <c r="AV835">
        <v>152</v>
      </c>
      <c r="AW835" t="s">
        <v>74</v>
      </c>
      <c r="AX835" t="s">
        <v>74</v>
      </c>
      <c r="AY835" t="s">
        <v>74</v>
      </c>
      <c r="AZ835" t="s">
        <v>74</v>
      </c>
      <c r="BA835" t="s">
        <v>74</v>
      </c>
      <c r="BB835">
        <v>18</v>
      </c>
      <c r="BC835">
        <v>41</v>
      </c>
      <c r="BD835" t="s">
        <v>74</v>
      </c>
      <c r="BE835" t="s">
        <v>15627</v>
      </c>
      <c r="BF835" t="str">
        <f>HYPERLINK("http://dx.doi.org/10.1016/j.jmarsys.2015.07.005","http://dx.doi.org/10.1016/j.jmarsys.2015.07.005")</f>
        <v>http://dx.doi.org/10.1016/j.jmarsys.2015.07.005</v>
      </c>
      <c r="BG835" t="s">
        <v>74</v>
      </c>
      <c r="BH835" t="s">
        <v>74</v>
      </c>
      <c r="BI835">
        <v>24</v>
      </c>
      <c r="BJ835" t="s">
        <v>15628</v>
      </c>
      <c r="BK835" t="s">
        <v>264</v>
      </c>
      <c r="BL835" t="s">
        <v>15629</v>
      </c>
      <c r="BM835" t="s">
        <v>15630</v>
      </c>
      <c r="BN835" t="s">
        <v>74</v>
      </c>
      <c r="BO835" t="s">
        <v>74</v>
      </c>
      <c r="BP835" t="s">
        <v>74</v>
      </c>
      <c r="BQ835" t="s">
        <v>74</v>
      </c>
      <c r="BR835" t="s">
        <v>100</v>
      </c>
      <c r="BS835" t="s">
        <v>15631</v>
      </c>
      <c r="BT835" t="str">
        <f>HYPERLINK("https%3A%2F%2Fwww.webofscience.com%2Fwos%2Fwoscc%2Ffull-record%2FWOS:000362382500002","View Full Record in Web of Science")</f>
        <v>View Full Record in Web of Science</v>
      </c>
    </row>
    <row r="836" spans="1:72" x14ac:dyDescent="0.15">
      <c r="A836" t="s">
        <v>72</v>
      </c>
      <c r="B836" t="s">
        <v>15632</v>
      </c>
      <c r="C836" t="s">
        <v>74</v>
      </c>
      <c r="D836" t="s">
        <v>74</v>
      </c>
      <c r="E836" t="s">
        <v>74</v>
      </c>
      <c r="F836" t="s">
        <v>15633</v>
      </c>
      <c r="G836" t="s">
        <v>74</v>
      </c>
      <c r="H836" t="s">
        <v>74</v>
      </c>
      <c r="I836" t="s">
        <v>15634</v>
      </c>
      <c r="J836" t="s">
        <v>15635</v>
      </c>
      <c r="K836" t="s">
        <v>74</v>
      </c>
      <c r="L836" t="s">
        <v>74</v>
      </c>
      <c r="M836" t="s">
        <v>200</v>
      </c>
      <c r="N836" t="s">
        <v>717</v>
      </c>
      <c r="O836" t="s">
        <v>74</v>
      </c>
      <c r="P836" t="s">
        <v>74</v>
      </c>
      <c r="Q836" t="s">
        <v>74</v>
      </c>
      <c r="R836" t="s">
        <v>74</v>
      </c>
      <c r="S836" t="s">
        <v>74</v>
      </c>
      <c r="T836" t="s">
        <v>15636</v>
      </c>
      <c r="U836" t="s">
        <v>15637</v>
      </c>
      <c r="V836" t="s">
        <v>15638</v>
      </c>
      <c r="W836" t="s">
        <v>15639</v>
      </c>
      <c r="X836" t="s">
        <v>15640</v>
      </c>
      <c r="Y836" t="s">
        <v>15641</v>
      </c>
      <c r="Z836" t="s">
        <v>15642</v>
      </c>
      <c r="AA836" t="s">
        <v>15643</v>
      </c>
      <c r="AB836" t="s">
        <v>15644</v>
      </c>
      <c r="AC836" t="s">
        <v>74</v>
      </c>
      <c r="AD836" t="s">
        <v>74</v>
      </c>
      <c r="AE836" t="s">
        <v>74</v>
      </c>
      <c r="AF836" t="s">
        <v>74</v>
      </c>
      <c r="AG836">
        <v>520</v>
      </c>
      <c r="AH836">
        <v>134</v>
      </c>
      <c r="AI836">
        <v>150</v>
      </c>
      <c r="AJ836">
        <v>0</v>
      </c>
      <c r="AK836">
        <v>94</v>
      </c>
      <c r="AL836" t="s">
        <v>15645</v>
      </c>
      <c r="AM836" t="s">
        <v>15646</v>
      </c>
      <c r="AN836" t="s">
        <v>15647</v>
      </c>
      <c r="AO836" t="s">
        <v>15648</v>
      </c>
      <c r="AP836" t="s">
        <v>74</v>
      </c>
      <c r="AQ836" t="s">
        <v>74</v>
      </c>
      <c r="AR836" t="s">
        <v>15649</v>
      </c>
      <c r="AS836" t="s">
        <v>15650</v>
      </c>
      <c r="AT836" t="s">
        <v>15651</v>
      </c>
      <c r="AU836">
        <v>2015</v>
      </c>
      <c r="AV836">
        <v>2</v>
      </c>
      <c r="AW836">
        <v>1</v>
      </c>
      <c r="AX836" t="s">
        <v>74</v>
      </c>
      <c r="AY836" t="s">
        <v>74</v>
      </c>
      <c r="AZ836" t="s">
        <v>74</v>
      </c>
      <c r="BA836" t="s">
        <v>74</v>
      </c>
      <c r="BB836">
        <v>152</v>
      </c>
      <c r="BC836">
        <v>195</v>
      </c>
      <c r="BD836" t="s">
        <v>74</v>
      </c>
      <c r="BE836" t="s">
        <v>74</v>
      </c>
      <c r="BF836" t="s">
        <v>74</v>
      </c>
      <c r="BG836" t="s">
        <v>74</v>
      </c>
      <c r="BH836" t="s">
        <v>74</v>
      </c>
      <c r="BI836">
        <v>44</v>
      </c>
      <c r="BJ836" t="s">
        <v>15652</v>
      </c>
      <c r="BK836" t="s">
        <v>96</v>
      </c>
      <c r="BL836" t="s">
        <v>15652</v>
      </c>
      <c r="BM836" t="s">
        <v>15653</v>
      </c>
      <c r="BN836" t="s">
        <v>74</v>
      </c>
      <c r="BO836" t="s">
        <v>8842</v>
      </c>
      <c r="BP836" t="s">
        <v>74</v>
      </c>
      <c r="BQ836" t="s">
        <v>74</v>
      </c>
      <c r="BR836" t="s">
        <v>100</v>
      </c>
      <c r="BS836" t="s">
        <v>15654</v>
      </c>
      <c r="BT836" t="str">
        <f>HYPERLINK("https%3A%2F%2Fwww.webofscience.com%2Fwos%2Fwoscc%2Ffull-record%2FWOS:000359432100003","View Full Record in Web of Science")</f>
        <v>View Full Record in Web of Science</v>
      </c>
    </row>
    <row r="837" spans="1:72" x14ac:dyDescent="0.15">
      <c r="A837" t="s">
        <v>72</v>
      </c>
      <c r="B837" t="s">
        <v>15655</v>
      </c>
      <c r="C837" t="s">
        <v>74</v>
      </c>
      <c r="D837" t="s">
        <v>74</v>
      </c>
      <c r="E837" t="s">
        <v>74</v>
      </c>
      <c r="F837" t="s">
        <v>15656</v>
      </c>
      <c r="G837" t="s">
        <v>74</v>
      </c>
      <c r="H837" t="s">
        <v>74</v>
      </c>
      <c r="I837" t="s">
        <v>15657</v>
      </c>
      <c r="J837" t="s">
        <v>15658</v>
      </c>
      <c r="K837" t="s">
        <v>74</v>
      </c>
      <c r="L837" t="s">
        <v>74</v>
      </c>
      <c r="M837" t="s">
        <v>200</v>
      </c>
      <c r="N837" t="s">
        <v>79</v>
      </c>
      <c r="O837" t="s">
        <v>74</v>
      </c>
      <c r="P837" t="s">
        <v>74</v>
      </c>
      <c r="Q837" t="s">
        <v>74</v>
      </c>
      <c r="R837" t="s">
        <v>74</v>
      </c>
      <c r="S837" t="s">
        <v>74</v>
      </c>
      <c r="T837" t="s">
        <v>15659</v>
      </c>
      <c r="U837" t="s">
        <v>15660</v>
      </c>
      <c r="V837" t="s">
        <v>15661</v>
      </c>
      <c r="W837" t="s">
        <v>15662</v>
      </c>
      <c r="X837" t="s">
        <v>3604</v>
      </c>
      <c r="Y837" t="s">
        <v>8981</v>
      </c>
      <c r="Z837" t="s">
        <v>8982</v>
      </c>
      <c r="AA837" t="s">
        <v>15663</v>
      </c>
      <c r="AB837" t="s">
        <v>74</v>
      </c>
      <c r="AC837" t="s">
        <v>15664</v>
      </c>
      <c r="AD837" t="s">
        <v>15665</v>
      </c>
      <c r="AE837" t="s">
        <v>15666</v>
      </c>
      <c r="AF837" t="s">
        <v>74</v>
      </c>
      <c r="AG837">
        <v>38</v>
      </c>
      <c r="AH837">
        <v>35</v>
      </c>
      <c r="AI837">
        <v>50</v>
      </c>
      <c r="AJ837">
        <v>12</v>
      </c>
      <c r="AK837">
        <v>120</v>
      </c>
      <c r="AL837" t="s">
        <v>7218</v>
      </c>
      <c r="AM837" t="s">
        <v>1386</v>
      </c>
      <c r="AN837" t="s">
        <v>7219</v>
      </c>
      <c r="AO837" t="s">
        <v>15667</v>
      </c>
      <c r="AP837" t="s">
        <v>15668</v>
      </c>
      <c r="AQ837" t="s">
        <v>74</v>
      </c>
      <c r="AR837" t="s">
        <v>15669</v>
      </c>
      <c r="AS837" t="s">
        <v>15670</v>
      </c>
      <c r="AT837" t="s">
        <v>13519</v>
      </c>
      <c r="AU837">
        <v>2015</v>
      </c>
      <c r="AV837">
        <v>188</v>
      </c>
      <c r="AW837" t="s">
        <v>74</v>
      </c>
      <c r="AX837" t="s">
        <v>74</v>
      </c>
      <c r="AY837" t="s">
        <v>74</v>
      </c>
      <c r="AZ837" t="s">
        <v>74</v>
      </c>
      <c r="BA837" t="s">
        <v>74</v>
      </c>
      <c r="BB837">
        <v>170</v>
      </c>
      <c r="BC837">
        <v>176</v>
      </c>
      <c r="BD837" t="s">
        <v>74</v>
      </c>
      <c r="BE837" t="s">
        <v>15671</v>
      </c>
      <c r="BF837" t="str">
        <f>HYPERLINK("http://dx.doi.org/10.1016/j.foodchem.2015.04.126","http://dx.doi.org/10.1016/j.foodchem.2015.04.126")</f>
        <v>http://dx.doi.org/10.1016/j.foodchem.2015.04.126</v>
      </c>
      <c r="BG837" t="s">
        <v>74</v>
      </c>
      <c r="BH837" t="s">
        <v>74</v>
      </c>
      <c r="BI837">
        <v>7</v>
      </c>
      <c r="BJ837" t="s">
        <v>15672</v>
      </c>
      <c r="BK837" t="s">
        <v>264</v>
      </c>
      <c r="BL837" t="s">
        <v>15673</v>
      </c>
      <c r="BM837" t="s">
        <v>15674</v>
      </c>
      <c r="BN837">
        <v>26041179</v>
      </c>
      <c r="BO837" t="s">
        <v>74</v>
      </c>
      <c r="BP837" t="s">
        <v>74</v>
      </c>
      <c r="BQ837" t="s">
        <v>74</v>
      </c>
      <c r="BR837" t="s">
        <v>100</v>
      </c>
      <c r="BS837" t="s">
        <v>15675</v>
      </c>
      <c r="BT837" t="str">
        <f>HYPERLINK("https%3A%2F%2Fwww.webofscience.com%2Fwos%2Fwoscc%2Ffull-record%2FWOS:000356548900024","View Full Record in Web of Science")</f>
        <v>View Full Record in Web of Science</v>
      </c>
    </row>
    <row r="838" spans="1:72" x14ac:dyDescent="0.15">
      <c r="A838" t="s">
        <v>72</v>
      </c>
      <c r="B838" t="s">
        <v>15676</v>
      </c>
      <c r="C838" t="s">
        <v>74</v>
      </c>
      <c r="D838" t="s">
        <v>74</v>
      </c>
      <c r="E838" t="s">
        <v>74</v>
      </c>
      <c r="F838" t="s">
        <v>15677</v>
      </c>
      <c r="G838" t="s">
        <v>74</v>
      </c>
      <c r="H838" t="s">
        <v>74</v>
      </c>
      <c r="I838" t="s">
        <v>15678</v>
      </c>
      <c r="J838" t="s">
        <v>15679</v>
      </c>
      <c r="K838" t="s">
        <v>74</v>
      </c>
      <c r="L838" t="s">
        <v>74</v>
      </c>
      <c r="M838" t="s">
        <v>200</v>
      </c>
      <c r="N838" t="s">
        <v>2895</v>
      </c>
      <c r="O838" t="s">
        <v>74</v>
      </c>
      <c r="P838" t="s">
        <v>74</v>
      </c>
      <c r="Q838" t="s">
        <v>74</v>
      </c>
      <c r="R838" t="s">
        <v>74</v>
      </c>
      <c r="S838" t="s">
        <v>74</v>
      </c>
      <c r="T838" t="s">
        <v>74</v>
      </c>
      <c r="U838" t="s">
        <v>74</v>
      </c>
      <c r="V838" t="s">
        <v>74</v>
      </c>
      <c r="W838" t="s">
        <v>15680</v>
      </c>
      <c r="X838" t="s">
        <v>74</v>
      </c>
      <c r="Y838" t="s">
        <v>15681</v>
      </c>
      <c r="Z838" t="s">
        <v>74</v>
      </c>
      <c r="AA838" t="s">
        <v>74</v>
      </c>
      <c r="AB838" t="s">
        <v>74</v>
      </c>
      <c r="AC838" t="s">
        <v>74</v>
      </c>
      <c r="AD838" t="s">
        <v>74</v>
      </c>
      <c r="AE838" t="s">
        <v>74</v>
      </c>
      <c r="AF838" t="s">
        <v>74</v>
      </c>
      <c r="AG838">
        <v>3</v>
      </c>
      <c r="AH838">
        <v>0</v>
      </c>
      <c r="AI838">
        <v>0</v>
      </c>
      <c r="AJ838">
        <v>0</v>
      </c>
      <c r="AK838">
        <v>5</v>
      </c>
      <c r="AL838" t="s">
        <v>15682</v>
      </c>
      <c r="AM838" t="s">
        <v>15683</v>
      </c>
      <c r="AN838" t="s">
        <v>15684</v>
      </c>
      <c r="AO838" t="s">
        <v>15685</v>
      </c>
      <c r="AP838" t="s">
        <v>74</v>
      </c>
      <c r="AQ838" t="s">
        <v>74</v>
      </c>
      <c r="AR838" t="s">
        <v>15686</v>
      </c>
      <c r="AS838" t="s">
        <v>15687</v>
      </c>
      <c r="AT838" t="s">
        <v>15651</v>
      </c>
      <c r="AU838">
        <v>2015</v>
      </c>
      <c r="AV838">
        <v>51</v>
      </c>
      <c r="AW838">
        <v>1</v>
      </c>
      <c r="AX838" t="s">
        <v>74</v>
      </c>
      <c r="AY838" t="s">
        <v>74</v>
      </c>
      <c r="AZ838" t="s">
        <v>74</v>
      </c>
      <c r="BA838" t="s">
        <v>74</v>
      </c>
      <c r="BB838">
        <v>93</v>
      </c>
      <c r="BC838">
        <v>96</v>
      </c>
      <c r="BD838" t="s">
        <v>74</v>
      </c>
      <c r="BE838" t="s">
        <v>74</v>
      </c>
      <c r="BF838" t="s">
        <v>74</v>
      </c>
      <c r="BG838" t="s">
        <v>74</v>
      </c>
      <c r="BH838" t="s">
        <v>74</v>
      </c>
      <c r="BI838">
        <v>4</v>
      </c>
      <c r="BJ838" t="s">
        <v>15688</v>
      </c>
      <c r="BK838" t="s">
        <v>15689</v>
      </c>
      <c r="BL838" t="s">
        <v>15690</v>
      </c>
      <c r="BM838" t="s">
        <v>15691</v>
      </c>
      <c r="BN838" t="s">
        <v>74</v>
      </c>
      <c r="BO838" t="s">
        <v>74</v>
      </c>
      <c r="BP838" t="s">
        <v>74</v>
      </c>
      <c r="BQ838" t="s">
        <v>74</v>
      </c>
      <c r="BR838" t="s">
        <v>100</v>
      </c>
      <c r="BS838" t="s">
        <v>15692</v>
      </c>
      <c r="BT838" t="str">
        <f>HYPERLINK("https%3A%2F%2Fwww.webofscience.com%2Fwos%2Fwoscc%2Ffull-record%2FWOS:000353071300005","View Full Record in Web of Science")</f>
        <v>View Full Record in Web of Science</v>
      </c>
    </row>
    <row r="839" spans="1:72" x14ac:dyDescent="0.15">
      <c r="A839" t="s">
        <v>72</v>
      </c>
      <c r="B839" t="s">
        <v>15693</v>
      </c>
      <c r="C839" t="s">
        <v>74</v>
      </c>
      <c r="D839" t="s">
        <v>74</v>
      </c>
      <c r="E839" t="s">
        <v>74</v>
      </c>
      <c r="F839" t="s">
        <v>15694</v>
      </c>
      <c r="G839" t="s">
        <v>74</v>
      </c>
      <c r="H839" t="s">
        <v>74</v>
      </c>
      <c r="I839" t="s">
        <v>15695</v>
      </c>
      <c r="J839" t="s">
        <v>11834</v>
      </c>
      <c r="K839" t="s">
        <v>74</v>
      </c>
      <c r="L839" t="s">
        <v>74</v>
      </c>
      <c r="M839" t="s">
        <v>200</v>
      </c>
      <c r="N839" t="s">
        <v>79</v>
      </c>
      <c r="O839" t="s">
        <v>74</v>
      </c>
      <c r="P839" t="s">
        <v>74</v>
      </c>
      <c r="Q839" t="s">
        <v>74</v>
      </c>
      <c r="R839" t="s">
        <v>74</v>
      </c>
      <c r="S839" t="s">
        <v>74</v>
      </c>
      <c r="T839" t="s">
        <v>74</v>
      </c>
      <c r="U839" t="s">
        <v>15696</v>
      </c>
      <c r="V839" t="s">
        <v>15697</v>
      </c>
      <c r="W839" t="s">
        <v>15698</v>
      </c>
      <c r="X839" t="s">
        <v>15699</v>
      </c>
      <c r="Y839" t="s">
        <v>15700</v>
      </c>
      <c r="Z839" t="s">
        <v>15701</v>
      </c>
      <c r="AA839" t="s">
        <v>15702</v>
      </c>
      <c r="AB839" t="s">
        <v>15703</v>
      </c>
      <c r="AC839" t="s">
        <v>74</v>
      </c>
      <c r="AD839" t="s">
        <v>74</v>
      </c>
      <c r="AE839" t="s">
        <v>74</v>
      </c>
      <c r="AF839" t="s">
        <v>74</v>
      </c>
      <c r="AG839">
        <v>38</v>
      </c>
      <c r="AH839">
        <v>34</v>
      </c>
      <c r="AI839">
        <v>37</v>
      </c>
      <c r="AJ839">
        <v>1</v>
      </c>
      <c r="AK839">
        <v>45</v>
      </c>
      <c r="AL839" t="s">
        <v>11845</v>
      </c>
      <c r="AM839" t="s">
        <v>2354</v>
      </c>
      <c r="AN839" t="s">
        <v>11846</v>
      </c>
      <c r="AO839" t="s">
        <v>11847</v>
      </c>
      <c r="AP839" t="s">
        <v>74</v>
      </c>
      <c r="AQ839" t="s">
        <v>74</v>
      </c>
      <c r="AR839" t="s">
        <v>11848</v>
      </c>
      <c r="AS839" t="s">
        <v>11849</v>
      </c>
      <c r="AT839" t="s">
        <v>15704</v>
      </c>
      <c r="AU839">
        <v>2015</v>
      </c>
      <c r="AV839">
        <v>5</v>
      </c>
      <c r="AW839" t="s">
        <v>74</v>
      </c>
      <c r="AX839" t="s">
        <v>74</v>
      </c>
      <c r="AY839" t="s">
        <v>74</v>
      </c>
      <c r="AZ839" t="s">
        <v>74</v>
      </c>
      <c r="BA839" t="s">
        <v>74</v>
      </c>
      <c r="BB839" t="s">
        <v>74</v>
      </c>
      <c r="BC839" t="s">
        <v>74</v>
      </c>
      <c r="BD839">
        <v>17442</v>
      </c>
      <c r="BE839" t="s">
        <v>15705</v>
      </c>
      <c r="BF839" t="str">
        <f>HYPERLINK("http://dx.doi.org/10.1038/srep17442","http://dx.doi.org/10.1038/srep17442")</f>
        <v>http://dx.doi.org/10.1038/srep17442</v>
      </c>
      <c r="BG839" t="s">
        <v>74</v>
      </c>
      <c r="BH839" t="s">
        <v>74</v>
      </c>
      <c r="BI839">
        <v>9</v>
      </c>
      <c r="BJ839" t="s">
        <v>3540</v>
      </c>
      <c r="BK839" t="s">
        <v>264</v>
      </c>
      <c r="BL839" t="s">
        <v>3541</v>
      </c>
      <c r="BM839" t="s">
        <v>15706</v>
      </c>
      <c r="BN839">
        <v>26616338</v>
      </c>
      <c r="BO839" t="s">
        <v>9145</v>
      </c>
      <c r="BP839" t="s">
        <v>74</v>
      </c>
      <c r="BQ839" t="s">
        <v>74</v>
      </c>
      <c r="BR839" t="s">
        <v>100</v>
      </c>
      <c r="BS839" t="s">
        <v>15707</v>
      </c>
      <c r="BT839" t="str">
        <f>HYPERLINK("https%3A%2F%2Fwww.webofscience.com%2Fwos%2Fwoscc%2Ffull-record%2FWOS:000365418800002","View Full Record in Web of Science")</f>
        <v>View Full Record in Web of Science</v>
      </c>
    </row>
    <row r="840" spans="1:72" x14ac:dyDescent="0.15">
      <c r="A840" t="s">
        <v>72</v>
      </c>
      <c r="B840" t="s">
        <v>15708</v>
      </c>
      <c r="C840" t="s">
        <v>74</v>
      </c>
      <c r="D840" t="s">
        <v>74</v>
      </c>
      <c r="E840" t="s">
        <v>74</v>
      </c>
      <c r="F840" t="s">
        <v>15709</v>
      </c>
      <c r="G840" t="s">
        <v>74</v>
      </c>
      <c r="H840" t="s">
        <v>74</v>
      </c>
      <c r="I840" t="s">
        <v>15710</v>
      </c>
      <c r="J840" t="s">
        <v>12323</v>
      </c>
      <c r="K840" t="s">
        <v>74</v>
      </c>
      <c r="L840" t="s">
        <v>74</v>
      </c>
      <c r="M840" t="s">
        <v>200</v>
      </c>
      <c r="N840" t="s">
        <v>79</v>
      </c>
      <c r="O840" t="s">
        <v>74</v>
      </c>
      <c r="P840" t="s">
        <v>74</v>
      </c>
      <c r="Q840" t="s">
        <v>74</v>
      </c>
      <c r="R840" t="s">
        <v>74</v>
      </c>
      <c r="S840" t="s">
        <v>74</v>
      </c>
      <c r="T840" t="s">
        <v>74</v>
      </c>
      <c r="U840" t="s">
        <v>15711</v>
      </c>
      <c r="V840" t="s">
        <v>15712</v>
      </c>
      <c r="W840" t="s">
        <v>15713</v>
      </c>
      <c r="X840" t="s">
        <v>15714</v>
      </c>
      <c r="Y840" t="s">
        <v>15715</v>
      </c>
      <c r="Z840" t="s">
        <v>15716</v>
      </c>
      <c r="AA840" t="s">
        <v>74</v>
      </c>
      <c r="AB840" t="s">
        <v>15717</v>
      </c>
      <c r="AC840" t="s">
        <v>15718</v>
      </c>
      <c r="AD840" t="s">
        <v>15718</v>
      </c>
      <c r="AE840" t="s">
        <v>15719</v>
      </c>
      <c r="AF840" t="s">
        <v>74</v>
      </c>
      <c r="AG840">
        <v>85</v>
      </c>
      <c r="AH840">
        <v>8</v>
      </c>
      <c r="AI840">
        <v>9</v>
      </c>
      <c r="AJ840">
        <v>0</v>
      </c>
      <c r="AK840">
        <v>16</v>
      </c>
      <c r="AL840" t="s">
        <v>12335</v>
      </c>
      <c r="AM840" t="s">
        <v>5664</v>
      </c>
      <c r="AN840" t="s">
        <v>12336</v>
      </c>
      <c r="AO840" t="s">
        <v>12337</v>
      </c>
      <c r="AP840" t="s">
        <v>74</v>
      </c>
      <c r="AQ840" t="s">
        <v>74</v>
      </c>
      <c r="AR840" t="s">
        <v>12323</v>
      </c>
      <c r="AS840" t="s">
        <v>12338</v>
      </c>
      <c r="AT840" t="s">
        <v>15704</v>
      </c>
      <c r="AU840">
        <v>2015</v>
      </c>
      <c r="AV840">
        <v>10</v>
      </c>
      <c r="AW840">
        <v>11</v>
      </c>
      <c r="AX840" t="s">
        <v>74</v>
      </c>
      <c r="AY840" t="s">
        <v>74</v>
      </c>
      <c r="AZ840" t="s">
        <v>74</v>
      </c>
      <c r="BA840" t="s">
        <v>74</v>
      </c>
      <c r="BB840" t="s">
        <v>74</v>
      </c>
      <c r="BC840" t="s">
        <v>74</v>
      </c>
      <c r="BD840" t="s">
        <v>15720</v>
      </c>
      <c r="BE840" t="s">
        <v>15721</v>
      </c>
      <c r="BF840" t="str">
        <f>HYPERLINK("http://dx.doi.org/10.1371/journal.pone.0143921","http://dx.doi.org/10.1371/journal.pone.0143921")</f>
        <v>http://dx.doi.org/10.1371/journal.pone.0143921</v>
      </c>
      <c r="BG840" t="s">
        <v>74</v>
      </c>
      <c r="BH840" t="s">
        <v>74</v>
      </c>
      <c r="BI840">
        <v>27</v>
      </c>
      <c r="BJ840" t="s">
        <v>3540</v>
      </c>
      <c r="BK840" t="s">
        <v>264</v>
      </c>
      <c r="BL840" t="s">
        <v>3541</v>
      </c>
      <c r="BM840" t="s">
        <v>15722</v>
      </c>
      <c r="BN840">
        <v>26618354</v>
      </c>
      <c r="BO840" t="s">
        <v>2110</v>
      </c>
      <c r="BP840" t="s">
        <v>74</v>
      </c>
      <c r="BQ840" t="s">
        <v>74</v>
      </c>
      <c r="BR840" t="s">
        <v>100</v>
      </c>
      <c r="BS840" t="s">
        <v>15723</v>
      </c>
      <c r="BT840" t="str">
        <f>HYPERLINK("https%3A%2F%2Fwww.webofscience.com%2Fwos%2Fwoscc%2Ffull-record%2FWOS:000365889800088","View Full Record in Web of Science")</f>
        <v>View Full Record in Web of Science</v>
      </c>
    </row>
    <row r="841" spans="1:72" x14ac:dyDescent="0.15">
      <c r="A841" t="s">
        <v>72</v>
      </c>
      <c r="B841" t="s">
        <v>15724</v>
      </c>
      <c r="C841" t="s">
        <v>74</v>
      </c>
      <c r="D841" t="s">
        <v>74</v>
      </c>
      <c r="E841" t="s">
        <v>74</v>
      </c>
      <c r="F841" t="s">
        <v>15725</v>
      </c>
      <c r="G841" t="s">
        <v>74</v>
      </c>
      <c r="H841" t="s">
        <v>74</v>
      </c>
      <c r="I841" t="s">
        <v>15726</v>
      </c>
      <c r="J841" t="s">
        <v>15727</v>
      </c>
      <c r="K841" t="s">
        <v>74</v>
      </c>
      <c r="L841" t="s">
        <v>74</v>
      </c>
      <c r="M841" t="s">
        <v>200</v>
      </c>
      <c r="N841" t="s">
        <v>79</v>
      </c>
      <c r="O841" t="s">
        <v>74</v>
      </c>
      <c r="P841" t="s">
        <v>74</v>
      </c>
      <c r="Q841" t="s">
        <v>74</v>
      </c>
      <c r="R841" t="s">
        <v>74</v>
      </c>
      <c r="S841" t="s">
        <v>74</v>
      </c>
      <c r="T841" t="s">
        <v>15728</v>
      </c>
      <c r="U841" t="s">
        <v>15729</v>
      </c>
      <c r="V841" t="s">
        <v>15730</v>
      </c>
      <c r="W841" t="s">
        <v>15731</v>
      </c>
      <c r="X841" t="s">
        <v>15732</v>
      </c>
      <c r="Y841" t="s">
        <v>15733</v>
      </c>
      <c r="Z841" t="s">
        <v>15734</v>
      </c>
      <c r="AA841" t="s">
        <v>15735</v>
      </c>
      <c r="AB841" t="s">
        <v>15736</v>
      </c>
      <c r="AC841" t="s">
        <v>15737</v>
      </c>
      <c r="AD841" t="s">
        <v>15737</v>
      </c>
      <c r="AE841" t="s">
        <v>15738</v>
      </c>
      <c r="AF841" t="s">
        <v>74</v>
      </c>
      <c r="AG841">
        <v>33</v>
      </c>
      <c r="AH841">
        <v>6</v>
      </c>
      <c r="AI841">
        <v>6</v>
      </c>
      <c r="AJ841">
        <v>0</v>
      </c>
      <c r="AK841">
        <v>5</v>
      </c>
      <c r="AL841" t="s">
        <v>11456</v>
      </c>
      <c r="AM841" t="s">
        <v>2100</v>
      </c>
      <c r="AN841" t="s">
        <v>11457</v>
      </c>
      <c r="AO841" t="s">
        <v>15739</v>
      </c>
      <c r="AP841" t="s">
        <v>15740</v>
      </c>
      <c r="AQ841" t="s">
        <v>74</v>
      </c>
      <c r="AR841" t="s">
        <v>15741</v>
      </c>
      <c r="AS841" t="s">
        <v>15742</v>
      </c>
      <c r="AT841" t="s">
        <v>15743</v>
      </c>
      <c r="AU841">
        <v>2015</v>
      </c>
      <c r="AV841">
        <v>373</v>
      </c>
      <c r="AW841">
        <v>2055</v>
      </c>
      <c r="AX841" t="s">
        <v>74</v>
      </c>
      <c r="AY841" t="s">
        <v>74</v>
      </c>
      <c r="AZ841" t="s">
        <v>74</v>
      </c>
      <c r="BA841" t="s">
        <v>74</v>
      </c>
      <c r="BB841" t="s">
        <v>74</v>
      </c>
      <c r="BC841" t="s">
        <v>74</v>
      </c>
      <c r="BD841">
        <v>20140463</v>
      </c>
      <c r="BE841" t="s">
        <v>15744</v>
      </c>
      <c r="BF841" t="str">
        <f>HYPERLINK("http://dx.doi.org/10.1098/rsta.2014.0463","http://dx.doi.org/10.1098/rsta.2014.0463")</f>
        <v>http://dx.doi.org/10.1098/rsta.2014.0463</v>
      </c>
      <c r="BG841" t="s">
        <v>74</v>
      </c>
      <c r="BH841" t="s">
        <v>74</v>
      </c>
      <c r="BI841">
        <v>14</v>
      </c>
      <c r="BJ841" t="s">
        <v>3540</v>
      </c>
      <c r="BK841" t="s">
        <v>264</v>
      </c>
      <c r="BL841" t="s">
        <v>3541</v>
      </c>
      <c r="BM841" t="s">
        <v>15745</v>
      </c>
      <c r="BN841">
        <v>26460114</v>
      </c>
      <c r="BO841" t="s">
        <v>486</v>
      </c>
      <c r="BP841" t="s">
        <v>74</v>
      </c>
      <c r="BQ841" t="s">
        <v>74</v>
      </c>
      <c r="BR841" t="s">
        <v>100</v>
      </c>
      <c r="BS841" t="s">
        <v>15746</v>
      </c>
      <c r="BT841" t="str">
        <f>HYPERLINK("https%3A%2F%2Fwww.webofscience.com%2Fwos%2Fwoscc%2Ffull-record%2FWOS:000366271700008","View Full Record in Web of Science")</f>
        <v>View Full Record in Web of Science</v>
      </c>
    </row>
    <row r="842" spans="1:72" x14ac:dyDescent="0.15">
      <c r="A842" t="s">
        <v>72</v>
      </c>
      <c r="B842" t="s">
        <v>15747</v>
      </c>
      <c r="C842" t="s">
        <v>74</v>
      </c>
      <c r="D842" t="s">
        <v>74</v>
      </c>
      <c r="E842" t="s">
        <v>74</v>
      </c>
      <c r="F842" t="s">
        <v>15748</v>
      </c>
      <c r="G842" t="s">
        <v>74</v>
      </c>
      <c r="H842" t="s">
        <v>74</v>
      </c>
      <c r="I842" t="s">
        <v>15749</v>
      </c>
      <c r="J842" t="s">
        <v>11754</v>
      </c>
      <c r="K842" t="s">
        <v>74</v>
      </c>
      <c r="L842" t="s">
        <v>74</v>
      </c>
      <c r="M842" t="s">
        <v>200</v>
      </c>
      <c r="N842" t="s">
        <v>79</v>
      </c>
      <c r="O842" t="s">
        <v>74</v>
      </c>
      <c r="P842" t="s">
        <v>74</v>
      </c>
      <c r="Q842" t="s">
        <v>74</v>
      </c>
      <c r="R842" t="s">
        <v>74</v>
      </c>
      <c r="S842" t="s">
        <v>74</v>
      </c>
      <c r="T842" t="s">
        <v>74</v>
      </c>
      <c r="U842" t="s">
        <v>15750</v>
      </c>
      <c r="V842" t="s">
        <v>15751</v>
      </c>
      <c r="W842" t="s">
        <v>15752</v>
      </c>
      <c r="X842" t="s">
        <v>15753</v>
      </c>
      <c r="Y842" t="s">
        <v>9942</v>
      </c>
      <c r="Z842" t="s">
        <v>9943</v>
      </c>
      <c r="AA842" t="s">
        <v>15754</v>
      </c>
      <c r="AB842" t="s">
        <v>15755</v>
      </c>
      <c r="AC842" t="s">
        <v>15756</v>
      </c>
      <c r="AD842" t="s">
        <v>15757</v>
      </c>
      <c r="AE842" t="s">
        <v>15758</v>
      </c>
      <c r="AF842" t="s">
        <v>74</v>
      </c>
      <c r="AG842">
        <v>36</v>
      </c>
      <c r="AH842">
        <v>60</v>
      </c>
      <c r="AI842">
        <v>65</v>
      </c>
      <c r="AJ842">
        <v>2</v>
      </c>
      <c r="AK842">
        <v>6</v>
      </c>
      <c r="AL842" t="s">
        <v>2410</v>
      </c>
      <c r="AM842" t="s">
        <v>1559</v>
      </c>
      <c r="AN842" t="s">
        <v>2411</v>
      </c>
      <c r="AO842" t="s">
        <v>11767</v>
      </c>
      <c r="AP842" t="s">
        <v>11768</v>
      </c>
      <c r="AQ842" t="s">
        <v>74</v>
      </c>
      <c r="AR842" t="s">
        <v>11769</v>
      </c>
      <c r="AS842" t="s">
        <v>11770</v>
      </c>
      <c r="AT842" t="s">
        <v>15743</v>
      </c>
      <c r="AU842">
        <v>2015</v>
      </c>
      <c r="AV842">
        <v>42</v>
      </c>
      <c r="AW842">
        <v>22</v>
      </c>
      <c r="AX842" t="s">
        <v>74</v>
      </c>
      <c r="AY842" t="s">
        <v>74</v>
      </c>
      <c r="AZ842" t="s">
        <v>74</v>
      </c>
      <c r="BA842" t="s">
        <v>74</v>
      </c>
      <c r="BB842">
        <v>9633</v>
      </c>
      <c r="BC842">
        <v>9641</v>
      </c>
      <c r="BD842" t="s">
        <v>74</v>
      </c>
      <c r="BE842" t="s">
        <v>15759</v>
      </c>
      <c r="BF842" t="str">
        <f>HYPERLINK("http://dx.doi.org/10.1002/2015GL066581","http://dx.doi.org/10.1002/2015GL066581")</f>
        <v>http://dx.doi.org/10.1002/2015GL066581</v>
      </c>
      <c r="BG842" t="s">
        <v>74</v>
      </c>
      <c r="BH842" t="s">
        <v>74</v>
      </c>
      <c r="BI842">
        <v>9</v>
      </c>
      <c r="BJ842" t="s">
        <v>95</v>
      </c>
      <c r="BK842" t="s">
        <v>264</v>
      </c>
      <c r="BL842" t="s">
        <v>97</v>
      </c>
      <c r="BM842" t="s">
        <v>15760</v>
      </c>
      <c r="BN842" t="s">
        <v>74</v>
      </c>
      <c r="BO842" t="s">
        <v>13558</v>
      </c>
      <c r="BP842" t="s">
        <v>74</v>
      </c>
      <c r="BQ842" t="s">
        <v>74</v>
      </c>
      <c r="BR842" t="s">
        <v>100</v>
      </c>
      <c r="BS842" t="s">
        <v>15761</v>
      </c>
      <c r="BT842" t="str">
        <f>HYPERLINK("https%3A%2F%2Fwww.webofscience.com%2Fwos%2Fwoscc%2Ffull-record%2FWOS:000368343200006","View Full Record in Web of Science")</f>
        <v>View Full Record in Web of Science</v>
      </c>
    </row>
    <row r="843" spans="1:72" x14ac:dyDescent="0.15">
      <c r="A843" t="s">
        <v>72</v>
      </c>
      <c r="B843" t="s">
        <v>15762</v>
      </c>
      <c r="C843" t="s">
        <v>74</v>
      </c>
      <c r="D843" t="s">
        <v>74</v>
      </c>
      <c r="E843" t="s">
        <v>74</v>
      </c>
      <c r="F843" t="s">
        <v>15763</v>
      </c>
      <c r="G843" t="s">
        <v>74</v>
      </c>
      <c r="H843" t="s">
        <v>74</v>
      </c>
      <c r="I843" t="s">
        <v>15764</v>
      </c>
      <c r="J843" t="s">
        <v>11754</v>
      </c>
      <c r="K843" t="s">
        <v>74</v>
      </c>
      <c r="L843" t="s">
        <v>74</v>
      </c>
      <c r="M843" t="s">
        <v>200</v>
      </c>
      <c r="N843" t="s">
        <v>79</v>
      </c>
      <c r="O843" t="s">
        <v>74</v>
      </c>
      <c r="P843" t="s">
        <v>74</v>
      </c>
      <c r="Q843" t="s">
        <v>74</v>
      </c>
      <c r="R843" t="s">
        <v>74</v>
      </c>
      <c r="S843" t="s">
        <v>74</v>
      </c>
      <c r="T843" t="s">
        <v>74</v>
      </c>
      <c r="U843" t="s">
        <v>15765</v>
      </c>
      <c r="V843" t="s">
        <v>15766</v>
      </c>
      <c r="W843" t="s">
        <v>15767</v>
      </c>
      <c r="X843" t="s">
        <v>15768</v>
      </c>
      <c r="Y843" t="s">
        <v>15769</v>
      </c>
      <c r="Z843" t="s">
        <v>15770</v>
      </c>
      <c r="AA843" t="s">
        <v>15771</v>
      </c>
      <c r="AB843" t="s">
        <v>15772</v>
      </c>
      <c r="AC843" t="s">
        <v>15773</v>
      </c>
      <c r="AD843" t="s">
        <v>15774</v>
      </c>
      <c r="AE843" t="s">
        <v>15775</v>
      </c>
      <c r="AF843" t="s">
        <v>74</v>
      </c>
      <c r="AG843">
        <v>28</v>
      </c>
      <c r="AH843">
        <v>32</v>
      </c>
      <c r="AI843">
        <v>34</v>
      </c>
      <c r="AJ843">
        <v>0</v>
      </c>
      <c r="AK843">
        <v>10</v>
      </c>
      <c r="AL843" t="s">
        <v>2410</v>
      </c>
      <c r="AM843" t="s">
        <v>1559</v>
      </c>
      <c r="AN843" t="s">
        <v>2411</v>
      </c>
      <c r="AO843" t="s">
        <v>11767</v>
      </c>
      <c r="AP843" t="s">
        <v>11768</v>
      </c>
      <c r="AQ843" t="s">
        <v>74</v>
      </c>
      <c r="AR843" t="s">
        <v>11769</v>
      </c>
      <c r="AS843" t="s">
        <v>11770</v>
      </c>
      <c r="AT843" t="s">
        <v>15743</v>
      </c>
      <c r="AU843">
        <v>2015</v>
      </c>
      <c r="AV843">
        <v>42</v>
      </c>
      <c r="AW843">
        <v>22</v>
      </c>
      <c r="AX843" t="s">
        <v>74</v>
      </c>
      <c r="AY843" t="s">
        <v>74</v>
      </c>
      <c r="AZ843" t="s">
        <v>74</v>
      </c>
      <c r="BA843" t="s">
        <v>74</v>
      </c>
      <c r="BB843">
        <v>9694</v>
      </c>
      <c r="BC843">
        <v>9701</v>
      </c>
      <c r="BD843" t="s">
        <v>74</v>
      </c>
      <c r="BE843" t="s">
        <v>15776</v>
      </c>
      <c r="BF843" t="str">
        <f>HYPERLINK("http://dx.doi.org/10.1002/2015GL066255","http://dx.doi.org/10.1002/2015GL066255")</f>
        <v>http://dx.doi.org/10.1002/2015GL066255</v>
      </c>
      <c r="BG843" t="s">
        <v>74</v>
      </c>
      <c r="BH843" t="s">
        <v>74</v>
      </c>
      <c r="BI843">
        <v>8</v>
      </c>
      <c r="BJ843" t="s">
        <v>95</v>
      </c>
      <c r="BK843" t="s">
        <v>264</v>
      </c>
      <c r="BL843" t="s">
        <v>97</v>
      </c>
      <c r="BM843" t="s">
        <v>15760</v>
      </c>
      <c r="BN843" t="s">
        <v>74</v>
      </c>
      <c r="BO843" t="s">
        <v>15777</v>
      </c>
      <c r="BP843" t="s">
        <v>74</v>
      </c>
      <c r="BQ843" t="s">
        <v>74</v>
      </c>
      <c r="BR843" t="s">
        <v>100</v>
      </c>
      <c r="BS843" t="s">
        <v>15778</v>
      </c>
      <c r="BT843" t="str">
        <f>HYPERLINK("https%3A%2F%2Fwww.webofscience.com%2Fwos%2Fwoscc%2Ffull-record%2FWOS:000368343200013","View Full Record in Web of Science")</f>
        <v>View Full Record in Web of Science</v>
      </c>
    </row>
    <row r="844" spans="1:72" x14ac:dyDescent="0.15">
      <c r="A844" t="s">
        <v>72</v>
      </c>
      <c r="B844" t="s">
        <v>15779</v>
      </c>
      <c r="C844" t="s">
        <v>74</v>
      </c>
      <c r="D844" t="s">
        <v>74</v>
      </c>
      <c r="E844" t="s">
        <v>74</v>
      </c>
      <c r="F844" t="s">
        <v>15780</v>
      </c>
      <c r="G844" t="s">
        <v>74</v>
      </c>
      <c r="H844" t="s">
        <v>74</v>
      </c>
      <c r="I844" t="s">
        <v>15781</v>
      </c>
      <c r="J844" t="s">
        <v>11811</v>
      </c>
      <c r="K844" t="s">
        <v>74</v>
      </c>
      <c r="L844" t="s">
        <v>74</v>
      </c>
      <c r="M844" t="s">
        <v>200</v>
      </c>
      <c r="N844" t="s">
        <v>8638</v>
      </c>
      <c r="O844" t="s">
        <v>74</v>
      </c>
      <c r="P844" t="s">
        <v>74</v>
      </c>
      <c r="Q844" t="s">
        <v>74</v>
      </c>
      <c r="R844" t="s">
        <v>74</v>
      </c>
      <c r="S844" t="s">
        <v>74</v>
      </c>
      <c r="T844" t="s">
        <v>74</v>
      </c>
      <c r="U844" t="s">
        <v>74</v>
      </c>
      <c r="V844" t="s">
        <v>15782</v>
      </c>
      <c r="W844" t="s">
        <v>15783</v>
      </c>
      <c r="X844" t="s">
        <v>15784</v>
      </c>
      <c r="Y844" t="s">
        <v>9964</v>
      </c>
      <c r="Z844" t="s">
        <v>9965</v>
      </c>
      <c r="AA844" t="s">
        <v>15785</v>
      </c>
      <c r="AB844" t="s">
        <v>15786</v>
      </c>
      <c r="AC844" t="s">
        <v>15787</v>
      </c>
      <c r="AD844" t="s">
        <v>7578</v>
      </c>
      <c r="AE844" t="s">
        <v>74</v>
      </c>
      <c r="AF844" t="s">
        <v>74</v>
      </c>
      <c r="AG844">
        <v>17</v>
      </c>
      <c r="AH844">
        <v>5</v>
      </c>
      <c r="AI844">
        <v>5</v>
      </c>
      <c r="AJ844">
        <v>1</v>
      </c>
      <c r="AK844">
        <v>17</v>
      </c>
      <c r="AL844" t="s">
        <v>2410</v>
      </c>
      <c r="AM844" t="s">
        <v>1559</v>
      </c>
      <c r="AN844" t="s">
        <v>2411</v>
      </c>
      <c r="AO844" t="s">
        <v>11823</v>
      </c>
      <c r="AP844" t="s">
        <v>11824</v>
      </c>
      <c r="AQ844" t="s">
        <v>74</v>
      </c>
      <c r="AR844" t="s">
        <v>11825</v>
      </c>
      <c r="AS844" t="s">
        <v>11826</v>
      </c>
      <c r="AT844" t="s">
        <v>15788</v>
      </c>
      <c r="AU844">
        <v>2015</v>
      </c>
      <c r="AV844">
        <v>120</v>
      </c>
      <c r="AW844">
        <v>22</v>
      </c>
      <c r="AX844" t="s">
        <v>74</v>
      </c>
      <c r="AY844" t="s">
        <v>74</v>
      </c>
      <c r="AZ844" t="s">
        <v>74</v>
      </c>
      <c r="BA844" t="s">
        <v>74</v>
      </c>
      <c r="BB844" t="s">
        <v>74</v>
      </c>
      <c r="BC844" t="s">
        <v>74</v>
      </c>
      <c r="BD844" t="s">
        <v>74</v>
      </c>
      <c r="BE844" t="s">
        <v>15789</v>
      </c>
      <c r="BF844" t="str">
        <f>HYPERLINK("http://dx.doi.org/10.1002/2015JD024133","http://dx.doi.org/10.1002/2015JD024133")</f>
        <v>http://dx.doi.org/10.1002/2015JD024133</v>
      </c>
      <c r="BG844" t="s">
        <v>74</v>
      </c>
      <c r="BH844" t="s">
        <v>74</v>
      </c>
      <c r="BI844">
        <v>3</v>
      </c>
      <c r="BJ844" t="s">
        <v>1721</v>
      </c>
      <c r="BK844" t="s">
        <v>264</v>
      </c>
      <c r="BL844" t="s">
        <v>1721</v>
      </c>
      <c r="BM844" t="s">
        <v>15790</v>
      </c>
      <c r="BN844" t="s">
        <v>74</v>
      </c>
      <c r="BO844" t="s">
        <v>9931</v>
      </c>
      <c r="BP844" t="s">
        <v>74</v>
      </c>
      <c r="BQ844" t="s">
        <v>74</v>
      </c>
      <c r="BR844" t="s">
        <v>100</v>
      </c>
      <c r="BS844" t="s">
        <v>15791</v>
      </c>
      <c r="BT844" t="str">
        <f>HYPERLINK("https%3A%2F%2Fwww.webofscience.com%2Fwos%2Fwoscc%2Ffull-record%2FWOS:000367825200001","View Full Record in Web of Science")</f>
        <v>View Full Record in Web of Science</v>
      </c>
    </row>
    <row r="845" spans="1:72" x14ac:dyDescent="0.15">
      <c r="A845" t="s">
        <v>72</v>
      </c>
      <c r="B845" t="s">
        <v>15792</v>
      </c>
      <c r="C845" t="s">
        <v>74</v>
      </c>
      <c r="D845" t="s">
        <v>74</v>
      </c>
      <c r="E845" t="s">
        <v>74</v>
      </c>
      <c r="F845" t="s">
        <v>15793</v>
      </c>
      <c r="G845" t="s">
        <v>74</v>
      </c>
      <c r="H845" t="s">
        <v>74</v>
      </c>
      <c r="I845" t="s">
        <v>15794</v>
      </c>
      <c r="J845" t="s">
        <v>12164</v>
      </c>
      <c r="K845" t="s">
        <v>74</v>
      </c>
      <c r="L845" t="s">
        <v>74</v>
      </c>
      <c r="M845" t="s">
        <v>200</v>
      </c>
      <c r="N845" t="s">
        <v>79</v>
      </c>
      <c r="O845" t="s">
        <v>74</v>
      </c>
      <c r="P845" t="s">
        <v>74</v>
      </c>
      <c r="Q845" t="s">
        <v>74</v>
      </c>
      <c r="R845" t="s">
        <v>74</v>
      </c>
      <c r="S845" t="s">
        <v>74</v>
      </c>
      <c r="T845" t="s">
        <v>15795</v>
      </c>
      <c r="U845" t="s">
        <v>15796</v>
      </c>
      <c r="V845" t="s">
        <v>15797</v>
      </c>
      <c r="W845" t="s">
        <v>15798</v>
      </c>
      <c r="X845" t="s">
        <v>15799</v>
      </c>
      <c r="Y845" t="s">
        <v>15800</v>
      </c>
      <c r="Z845" t="s">
        <v>15801</v>
      </c>
      <c r="AA845" t="s">
        <v>15802</v>
      </c>
      <c r="AB845" t="s">
        <v>15803</v>
      </c>
      <c r="AC845" t="s">
        <v>15804</v>
      </c>
      <c r="AD845" t="s">
        <v>15805</v>
      </c>
      <c r="AE845" t="s">
        <v>15806</v>
      </c>
      <c r="AF845" t="s">
        <v>74</v>
      </c>
      <c r="AG845">
        <v>78</v>
      </c>
      <c r="AH845">
        <v>13</v>
      </c>
      <c r="AI845">
        <v>13</v>
      </c>
      <c r="AJ845">
        <v>0</v>
      </c>
      <c r="AK845">
        <v>8</v>
      </c>
      <c r="AL845" t="s">
        <v>3735</v>
      </c>
      <c r="AM845" t="s">
        <v>3736</v>
      </c>
      <c r="AN845" t="s">
        <v>3737</v>
      </c>
      <c r="AO845" t="s">
        <v>12177</v>
      </c>
      <c r="AP845" t="s">
        <v>12178</v>
      </c>
      <c r="AQ845" t="s">
        <v>74</v>
      </c>
      <c r="AR845" t="s">
        <v>12179</v>
      </c>
      <c r="AS845" t="s">
        <v>12180</v>
      </c>
      <c r="AT845" t="s">
        <v>15807</v>
      </c>
      <c r="AU845">
        <v>2015</v>
      </c>
      <c r="AV845">
        <v>540</v>
      </c>
      <c r="AW845" t="s">
        <v>74</v>
      </c>
      <c r="AX845" t="s">
        <v>74</v>
      </c>
      <c r="AY845" t="s">
        <v>74</v>
      </c>
      <c r="AZ845" t="s">
        <v>74</v>
      </c>
      <c r="BA845" t="s">
        <v>74</v>
      </c>
      <c r="BB845">
        <v>109</v>
      </c>
      <c r="BC845">
        <v>120</v>
      </c>
      <c r="BD845" t="s">
        <v>74</v>
      </c>
      <c r="BE845" t="s">
        <v>15808</v>
      </c>
      <c r="BF845" t="str">
        <f>HYPERLINK("http://dx.doi.org/10.3354/meps11515","http://dx.doi.org/10.3354/meps11515")</f>
        <v>http://dx.doi.org/10.3354/meps11515</v>
      </c>
      <c r="BG845" t="s">
        <v>74</v>
      </c>
      <c r="BH845" t="s">
        <v>74</v>
      </c>
      <c r="BI845">
        <v>12</v>
      </c>
      <c r="BJ845" t="s">
        <v>12182</v>
      </c>
      <c r="BK845" t="s">
        <v>264</v>
      </c>
      <c r="BL845" t="s">
        <v>12183</v>
      </c>
      <c r="BM845" t="s">
        <v>15809</v>
      </c>
      <c r="BN845" t="s">
        <v>74</v>
      </c>
      <c r="BO845" t="s">
        <v>486</v>
      </c>
      <c r="BP845" t="s">
        <v>74</v>
      </c>
      <c r="BQ845" t="s">
        <v>74</v>
      </c>
      <c r="BR845" t="s">
        <v>100</v>
      </c>
      <c r="BS845" t="s">
        <v>15810</v>
      </c>
      <c r="BT845" t="str">
        <f>HYPERLINK("https%3A%2F%2Fwww.webofscience.com%2Fwos%2Fwoscc%2Ffull-record%2FWOS:000365698900009","View Full Record in Web of Science")</f>
        <v>View Full Record in Web of Science</v>
      </c>
    </row>
    <row r="846" spans="1:72" x14ac:dyDescent="0.15">
      <c r="A846" t="s">
        <v>72</v>
      </c>
      <c r="B846" t="s">
        <v>15811</v>
      </c>
      <c r="C846" t="s">
        <v>74</v>
      </c>
      <c r="D846" t="s">
        <v>74</v>
      </c>
      <c r="E846" t="s">
        <v>74</v>
      </c>
      <c r="F846" t="s">
        <v>15812</v>
      </c>
      <c r="G846" t="s">
        <v>74</v>
      </c>
      <c r="H846" t="s">
        <v>74</v>
      </c>
      <c r="I846" t="s">
        <v>15813</v>
      </c>
      <c r="J846" t="s">
        <v>11834</v>
      </c>
      <c r="K846" t="s">
        <v>74</v>
      </c>
      <c r="L846" t="s">
        <v>74</v>
      </c>
      <c r="M846" t="s">
        <v>200</v>
      </c>
      <c r="N846" t="s">
        <v>79</v>
      </c>
      <c r="O846" t="s">
        <v>74</v>
      </c>
      <c r="P846" t="s">
        <v>74</v>
      </c>
      <c r="Q846" t="s">
        <v>74</v>
      </c>
      <c r="R846" t="s">
        <v>74</v>
      </c>
      <c r="S846" t="s">
        <v>74</v>
      </c>
      <c r="T846" t="s">
        <v>74</v>
      </c>
      <c r="U846" t="s">
        <v>15814</v>
      </c>
      <c r="V846" t="s">
        <v>15815</v>
      </c>
      <c r="W846" t="s">
        <v>15816</v>
      </c>
      <c r="X846" t="s">
        <v>15817</v>
      </c>
      <c r="Y846" t="s">
        <v>15818</v>
      </c>
      <c r="Z846" t="s">
        <v>15819</v>
      </c>
      <c r="AA846" t="s">
        <v>15820</v>
      </c>
      <c r="AB846" t="s">
        <v>15821</v>
      </c>
      <c r="AC846" t="s">
        <v>15822</v>
      </c>
      <c r="AD846" t="s">
        <v>15823</v>
      </c>
      <c r="AE846" t="s">
        <v>15824</v>
      </c>
      <c r="AF846" t="s">
        <v>74</v>
      </c>
      <c r="AG846">
        <v>70</v>
      </c>
      <c r="AH846">
        <v>18</v>
      </c>
      <c r="AI846">
        <v>18</v>
      </c>
      <c r="AJ846">
        <v>1</v>
      </c>
      <c r="AK846">
        <v>63</v>
      </c>
      <c r="AL846" t="s">
        <v>11845</v>
      </c>
      <c r="AM846" t="s">
        <v>2354</v>
      </c>
      <c r="AN846" t="s">
        <v>11846</v>
      </c>
      <c r="AO846" t="s">
        <v>11847</v>
      </c>
      <c r="AP846" t="s">
        <v>74</v>
      </c>
      <c r="AQ846" t="s">
        <v>74</v>
      </c>
      <c r="AR846" t="s">
        <v>11848</v>
      </c>
      <c r="AS846" t="s">
        <v>11849</v>
      </c>
      <c r="AT846" t="s">
        <v>15825</v>
      </c>
      <c r="AU846">
        <v>2015</v>
      </c>
      <c r="AV846">
        <v>5</v>
      </c>
      <c r="AW846" t="s">
        <v>74</v>
      </c>
      <c r="AX846" t="s">
        <v>74</v>
      </c>
      <c r="AY846" t="s">
        <v>74</v>
      </c>
      <c r="AZ846" t="s">
        <v>74</v>
      </c>
      <c r="BA846" t="s">
        <v>74</v>
      </c>
      <c r="BB846" t="s">
        <v>74</v>
      </c>
      <c r="BC846" t="s">
        <v>74</v>
      </c>
      <c r="BD846">
        <v>17231</v>
      </c>
      <c r="BE846" t="s">
        <v>15826</v>
      </c>
      <c r="BF846" t="str">
        <f>HYPERLINK("http://dx.doi.org/10.1038/srep17231","http://dx.doi.org/10.1038/srep17231")</f>
        <v>http://dx.doi.org/10.1038/srep17231</v>
      </c>
      <c r="BG846" t="s">
        <v>74</v>
      </c>
      <c r="BH846" t="s">
        <v>74</v>
      </c>
      <c r="BI846">
        <v>13</v>
      </c>
      <c r="BJ846" t="s">
        <v>3540</v>
      </c>
      <c r="BK846" t="s">
        <v>264</v>
      </c>
      <c r="BL846" t="s">
        <v>3541</v>
      </c>
      <c r="BM846" t="s">
        <v>15827</v>
      </c>
      <c r="BN846">
        <v>26601753</v>
      </c>
      <c r="BO846" t="s">
        <v>511</v>
      </c>
      <c r="BP846" t="s">
        <v>74</v>
      </c>
      <c r="BQ846" t="s">
        <v>74</v>
      </c>
      <c r="BR846" t="s">
        <v>100</v>
      </c>
      <c r="BS846" t="s">
        <v>15828</v>
      </c>
      <c r="BT846" t="str">
        <f>HYPERLINK("https%3A%2F%2Fwww.webofscience.com%2Fwos%2Fwoscc%2Ffull-record%2FWOS:000365384200001","View Full Record in Web of Science")</f>
        <v>View Full Record in Web of Science</v>
      </c>
    </row>
    <row r="847" spans="1:72" x14ac:dyDescent="0.15">
      <c r="A847" t="s">
        <v>72</v>
      </c>
      <c r="B847" t="s">
        <v>15829</v>
      </c>
      <c r="C847" t="s">
        <v>74</v>
      </c>
      <c r="D847" t="s">
        <v>74</v>
      </c>
      <c r="E847" t="s">
        <v>74</v>
      </c>
      <c r="F847" t="s">
        <v>15830</v>
      </c>
      <c r="G847" t="s">
        <v>74</v>
      </c>
      <c r="H847" t="s">
        <v>74</v>
      </c>
      <c r="I847" t="s">
        <v>15831</v>
      </c>
      <c r="J847" t="s">
        <v>15832</v>
      </c>
      <c r="K847" t="s">
        <v>74</v>
      </c>
      <c r="L847" t="s">
        <v>74</v>
      </c>
      <c r="M847" t="s">
        <v>200</v>
      </c>
      <c r="N847" t="s">
        <v>79</v>
      </c>
      <c r="O847" t="s">
        <v>74</v>
      </c>
      <c r="P847" t="s">
        <v>74</v>
      </c>
      <c r="Q847" t="s">
        <v>74</v>
      </c>
      <c r="R847" t="s">
        <v>74</v>
      </c>
      <c r="S847" t="s">
        <v>74</v>
      </c>
      <c r="T847" t="s">
        <v>15833</v>
      </c>
      <c r="U847" t="s">
        <v>15834</v>
      </c>
      <c r="V847" t="s">
        <v>15835</v>
      </c>
      <c r="W847" t="s">
        <v>15836</v>
      </c>
      <c r="X847" t="s">
        <v>15837</v>
      </c>
      <c r="Y847" t="s">
        <v>15838</v>
      </c>
      <c r="Z847" t="s">
        <v>15839</v>
      </c>
      <c r="AA847" t="s">
        <v>15840</v>
      </c>
      <c r="AB847" t="s">
        <v>15841</v>
      </c>
      <c r="AC847" t="s">
        <v>15842</v>
      </c>
      <c r="AD847" t="s">
        <v>15843</v>
      </c>
      <c r="AE847" t="s">
        <v>15844</v>
      </c>
      <c r="AF847" t="s">
        <v>74</v>
      </c>
      <c r="AG847">
        <v>86</v>
      </c>
      <c r="AH847">
        <v>33</v>
      </c>
      <c r="AI847">
        <v>35</v>
      </c>
      <c r="AJ847">
        <v>3</v>
      </c>
      <c r="AK847">
        <v>53</v>
      </c>
      <c r="AL847" t="s">
        <v>14657</v>
      </c>
      <c r="AM847" t="s">
        <v>2100</v>
      </c>
      <c r="AN847" t="s">
        <v>14658</v>
      </c>
      <c r="AO847" t="s">
        <v>15845</v>
      </c>
      <c r="AP847" t="s">
        <v>74</v>
      </c>
      <c r="AQ847" t="s">
        <v>74</v>
      </c>
      <c r="AR847" t="s">
        <v>15832</v>
      </c>
      <c r="AS847" t="s">
        <v>15846</v>
      </c>
      <c r="AT847" t="s">
        <v>15847</v>
      </c>
      <c r="AU847">
        <v>2015</v>
      </c>
      <c r="AV847">
        <v>16</v>
      </c>
      <c r="AW847" t="s">
        <v>74</v>
      </c>
      <c r="AX847" t="s">
        <v>74</v>
      </c>
      <c r="AY847" t="s">
        <v>74</v>
      </c>
      <c r="AZ847" t="s">
        <v>74</v>
      </c>
      <c r="BA847" t="s">
        <v>74</v>
      </c>
      <c r="BB847" t="s">
        <v>74</v>
      </c>
      <c r="BC847" t="s">
        <v>74</v>
      </c>
      <c r="BD847">
        <v>988</v>
      </c>
      <c r="BE847" t="s">
        <v>15848</v>
      </c>
      <c r="BF847" t="str">
        <f>HYPERLINK("http://dx.doi.org/10.1186/s12864-015-2132-x","http://dx.doi.org/10.1186/s12864-015-2132-x")</f>
        <v>http://dx.doi.org/10.1186/s12864-015-2132-x</v>
      </c>
      <c r="BG847" t="s">
        <v>74</v>
      </c>
      <c r="BH847" t="s">
        <v>74</v>
      </c>
      <c r="BI847">
        <v>14</v>
      </c>
      <c r="BJ847" t="s">
        <v>15849</v>
      </c>
      <c r="BK847" t="s">
        <v>264</v>
      </c>
      <c r="BL847" t="s">
        <v>15849</v>
      </c>
      <c r="BM847" t="s">
        <v>15850</v>
      </c>
      <c r="BN847">
        <v>26596422</v>
      </c>
      <c r="BO847" t="s">
        <v>9145</v>
      </c>
      <c r="BP847" t="s">
        <v>74</v>
      </c>
      <c r="BQ847" t="s">
        <v>74</v>
      </c>
      <c r="BR847" t="s">
        <v>100</v>
      </c>
      <c r="BS847" t="s">
        <v>15851</v>
      </c>
      <c r="BT847" t="str">
        <f>HYPERLINK("https%3A%2F%2Fwww.webofscience.com%2Fwos%2Fwoscc%2Ffull-record%2FWOS:000365285400002","View Full Record in Web of Science")</f>
        <v>View Full Record in Web of Science</v>
      </c>
    </row>
    <row r="848" spans="1:72" x14ac:dyDescent="0.15">
      <c r="A848" t="s">
        <v>72</v>
      </c>
      <c r="B848" t="s">
        <v>15852</v>
      </c>
      <c r="C848" t="s">
        <v>74</v>
      </c>
      <c r="D848" t="s">
        <v>74</v>
      </c>
      <c r="E848" t="s">
        <v>74</v>
      </c>
      <c r="F848" t="s">
        <v>15853</v>
      </c>
      <c r="G848" t="s">
        <v>74</v>
      </c>
      <c r="H848" t="s">
        <v>74</v>
      </c>
      <c r="I848" t="s">
        <v>15854</v>
      </c>
      <c r="J848" t="s">
        <v>11884</v>
      </c>
      <c r="K848" t="s">
        <v>74</v>
      </c>
      <c r="L848" t="s">
        <v>74</v>
      </c>
      <c r="M848" t="s">
        <v>200</v>
      </c>
      <c r="N848" t="s">
        <v>79</v>
      </c>
      <c r="O848" t="s">
        <v>74</v>
      </c>
      <c r="P848" t="s">
        <v>74</v>
      </c>
      <c r="Q848" t="s">
        <v>74</v>
      </c>
      <c r="R848" t="s">
        <v>74</v>
      </c>
      <c r="S848" t="s">
        <v>74</v>
      </c>
      <c r="T848" t="s">
        <v>15855</v>
      </c>
      <c r="U848" t="s">
        <v>15856</v>
      </c>
      <c r="V848" t="s">
        <v>15857</v>
      </c>
      <c r="W848" t="s">
        <v>15858</v>
      </c>
      <c r="X848" t="s">
        <v>15859</v>
      </c>
      <c r="Y848" t="s">
        <v>15860</v>
      </c>
      <c r="Z848" t="s">
        <v>15861</v>
      </c>
      <c r="AA848" t="s">
        <v>15862</v>
      </c>
      <c r="AB848" t="s">
        <v>15863</v>
      </c>
      <c r="AC848" t="s">
        <v>15864</v>
      </c>
      <c r="AD848" t="s">
        <v>15865</v>
      </c>
      <c r="AE848" t="s">
        <v>15866</v>
      </c>
      <c r="AF848" t="s">
        <v>74</v>
      </c>
      <c r="AG848">
        <v>90</v>
      </c>
      <c r="AH848">
        <v>21</v>
      </c>
      <c r="AI848">
        <v>22</v>
      </c>
      <c r="AJ848">
        <v>4</v>
      </c>
      <c r="AK848">
        <v>45</v>
      </c>
      <c r="AL848" t="s">
        <v>7137</v>
      </c>
      <c r="AM848" t="s">
        <v>209</v>
      </c>
      <c r="AN848" t="s">
        <v>7138</v>
      </c>
      <c r="AO848" t="s">
        <v>11897</v>
      </c>
      <c r="AP848" t="s">
        <v>11898</v>
      </c>
      <c r="AQ848" t="s">
        <v>74</v>
      </c>
      <c r="AR848" t="s">
        <v>11899</v>
      </c>
      <c r="AS848" t="s">
        <v>11900</v>
      </c>
      <c r="AT848" t="s">
        <v>15867</v>
      </c>
      <c r="AU848">
        <v>2015</v>
      </c>
      <c r="AV848">
        <v>176</v>
      </c>
      <c r="AW848" t="s">
        <v>74</v>
      </c>
      <c r="AX848" t="s">
        <v>74</v>
      </c>
      <c r="AY848" t="s">
        <v>74</v>
      </c>
      <c r="AZ848" t="s">
        <v>74</v>
      </c>
      <c r="BA848" t="s">
        <v>74</v>
      </c>
      <c r="BB848">
        <v>110</v>
      </c>
      <c r="BC848">
        <v>125</v>
      </c>
      <c r="BD848" t="s">
        <v>74</v>
      </c>
      <c r="BE848" t="s">
        <v>15868</v>
      </c>
      <c r="BF848" t="str">
        <f>HYPERLINK("http://dx.doi.org/10.1016/j.marchem.2015.08.002","http://dx.doi.org/10.1016/j.marchem.2015.08.002")</f>
        <v>http://dx.doi.org/10.1016/j.marchem.2015.08.002</v>
      </c>
      <c r="BG848" t="s">
        <v>74</v>
      </c>
      <c r="BH848" t="s">
        <v>74</v>
      </c>
      <c r="BI848">
        <v>16</v>
      </c>
      <c r="BJ848" t="s">
        <v>11902</v>
      </c>
      <c r="BK848" t="s">
        <v>264</v>
      </c>
      <c r="BL848" t="s">
        <v>11903</v>
      </c>
      <c r="BM848" t="s">
        <v>15869</v>
      </c>
      <c r="BN848" t="s">
        <v>74</v>
      </c>
      <c r="BO848" t="s">
        <v>74</v>
      </c>
      <c r="BP848" t="s">
        <v>74</v>
      </c>
      <c r="BQ848" t="s">
        <v>74</v>
      </c>
      <c r="BR848" t="s">
        <v>100</v>
      </c>
      <c r="BS848" t="s">
        <v>15870</v>
      </c>
      <c r="BT848" t="str">
        <f>HYPERLINK("https%3A%2F%2Fwww.webofscience.com%2Fwos%2Fwoscc%2Ffull-record%2FWOS:000364262300010","View Full Record in Web of Science")</f>
        <v>View Full Record in Web of Science</v>
      </c>
    </row>
    <row r="849" spans="1:72" x14ac:dyDescent="0.15">
      <c r="A849" t="s">
        <v>72</v>
      </c>
      <c r="B849" t="s">
        <v>15871</v>
      </c>
      <c r="C849" t="s">
        <v>74</v>
      </c>
      <c r="D849" t="s">
        <v>74</v>
      </c>
      <c r="E849" t="s">
        <v>74</v>
      </c>
      <c r="F849" t="s">
        <v>15872</v>
      </c>
      <c r="G849" t="s">
        <v>74</v>
      </c>
      <c r="H849" t="s">
        <v>74</v>
      </c>
      <c r="I849" t="s">
        <v>15873</v>
      </c>
      <c r="J849" t="s">
        <v>11884</v>
      </c>
      <c r="K849" t="s">
        <v>74</v>
      </c>
      <c r="L849" t="s">
        <v>74</v>
      </c>
      <c r="M849" t="s">
        <v>200</v>
      </c>
      <c r="N849" t="s">
        <v>79</v>
      </c>
      <c r="O849" t="s">
        <v>74</v>
      </c>
      <c r="P849" t="s">
        <v>74</v>
      </c>
      <c r="Q849" t="s">
        <v>74</v>
      </c>
      <c r="R849" t="s">
        <v>74</v>
      </c>
      <c r="S849" t="s">
        <v>74</v>
      </c>
      <c r="T849" t="s">
        <v>15874</v>
      </c>
      <c r="U849" t="s">
        <v>15875</v>
      </c>
      <c r="V849" t="s">
        <v>15876</v>
      </c>
      <c r="W849" t="s">
        <v>15877</v>
      </c>
      <c r="X849" t="s">
        <v>15878</v>
      </c>
      <c r="Y849" t="s">
        <v>15879</v>
      </c>
      <c r="Z849" t="s">
        <v>15880</v>
      </c>
      <c r="AA849" t="s">
        <v>15881</v>
      </c>
      <c r="AB849" t="s">
        <v>15882</v>
      </c>
      <c r="AC849" t="s">
        <v>15883</v>
      </c>
      <c r="AD849" t="s">
        <v>15884</v>
      </c>
      <c r="AE849" t="s">
        <v>15885</v>
      </c>
      <c r="AF849" t="s">
        <v>74</v>
      </c>
      <c r="AG849">
        <v>60</v>
      </c>
      <c r="AH849">
        <v>43</v>
      </c>
      <c r="AI849">
        <v>51</v>
      </c>
      <c r="AJ849">
        <v>0</v>
      </c>
      <c r="AK849">
        <v>29</v>
      </c>
      <c r="AL849" t="s">
        <v>208</v>
      </c>
      <c r="AM849" t="s">
        <v>209</v>
      </c>
      <c r="AN849" t="s">
        <v>7114</v>
      </c>
      <c r="AO849" t="s">
        <v>11897</v>
      </c>
      <c r="AP849" t="s">
        <v>11898</v>
      </c>
      <c r="AQ849" t="s">
        <v>74</v>
      </c>
      <c r="AR849" t="s">
        <v>11899</v>
      </c>
      <c r="AS849" t="s">
        <v>11900</v>
      </c>
      <c r="AT849" t="s">
        <v>15867</v>
      </c>
      <c r="AU849">
        <v>2015</v>
      </c>
      <c r="AV849">
        <v>176</v>
      </c>
      <c r="AW849" t="s">
        <v>74</v>
      </c>
      <c r="AX849" t="s">
        <v>74</v>
      </c>
      <c r="AY849" t="s">
        <v>74</v>
      </c>
      <c r="AZ849" t="s">
        <v>74</v>
      </c>
      <c r="BA849" t="s">
        <v>74</v>
      </c>
      <c r="BB849">
        <v>174</v>
      </c>
      <c r="BC849">
        <v>188</v>
      </c>
      <c r="BD849" t="s">
        <v>74</v>
      </c>
      <c r="BE849" t="s">
        <v>15886</v>
      </c>
      <c r="BF849" t="str">
        <f>HYPERLINK("http://dx.doi.org/10.1016/j.marchem.2015.09.007","http://dx.doi.org/10.1016/j.marchem.2015.09.007")</f>
        <v>http://dx.doi.org/10.1016/j.marchem.2015.09.007</v>
      </c>
      <c r="BG849" t="s">
        <v>74</v>
      </c>
      <c r="BH849" t="s">
        <v>74</v>
      </c>
      <c r="BI849">
        <v>15</v>
      </c>
      <c r="BJ849" t="s">
        <v>11902</v>
      </c>
      <c r="BK849" t="s">
        <v>264</v>
      </c>
      <c r="BL849" t="s">
        <v>11903</v>
      </c>
      <c r="BM849" t="s">
        <v>15869</v>
      </c>
      <c r="BN849" t="s">
        <v>74</v>
      </c>
      <c r="BO849" t="s">
        <v>74</v>
      </c>
      <c r="BP849" t="s">
        <v>74</v>
      </c>
      <c r="BQ849" t="s">
        <v>74</v>
      </c>
      <c r="BR849" t="s">
        <v>100</v>
      </c>
      <c r="BS849" t="s">
        <v>15887</v>
      </c>
      <c r="BT849" t="str">
        <f>HYPERLINK("https%3A%2F%2Fwww.webofscience.com%2Fwos%2Fwoscc%2Ffull-record%2FWOS:000364262300016","View Full Record in Web of Science")</f>
        <v>View Full Record in Web of Science</v>
      </c>
    </row>
    <row r="850" spans="1:72" x14ac:dyDescent="0.15">
      <c r="A850" t="s">
        <v>72</v>
      </c>
      <c r="B850" t="s">
        <v>15888</v>
      </c>
      <c r="C850" t="s">
        <v>74</v>
      </c>
      <c r="D850" t="s">
        <v>74</v>
      </c>
      <c r="E850" t="s">
        <v>74</v>
      </c>
      <c r="F850" t="s">
        <v>15889</v>
      </c>
      <c r="G850" t="s">
        <v>74</v>
      </c>
      <c r="H850" t="s">
        <v>74</v>
      </c>
      <c r="I850" t="s">
        <v>15890</v>
      </c>
      <c r="J850" t="s">
        <v>11884</v>
      </c>
      <c r="K850" t="s">
        <v>74</v>
      </c>
      <c r="L850" t="s">
        <v>74</v>
      </c>
      <c r="M850" t="s">
        <v>200</v>
      </c>
      <c r="N850" t="s">
        <v>79</v>
      </c>
      <c r="O850" t="s">
        <v>74</v>
      </c>
      <c r="P850" t="s">
        <v>74</v>
      </c>
      <c r="Q850" t="s">
        <v>74</v>
      </c>
      <c r="R850" t="s">
        <v>74</v>
      </c>
      <c r="S850" t="s">
        <v>74</v>
      </c>
      <c r="T850" t="s">
        <v>15891</v>
      </c>
      <c r="U850" t="s">
        <v>15892</v>
      </c>
      <c r="V850" t="s">
        <v>15893</v>
      </c>
      <c r="W850" t="s">
        <v>15894</v>
      </c>
      <c r="X850" t="s">
        <v>15895</v>
      </c>
      <c r="Y850" t="s">
        <v>15896</v>
      </c>
      <c r="Z850" t="s">
        <v>15897</v>
      </c>
      <c r="AA850" t="s">
        <v>15898</v>
      </c>
      <c r="AB850" t="s">
        <v>15899</v>
      </c>
      <c r="AC850" t="s">
        <v>15900</v>
      </c>
      <c r="AD850" t="s">
        <v>15901</v>
      </c>
      <c r="AE850" t="s">
        <v>15902</v>
      </c>
      <c r="AF850" t="s">
        <v>74</v>
      </c>
      <c r="AG850">
        <v>84</v>
      </c>
      <c r="AH850">
        <v>56</v>
      </c>
      <c r="AI850">
        <v>66</v>
      </c>
      <c r="AJ850">
        <v>0</v>
      </c>
      <c r="AK850">
        <v>35</v>
      </c>
      <c r="AL850" t="s">
        <v>7137</v>
      </c>
      <c r="AM850" t="s">
        <v>209</v>
      </c>
      <c r="AN850" t="s">
        <v>7138</v>
      </c>
      <c r="AO850" t="s">
        <v>11897</v>
      </c>
      <c r="AP850" t="s">
        <v>11898</v>
      </c>
      <c r="AQ850" t="s">
        <v>74</v>
      </c>
      <c r="AR850" t="s">
        <v>11899</v>
      </c>
      <c r="AS850" t="s">
        <v>11900</v>
      </c>
      <c r="AT850" t="s">
        <v>15867</v>
      </c>
      <c r="AU850">
        <v>2015</v>
      </c>
      <c r="AV850">
        <v>176</v>
      </c>
      <c r="AW850" t="s">
        <v>74</v>
      </c>
      <c r="AX850" t="s">
        <v>74</v>
      </c>
      <c r="AY850" t="s">
        <v>74</v>
      </c>
      <c r="AZ850" t="s">
        <v>74</v>
      </c>
      <c r="BA850" t="s">
        <v>74</v>
      </c>
      <c r="BB850">
        <v>21</v>
      </c>
      <c r="BC850">
        <v>33</v>
      </c>
      <c r="BD850" t="s">
        <v>74</v>
      </c>
      <c r="BE850" t="s">
        <v>15903</v>
      </c>
      <c r="BF850" t="str">
        <f>HYPERLINK("http://dx.doi.org/10.1016/j.marchem.2015.06.017","http://dx.doi.org/10.1016/j.marchem.2015.06.017")</f>
        <v>http://dx.doi.org/10.1016/j.marchem.2015.06.017</v>
      </c>
      <c r="BG850" t="s">
        <v>74</v>
      </c>
      <c r="BH850" t="s">
        <v>74</v>
      </c>
      <c r="BI850">
        <v>13</v>
      </c>
      <c r="BJ850" t="s">
        <v>11902</v>
      </c>
      <c r="BK850" t="s">
        <v>264</v>
      </c>
      <c r="BL850" t="s">
        <v>11903</v>
      </c>
      <c r="BM850" t="s">
        <v>15869</v>
      </c>
      <c r="BN850" t="s">
        <v>74</v>
      </c>
      <c r="BO850" t="s">
        <v>12579</v>
      </c>
      <c r="BP850" t="s">
        <v>74</v>
      </c>
      <c r="BQ850" t="s">
        <v>74</v>
      </c>
      <c r="BR850" t="s">
        <v>100</v>
      </c>
      <c r="BS850" t="s">
        <v>15904</v>
      </c>
      <c r="BT850" t="str">
        <f>HYPERLINK("https%3A%2F%2Fwww.webofscience.com%2Fwos%2Fwoscc%2Ffull-record%2FWOS:000364262300003","View Full Record in Web of Science")</f>
        <v>View Full Record in Web of Science</v>
      </c>
    </row>
    <row r="851" spans="1:72" x14ac:dyDescent="0.15">
      <c r="A851" t="s">
        <v>72</v>
      </c>
      <c r="B851" t="s">
        <v>15905</v>
      </c>
      <c r="C851" t="s">
        <v>74</v>
      </c>
      <c r="D851" t="s">
        <v>74</v>
      </c>
      <c r="E851" t="s">
        <v>74</v>
      </c>
      <c r="F851" t="s">
        <v>15906</v>
      </c>
      <c r="G851" t="s">
        <v>74</v>
      </c>
      <c r="H851" t="s">
        <v>74</v>
      </c>
      <c r="I851" t="s">
        <v>15907</v>
      </c>
      <c r="J851" t="s">
        <v>12323</v>
      </c>
      <c r="K851" t="s">
        <v>74</v>
      </c>
      <c r="L851" t="s">
        <v>74</v>
      </c>
      <c r="M851" t="s">
        <v>200</v>
      </c>
      <c r="N851" t="s">
        <v>79</v>
      </c>
      <c r="O851" t="s">
        <v>74</v>
      </c>
      <c r="P851" t="s">
        <v>74</v>
      </c>
      <c r="Q851" t="s">
        <v>74</v>
      </c>
      <c r="R851" t="s">
        <v>74</v>
      </c>
      <c r="S851" t="s">
        <v>74</v>
      </c>
      <c r="T851" t="s">
        <v>74</v>
      </c>
      <c r="U851" t="s">
        <v>15908</v>
      </c>
      <c r="V851" t="s">
        <v>15909</v>
      </c>
      <c r="W851" t="s">
        <v>15910</v>
      </c>
      <c r="X851" t="s">
        <v>15911</v>
      </c>
      <c r="Y851" t="s">
        <v>15912</v>
      </c>
      <c r="Z851" t="s">
        <v>15913</v>
      </c>
      <c r="AA851" t="s">
        <v>3262</v>
      </c>
      <c r="AB851" t="s">
        <v>15914</v>
      </c>
      <c r="AC851" t="s">
        <v>15915</v>
      </c>
      <c r="AD851" t="s">
        <v>15916</v>
      </c>
      <c r="AE851" t="s">
        <v>15917</v>
      </c>
      <c r="AF851" t="s">
        <v>74</v>
      </c>
      <c r="AG851">
        <v>73</v>
      </c>
      <c r="AH851">
        <v>20</v>
      </c>
      <c r="AI851">
        <v>21</v>
      </c>
      <c r="AJ851">
        <v>1</v>
      </c>
      <c r="AK851">
        <v>40</v>
      </c>
      <c r="AL851" t="s">
        <v>12335</v>
      </c>
      <c r="AM851" t="s">
        <v>5664</v>
      </c>
      <c r="AN851" t="s">
        <v>12336</v>
      </c>
      <c r="AO851" t="s">
        <v>12337</v>
      </c>
      <c r="AP851" t="s">
        <v>74</v>
      </c>
      <c r="AQ851" t="s">
        <v>74</v>
      </c>
      <c r="AR851" t="s">
        <v>12323</v>
      </c>
      <c r="AS851" t="s">
        <v>12338</v>
      </c>
      <c r="AT851" t="s">
        <v>15918</v>
      </c>
      <c r="AU851">
        <v>2015</v>
      </c>
      <c r="AV851">
        <v>10</v>
      </c>
      <c r="AW851">
        <v>11</v>
      </c>
      <c r="AX851" t="s">
        <v>74</v>
      </c>
      <c r="AY851" t="s">
        <v>74</v>
      </c>
      <c r="AZ851" t="s">
        <v>74</v>
      </c>
      <c r="BA851" t="s">
        <v>74</v>
      </c>
      <c r="BB851" t="s">
        <v>74</v>
      </c>
      <c r="BC851" t="s">
        <v>74</v>
      </c>
      <c r="BD851" t="s">
        <v>15919</v>
      </c>
      <c r="BE851" t="s">
        <v>15920</v>
      </c>
      <c r="BF851" t="str">
        <f>HYPERLINK("http://dx.doi.org/10.1371/journal.pone.0142623","http://dx.doi.org/10.1371/journal.pone.0142623")</f>
        <v>http://dx.doi.org/10.1371/journal.pone.0142623</v>
      </c>
      <c r="BG851" t="s">
        <v>74</v>
      </c>
      <c r="BH851" t="s">
        <v>74</v>
      </c>
      <c r="BI851">
        <v>17</v>
      </c>
      <c r="BJ851" t="s">
        <v>3540</v>
      </c>
      <c r="BK851" t="s">
        <v>264</v>
      </c>
      <c r="BL851" t="s">
        <v>3541</v>
      </c>
      <c r="BM851" t="s">
        <v>15921</v>
      </c>
      <c r="BN851">
        <v>26581108</v>
      </c>
      <c r="BO851" t="s">
        <v>12439</v>
      </c>
      <c r="BP851" t="s">
        <v>74</v>
      </c>
      <c r="BQ851" t="s">
        <v>74</v>
      </c>
      <c r="BR851" t="s">
        <v>100</v>
      </c>
      <c r="BS851" t="s">
        <v>15922</v>
      </c>
      <c r="BT851" t="str">
        <f>HYPERLINK("https%3A%2F%2Fwww.webofscience.com%2Fwos%2Fwoscc%2Ffull-record%2FWOS:000365154600051","View Full Record in Web of Science")</f>
        <v>View Full Record in Web of Science</v>
      </c>
    </row>
    <row r="852" spans="1:72" x14ac:dyDescent="0.15">
      <c r="A852" t="s">
        <v>72</v>
      </c>
      <c r="B852" t="s">
        <v>15923</v>
      </c>
      <c r="C852" t="s">
        <v>74</v>
      </c>
      <c r="D852" t="s">
        <v>74</v>
      </c>
      <c r="E852" t="s">
        <v>74</v>
      </c>
      <c r="F852" t="s">
        <v>15924</v>
      </c>
      <c r="G852" t="s">
        <v>74</v>
      </c>
      <c r="H852" t="s">
        <v>74</v>
      </c>
      <c r="I852" t="s">
        <v>15925</v>
      </c>
      <c r="J852" t="s">
        <v>12323</v>
      </c>
      <c r="K852" t="s">
        <v>74</v>
      </c>
      <c r="L852" t="s">
        <v>74</v>
      </c>
      <c r="M852" t="s">
        <v>200</v>
      </c>
      <c r="N852" t="s">
        <v>79</v>
      </c>
      <c r="O852" t="s">
        <v>74</v>
      </c>
      <c r="P852" t="s">
        <v>74</v>
      </c>
      <c r="Q852" t="s">
        <v>74</v>
      </c>
      <c r="R852" t="s">
        <v>74</v>
      </c>
      <c r="S852" t="s">
        <v>74</v>
      </c>
      <c r="T852" t="s">
        <v>74</v>
      </c>
      <c r="U852" t="s">
        <v>15926</v>
      </c>
      <c r="V852" t="s">
        <v>15927</v>
      </c>
      <c r="W852" t="s">
        <v>15928</v>
      </c>
      <c r="X852" t="s">
        <v>15929</v>
      </c>
      <c r="Y852" t="s">
        <v>15930</v>
      </c>
      <c r="Z852" t="s">
        <v>15931</v>
      </c>
      <c r="AA852" t="s">
        <v>15932</v>
      </c>
      <c r="AB852" t="s">
        <v>15933</v>
      </c>
      <c r="AC852" t="s">
        <v>15934</v>
      </c>
      <c r="AD852" t="s">
        <v>15935</v>
      </c>
      <c r="AE852" t="s">
        <v>15936</v>
      </c>
      <c r="AF852" t="s">
        <v>74</v>
      </c>
      <c r="AG852">
        <v>64</v>
      </c>
      <c r="AH852">
        <v>23</v>
      </c>
      <c r="AI852">
        <v>26</v>
      </c>
      <c r="AJ852">
        <v>0</v>
      </c>
      <c r="AK852">
        <v>193</v>
      </c>
      <c r="AL852" t="s">
        <v>12335</v>
      </c>
      <c r="AM852" t="s">
        <v>5664</v>
      </c>
      <c r="AN852" t="s">
        <v>12336</v>
      </c>
      <c r="AO852" t="s">
        <v>12337</v>
      </c>
      <c r="AP852" t="s">
        <v>74</v>
      </c>
      <c r="AQ852" t="s">
        <v>74</v>
      </c>
      <c r="AR852" t="s">
        <v>12323</v>
      </c>
      <c r="AS852" t="s">
        <v>12338</v>
      </c>
      <c r="AT852" t="s">
        <v>15918</v>
      </c>
      <c r="AU852">
        <v>2015</v>
      </c>
      <c r="AV852">
        <v>10</v>
      </c>
      <c r="AW852">
        <v>11</v>
      </c>
      <c r="AX852" t="s">
        <v>74</v>
      </c>
      <c r="AY852" t="s">
        <v>74</v>
      </c>
      <c r="AZ852" t="s">
        <v>74</v>
      </c>
      <c r="BA852" t="s">
        <v>74</v>
      </c>
      <c r="BB852" t="s">
        <v>74</v>
      </c>
      <c r="BC852" t="s">
        <v>74</v>
      </c>
      <c r="BD852" t="s">
        <v>15937</v>
      </c>
      <c r="BE852" t="s">
        <v>15938</v>
      </c>
      <c r="BF852" t="str">
        <f>HYPERLINK("http://dx.doi.org/10.1371/journal.pone.0140341","http://dx.doi.org/10.1371/journal.pone.0140341")</f>
        <v>http://dx.doi.org/10.1371/journal.pone.0140341</v>
      </c>
      <c r="BG852" t="s">
        <v>74</v>
      </c>
      <c r="BH852" t="s">
        <v>74</v>
      </c>
      <c r="BI852">
        <v>25</v>
      </c>
      <c r="BJ852" t="s">
        <v>3540</v>
      </c>
      <c r="BK852" t="s">
        <v>264</v>
      </c>
      <c r="BL852" t="s">
        <v>3541</v>
      </c>
      <c r="BM852" t="s">
        <v>15921</v>
      </c>
      <c r="BN852">
        <v>26581105</v>
      </c>
      <c r="BO852" t="s">
        <v>4294</v>
      </c>
      <c r="BP852" t="s">
        <v>74</v>
      </c>
      <c r="BQ852" t="s">
        <v>74</v>
      </c>
      <c r="BR852" t="s">
        <v>100</v>
      </c>
      <c r="BS852" t="s">
        <v>15939</v>
      </c>
      <c r="BT852" t="str">
        <f>HYPERLINK("https%3A%2F%2Fwww.webofscience.com%2Fwos%2Fwoscc%2Ffull-record%2FWOS:000365154600006","View Full Record in Web of Science")</f>
        <v>View Full Record in Web of Science</v>
      </c>
    </row>
    <row r="853" spans="1:72" x14ac:dyDescent="0.15">
      <c r="A853" t="s">
        <v>72</v>
      </c>
      <c r="B853" t="s">
        <v>15940</v>
      </c>
      <c r="C853" t="s">
        <v>74</v>
      </c>
      <c r="D853" t="s">
        <v>74</v>
      </c>
      <c r="E853" t="s">
        <v>74</v>
      </c>
      <c r="F853" t="s">
        <v>15941</v>
      </c>
      <c r="G853" t="s">
        <v>74</v>
      </c>
      <c r="H853" t="s">
        <v>74</v>
      </c>
      <c r="I853" t="s">
        <v>15942</v>
      </c>
      <c r="J853" t="s">
        <v>15943</v>
      </c>
      <c r="K853" t="s">
        <v>74</v>
      </c>
      <c r="L853" t="s">
        <v>74</v>
      </c>
      <c r="M853" t="s">
        <v>200</v>
      </c>
      <c r="N853" t="s">
        <v>79</v>
      </c>
      <c r="O853" t="s">
        <v>74</v>
      </c>
      <c r="P853" t="s">
        <v>74</v>
      </c>
      <c r="Q853" t="s">
        <v>74</v>
      </c>
      <c r="R853" t="s">
        <v>74</v>
      </c>
      <c r="S853" t="s">
        <v>74</v>
      </c>
      <c r="T853" t="s">
        <v>15944</v>
      </c>
      <c r="U853" t="s">
        <v>15945</v>
      </c>
      <c r="V853" t="s">
        <v>15946</v>
      </c>
      <c r="W853" t="s">
        <v>15947</v>
      </c>
      <c r="X853" t="s">
        <v>15948</v>
      </c>
      <c r="Y853" t="s">
        <v>15949</v>
      </c>
      <c r="Z853" t="s">
        <v>15950</v>
      </c>
      <c r="AA853" t="s">
        <v>15951</v>
      </c>
      <c r="AB853" t="s">
        <v>15952</v>
      </c>
      <c r="AC853" t="s">
        <v>15953</v>
      </c>
      <c r="AD853" t="s">
        <v>15954</v>
      </c>
      <c r="AE853" t="s">
        <v>15955</v>
      </c>
      <c r="AF853" t="s">
        <v>74</v>
      </c>
      <c r="AG853">
        <v>79</v>
      </c>
      <c r="AH853">
        <v>24</v>
      </c>
      <c r="AI853">
        <v>28</v>
      </c>
      <c r="AJ853">
        <v>0</v>
      </c>
      <c r="AK853">
        <v>94</v>
      </c>
      <c r="AL853" t="s">
        <v>14657</v>
      </c>
      <c r="AM853" t="s">
        <v>2100</v>
      </c>
      <c r="AN853" t="s">
        <v>14658</v>
      </c>
      <c r="AO853" t="s">
        <v>15956</v>
      </c>
      <c r="AP853" t="s">
        <v>74</v>
      </c>
      <c r="AQ853" t="s">
        <v>74</v>
      </c>
      <c r="AR853" t="s">
        <v>15957</v>
      </c>
      <c r="AS853" t="s">
        <v>15958</v>
      </c>
      <c r="AT853" t="s">
        <v>15918</v>
      </c>
      <c r="AU853">
        <v>2015</v>
      </c>
      <c r="AV853">
        <v>15</v>
      </c>
      <c r="AW853" t="s">
        <v>74</v>
      </c>
      <c r="AX853" t="s">
        <v>74</v>
      </c>
      <c r="AY853" t="s">
        <v>74</v>
      </c>
      <c r="AZ853" t="s">
        <v>74</v>
      </c>
      <c r="BA853" t="s">
        <v>74</v>
      </c>
      <c r="BB853" t="s">
        <v>74</v>
      </c>
      <c r="BC853" t="s">
        <v>74</v>
      </c>
      <c r="BD853">
        <v>236</v>
      </c>
      <c r="BE853" t="s">
        <v>15959</v>
      </c>
      <c r="BF853" t="str">
        <f>HYPERLINK("http://dx.doi.org/10.1186/s12862-015-0502-2","http://dx.doi.org/10.1186/s12862-015-0502-2")</f>
        <v>http://dx.doi.org/10.1186/s12862-015-0502-2</v>
      </c>
      <c r="BG853" t="s">
        <v>74</v>
      </c>
      <c r="BH853" t="s">
        <v>74</v>
      </c>
      <c r="BI853">
        <v>11</v>
      </c>
      <c r="BJ853" t="s">
        <v>15960</v>
      </c>
      <c r="BK853" t="s">
        <v>264</v>
      </c>
      <c r="BL853" t="s">
        <v>15960</v>
      </c>
      <c r="BM853" t="s">
        <v>15961</v>
      </c>
      <c r="BN853">
        <v>26577544</v>
      </c>
      <c r="BO853" t="s">
        <v>9145</v>
      </c>
      <c r="BP853" t="s">
        <v>74</v>
      </c>
      <c r="BQ853" t="s">
        <v>74</v>
      </c>
      <c r="BR853" t="s">
        <v>100</v>
      </c>
      <c r="BS853" t="s">
        <v>15962</v>
      </c>
      <c r="BT853" t="str">
        <f>HYPERLINK("https%3A%2F%2Fwww.webofscience.com%2Fwos%2Fwoscc%2Ffull-record%2FWOS:000364805100001","View Full Record in Web of Science")</f>
        <v>View Full Record in Web of Science</v>
      </c>
    </row>
    <row r="854" spans="1:72" x14ac:dyDescent="0.15">
      <c r="A854" t="s">
        <v>72</v>
      </c>
      <c r="B854" t="s">
        <v>15963</v>
      </c>
      <c r="C854" t="s">
        <v>74</v>
      </c>
      <c r="D854" t="s">
        <v>74</v>
      </c>
      <c r="E854" t="s">
        <v>74</v>
      </c>
      <c r="F854" t="s">
        <v>15964</v>
      </c>
      <c r="G854" t="s">
        <v>74</v>
      </c>
      <c r="H854" t="s">
        <v>74</v>
      </c>
      <c r="I854" t="s">
        <v>15965</v>
      </c>
      <c r="J854" t="s">
        <v>4259</v>
      </c>
      <c r="K854" t="s">
        <v>74</v>
      </c>
      <c r="L854" t="s">
        <v>74</v>
      </c>
      <c r="M854" t="s">
        <v>200</v>
      </c>
      <c r="N854" t="s">
        <v>79</v>
      </c>
      <c r="O854" t="s">
        <v>74</v>
      </c>
      <c r="P854" t="s">
        <v>74</v>
      </c>
      <c r="Q854" t="s">
        <v>74</v>
      </c>
      <c r="R854" t="s">
        <v>74</v>
      </c>
      <c r="S854" t="s">
        <v>74</v>
      </c>
      <c r="T854" t="s">
        <v>15966</v>
      </c>
      <c r="U854" t="s">
        <v>15967</v>
      </c>
      <c r="V854" t="s">
        <v>15968</v>
      </c>
      <c r="W854" t="s">
        <v>15969</v>
      </c>
      <c r="X854" t="s">
        <v>3604</v>
      </c>
      <c r="Y854" t="s">
        <v>15970</v>
      </c>
      <c r="Z854" t="s">
        <v>15971</v>
      </c>
      <c r="AA854" t="s">
        <v>74</v>
      </c>
      <c r="AB854" t="s">
        <v>74</v>
      </c>
      <c r="AC854" t="s">
        <v>15972</v>
      </c>
      <c r="AD854" t="s">
        <v>15973</v>
      </c>
      <c r="AE854" t="s">
        <v>15974</v>
      </c>
      <c r="AF854" t="s">
        <v>74</v>
      </c>
      <c r="AG854">
        <v>19</v>
      </c>
      <c r="AH854">
        <v>3</v>
      </c>
      <c r="AI854">
        <v>4</v>
      </c>
      <c r="AJ854">
        <v>8</v>
      </c>
      <c r="AK854">
        <v>33</v>
      </c>
      <c r="AL854" t="s">
        <v>2263</v>
      </c>
      <c r="AM854" t="s">
        <v>2264</v>
      </c>
      <c r="AN854" t="s">
        <v>2265</v>
      </c>
      <c r="AO854" t="s">
        <v>4270</v>
      </c>
      <c r="AP854" t="s">
        <v>4271</v>
      </c>
      <c r="AQ854" t="s">
        <v>74</v>
      </c>
      <c r="AR854" t="s">
        <v>4272</v>
      </c>
      <c r="AS854" t="s">
        <v>4273</v>
      </c>
      <c r="AT854" t="s">
        <v>15975</v>
      </c>
      <c r="AU854">
        <v>2015</v>
      </c>
      <c r="AV854">
        <v>24</v>
      </c>
      <c r="AW854">
        <v>8</v>
      </c>
      <c r="AX854" t="s">
        <v>74</v>
      </c>
      <c r="AY854" t="s">
        <v>74</v>
      </c>
      <c r="AZ854" t="s">
        <v>74</v>
      </c>
      <c r="BA854" t="s">
        <v>74</v>
      </c>
      <c r="BB854">
        <v>824</v>
      </c>
      <c r="BC854">
        <v>831</v>
      </c>
      <c r="BD854" t="s">
        <v>74</v>
      </c>
      <c r="BE854" t="s">
        <v>15976</v>
      </c>
      <c r="BF854" t="str">
        <f>HYPERLINK("http://dx.doi.org/10.1080/10498850.2013.819056","http://dx.doi.org/10.1080/10498850.2013.819056")</f>
        <v>http://dx.doi.org/10.1080/10498850.2013.819056</v>
      </c>
      <c r="BG854" t="s">
        <v>74</v>
      </c>
      <c r="BH854" t="s">
        <v>74</v>
      </c>
      <c r="BI854">
        <v>8</v>
      </c>
      <c r="BJ854" t="s">
        <v>4275</v>
      </c>
      <c r="BK854" t="s">
        <v>264</v>
      </c>
      <c r="BL854" t="s">
        <v>4275</v>
      </c>
      <c r="BM854" t="s">
        <v>15977</v>
      </c>
      <c r="BN854" t="s">
        <v>74</v>
      </c>
      <c r="BO854" t="s">
        <v>74</v>
      </c>
      <c r="BP854" t="s">
        <v>74</v>
      </c>
      <c r="BQ854" t="s">
        <v>74</v>
      </c>
      <c r="BR854" t="s">
        <v>100</v>
      </c>
      <c r="BS854" t="s">
        <v>15978</v>
      </c>
      <c r="BT854" t="str">
        <f>HYPERLINK("https%3A%2F%2Fwww.webofscience.com%2Fwos%2Fwoscc%2Ffull-record%2FWOS:000366360700009","View Full Record in Web of Science")</f>
        <v>View Full Record in Web of Science</v>
      </c>
    </row>
    <row r="855" spans="1:72" x14ac:dyDescent="0.15">
      <c r="A855" t="s">
        <v>72</v>
      </c>
      <c r="B855" t="s">
        <v>15979</v>
      </c>
      <c r="C855" t="s">
        <v>74</v>
      </c>
      <c r="D855" t="s">
        <v>74</v>
      </c>
      <c r="E855" t="s">
        <v>74</v>
      </c>
      <c r="F855" t="s">
        <v>15980</v>
      </c>
      <c r="G855" t="s">
        <v>74</v>
      </c>
      <c r="H855" t="s">
        <v>74</v>
      </c>
      <c r="I855" t="s">
        <v>15981</v>
      </c>
      <c r="J855" t="s">
        <v>15982</v>
      </c>
      <c r="K855" t="s">
        <v>74</v>
      </c>
      <c r="L855" t="s">
        <v>74</v>
      </c>
      <c r="M855" t="s">
        <v>200</v>
      </c>
      <c r="N855" t="s">
        <v>79</v>
      </c>
      <c r="O855" t="s">
        <v>74</v>
      </c>
      <c r="P855" t="s">
        <v>74</v>
      </c>
      <c r="Q855" t="s">
        <v>74</v>
      </c>
      <c r="R855" t="s">
        <v>74</v>
      </c>
      <c r="S855" t="s">
        <v>74</v>
      </c>
      <c r="T855" t="s">
        <v>74</v>
      </c>
      <c r="U855" t="s">
        <v>15983</v>
      </c>
      <c r="V855" t="s">
        <v>15984</v>
      </c>
      <c r="W855" t="s">
        <v>15985</v>
      </c>
      <c r="X855" t="s">
        <v>15986</v>
      </c>
      <c r="Y855" t="s">
        <v>15987</v>
      </c>
      <c r="Z855" t="s">
        <v>15988</v>
      </c>
      <c r="AA855" t="s">
        <v>15989</v>
      </c>
      <c r="AB855" t="s">
        <v>15990</v>
      </c>
      <c r="AC855" t="s">
        <v>15991</v>
      </c>
      <c r="AD855" t="s">
        <v>15992</v>
      </c>
      <c r="AE855" t="s">
        <v>15993</v>
      </c>
      <c r="AF855" t="s">
        <v>74</v>
      </c>
      <c r="AG855">
        <v>56</v>
      </c>
      <c r="AH855">
        <v>18</v>
      </c>
      <c r="AI855">
        <v>18</v>
      </c>
      <c r="AJ855">
        <v>0</v>
      </c>
      <c r="AK855">
        <v>20</v>
      </c>
      <c r="AL855" t="s">
        <v>10163</v>
      </c>
      <c r="AM855" t="s">
        <v>1559</v>
      </c>
      <c r="AN855" t="s">
        <v>10164</v>
      </c>
      <c r="AO855" t="s">
        <v>15994</v>
      </c>
      <c r="AP855" t="s">
        <v>15995</v>
      </c>
      <c r="AQ855" t="s">
        <v>74</v>
      </c>
      <c r="AR855" t="s">
        <v>15996</v>
      </c>
      <c r="AS855" t="s">
        <v>15997</v>
      </c>
      <c r="AT855" t="s">
        <v>15975</v>
      </c>
      <c r="AU855">
        <v>2015</v>
      </c>
      <c r="AV855">
        <v>87</v>
      </c>
      <c r="AW855">
        <v>22</v>
      </c>
      <c r="AX855" t="s">
        <v>74</v>
      </c>
      <c r="AY855" t="s">
        <v>74</v>
      </c>
      <c r="AZ855" t="s">
        <v>74</v>
      </c>
      <c r="BA855" t="s">
        <v>74</v>
      </c>
      <c r="BB855">
        <v>11441</v>
      </c>
      <c r="BC855">
        <v>11447</v>
      </c>
      <c r="BD855" t="s">
        <v>74</v>
      </c>
      <c r="BE855" t="s">
        <v>15998</v>
      </c>
      <c r="BF855" t="str">
        <f>HYPERLINK("http://dx.doi.org/10.1021/acs.analchem.5b02961","http://dx.doi.org/10.1021/acs.analchem.5b02961")</f>
        <v>http://dx.doi.org/10.1021/acs.analchem.5b02961</v>
      </c>
      <c r="BG855" t="s">
        <v>74</v>
      </c>
      <c r="BH855" t="s">
        <v>74</v>
      </c>
      <c r="BI855">
        <v>7</v>
      </c>
      <c r="BJ855" t="s">
        <v>15999</v>
      </c>
      <c r="BK855" t="s">
        <v>264</v>
      </c>
      <c r="BL855" t="s">
        <v>5671</v>
      </c>
      <c r="BM855" t="s">
        <v>16000</v>
      </c>
      <c r="BN855">
        <v>26494022</v>
      </c>
      <c r="BO855" t="s">
        <v>74</v>
      </c>
      <c r="BP855" t="s">
        <v>74</v>
      </c>
      <c r="BQ855" t="s">
        <v>74</v>
      </c>
      <c r="BR855" t="s">
        <v>100</v>
      </c>
      <c r="BS855" t="s">
        <v>16001</v>
      </c>
      <c r="BT855" t="str">
        <f>HYPERLINK("https%3A%2F%2Fwww.webofscience.com%2Fwos%2Fwoscc%2Ffull-record%2FWOS:000365151000039","View Full Record in Web of Science")</f>
        <v>View Full Record in Web of Science</v>
      </c>
    </row>
    <row r="856" spans="1:72" x14ac:dyDescent="0.15">
      <c r="A856" t="s">
        <v>72</v>
      </c>
      <c r="B856" t="s">
        <v>16002</v>
      </c>
      <c r="C856" t="s">
        <v>74</v>
      </c>
      <c r="D856" t="s">
        <v>74</v>
      </c>
      <c r="E856" t="s">
        <v>74</v>
      </c>
      <c r="F856" t="s">
        <v>16003</v>
      </c>
      <c r="G856" t="s">
        <v>74</v>
      </c>
      <c r="H856" t="s">
        <v>74</v>
      </c>
      <c r="I856" t="s">
        <v>16004</v>
      </c>
      <c r="J856" t="s">
        <v>16005</v>
      </c>
      <c r="K856" t="s">
        <v>74</v>
      </c>
      <c r="L856" t="s">
        <v>74</v>
      </c>
      <c r="M856" t="s">
        <v>200</v>
      </c>
      <c r="N856" t="s">
        <v>79</v>
      </c>
      <c r="O856" t="s">
        <v>74</v>
      </c>
      <c r="P856" t="s">
        <v>74</v>
      </c>
      <c r="Q856" t="s">
        <v>74</v>
      </c>
      <c r="R856" t="s">
        <v>74</v>
      </c>
      <c r="S856" t="s">
        <v>74</v>
      </c>
      <c r="T856" t="s">
        <v>74</v>
      </c>
      <c r="U856" t="s">
        <v>16006</v>
      </c>
      <c r="V856" t="s">
        <v>16007</v>
      </c>
      <c r="W856" t="s">
        <v>16008</v>
      </c>
      <c r="X856" t="s">
        <v>16009</v>
      </c>
      <c r="Y856" t="s">
        <v>16010</v>
      </c>
      <c r="Z856" t="s">
        <v>16011</v>
      </c>
      <c r="AA856" t="s">
        <v>74</v>
      </c>
      <c r="AB856" t="s">
        <v>16012</v>
      </c>
      <c r="AC856" t="s">
        <v>16013</v>
      </c>
      <c r="AD856" t="s">
        <v>16014</v>
      </c>
      <c r="AE856" t="s">
        <v>16015</v>
      </c>
      <c r="AF856" t="s">
        <v>74</v>
      </c>
      <c r="AG856">
        <v>74</v>
      </c>
      <c r="AH856">
        <v>34</v>
      </c>
      <c r="AI856">
        <v>37</v>
      </c>
      <c r="AJ856">
        <v>7</v>
      </c>
      <c r="AK856">
        <v>148</v>
      </c>
      <c r="AL856" t="s">
        <v>10163</v>
      </c>
      <c r="AM856" t="s">
        <v>1559</v>
      </c>
      <c r="AN856" t="s">
        <v>10164</v>
      </c>
      <c r="AO856" t="s">
        <v>16016</v>
      </c>
      <c r="AP856" t="s">
        <v>16017</v>
      </c>
      <c r="AQ856" t="s">
        <v>74</v>
      </c>
      <c r="AR856" t="s">
        <v>16018</v>
      </c>
      <c r="AS856" t="s">
        <v>16019</v>
      </c>
      <c r="AT856" t="s">
        <v>15975</v>
      </c>
      <c r="AU856">
        <v>2015</v>
      </c>
      <c r="AV856">
        <v>49</v>
      </c>
      <c r="AW856">
        <v>22</v>
      </c>
      <c r="AX856" t="s">
        <v>74</v>
      </c>
      <c r="AY856" t="s">
        <v>74</v>
      </c>
      <c r="AZ856" t="s">
        <v>74</v>
      </c>
      <c r="BA856" t="s">
        <v>74</v>
      </c>
      <c r="BB856">
        <v>13628</v>
      </c>
      <c r="BC856">
        <v>13638</v>
      </c>
      <c r="BD856" t="s">
        <v>74</v>
      </c>
      <c r="BE856" t="s">
        <v>16020</v>
      </c>
      <c r="BF856" t="str">
        <f>HYPERLINK("http://dx.doi.org/10.1021/acs.est.5b03181","http://dx.doi.org/10.1021/acs.est.5b03181")</f>
        <v>http://dx.doi.org/10.1021/acs.est.5b03181</v>
      </c>
      <c r="BG856" t="s">
        <v>74</v>
      </c>
      <c r="BH856" t="s">
        <v>74</v>
      </c>
      <c r="BI856">
        <v>11</v>
      </c>
      <c r="BJ856" t="s">
        <v>16021</v>
      </c>
      <c r="BK856" t="s">
        <v>264</v>
      </c>
      <c r="BL856" t="s">
        <v>16022</v>
      </c>
      <c r="BM856" t="s">
        <v>16023</v>
      </c>
      <c r="BN856">
        <v>26502059</v>
      </c>
      <c r="BO856" t="s">
        <v>74</v>
      </c>
      <c r="BP856" t="s">
        <v>74</v>
      </c>
      <c r="BQ856" t="s">
        <v>74</v>
      </c>
      <c r="BR856" t="s">
        <v>100</v>
      </c>
      <c r="BS856" t="s">
        <v>16024</v>
      </c>
      <c r="BT856" t="str">
        <f>HYPERLINK("https%3A%2F%2Fwww.webofscience.com%2Fwos%2Fwoscc%2Ffull-record%2FWOS:000365151200062","View Full Record in Web of Science")</f>
        <v>View Full Record in Web of Science</v>
      </c>
    </row>
    <row r="857" spans="1:72" x14ac:dyDescent="0.15">
      <c r="A857" t="s">
        <v>72</v>
      </c>
      <c r="B857" t="s">
        <v>16025</v>
      </c>
      <c r="C857" t="s">
        <v>74</v>
      </c>
      <c r="D857" t="s">
        <v>74</v>
      </c>
      <c r="E857" t="s">
        <v>74</v>
      </c>
      <c r="F857" t="s">
        <v>16026</v>
      </c>
      <c r="G857" t="s">
        <v>74</v>
      </c>
      <c r="H857" t="s">
        <v>74</v>
      </c>
      <c r="I857" t="s">
        <v>16027</v>
      </c>
      <c r="J857" t="s">
        <v>16028</v>
      </c>
      <c r="K857" t="s">
        <v>74</v>
      </c>
      <c r="L857" t="s">
        <v>74</v>
      </c>
      <c r="M857" t="s">
        <v>200</v>
      </c>
      <c r="N857" t="s">
        <v>79</v>
      </c>
      <c r="O857" t="s">
        <v>74</v>
      </c>
      <c r="P857" t="s">
        <v>74</v>
      </c>
      <c r="Q857" t="s">
        <v>74</v>
      </c>
      <c r="R857" t="s">
        <v>74</v>
      </c>
      <c r="S857" t="s">
        <v>74</v>
      </c>
      <c r="T857" t="s">
        <v>16029</v>
      </c>
      <c r="U857" t="s">
        <v>16030</v>
      </c>
      <c r="V857" t="s">
        <v>16031</v>
      </c>
      <c r="W857" t="s">
        <v>16032</v>
      </c>
      <c r="X857" t="s">
        <v>7250</v>
      </c>
      <c r="Y857" t="s">
        <v>7251</v>
      </c>
      <c r="Z857" t="s">
        <v>4790</v>
      </c>
      <c r="AA857" t="s">
        <v>4791</v>
      </c>
      <c r="AB857" t="s">
        <v>16033</v>
      </c>
      <c r="AC857" t="s">
        <v>16034</v>
      </c>
      <c r="AD857" t="s">
        <v>16035</v>
      </c>
      <c r="AE857" t="s">
        <v>16036</v>
      </c>
      <c r="AF857" t="s">
        <v>74</v>
      </c>
      <c r="AG857">
        <v>51</v>
      </c>
      <c r="AH857">
        <v>106</v>
      </c>
      <c r="AI857">
        <v>121</v>
      </c>
      <c r="AJ857">
        <v>3</v>
      </c>
      <c r="AK857">
        <v>70</v>
      </c>
      <c r="AL857" t="s">
        <v>16037</v>
      </c>
      <c r="AM857" t="s">
        <v>1559</v>
      </c>
      <c r="AN857" t="s">
        <v>16038</v>
      </c>
      <c r="AO857" t="s">
        <v>16039</v>
      </c>
      <c r="AP857" t="s">
        <v>74</v>
      </c>
      <c r="AQ857" t="s">
        <v>74</v>
      </c>
      <c r="AR857" t="s">
        <v>16040</v>
      </c>
      <c r="AS857" t="s">
        <v>16041</v>
      </c>
      <c r="AT857" t="s">
        <v>15975</v>
      </c>
      <c r="AU857">
        <v>2015</v>
      </c>
      <c r="AV857">
        <v>112</v>
      </c>
      <c r="AW857">
        <v>46</v>
      </c>
      <c r="AX857" t="s">
        <v>74</v>
      </c>
      <c r="AY857" t="s">
        <v>74</v>
      </c>
      <c r="AZ857" t="s">
        <v>74</v>
      </c>
      <c r="BA857" t="s">
        <v>74</v>
      </c>
      <c r="BB857">
        <v>14191</v>
      </c>
      <c r="BC857">
        <v>14196</v>
      </c>
      <c r="BD857" t="s">
        <v>74</v>
      </c>
      <c r="BE857" t="s">
        <v>16042</v>
      </c>
      <c r="BF857" t="str">
        <f>HYPERLINK("http://dx.doi.org/10.1073/pnas.1512482112","http://dx.doi.org/10.1073/pnas.1512482112")</f>
        <v>http://dx.doi.org/10.1073/pnas.1512482112</v>
      </c>
      <c r="BG857" t="s">
        <v>74</v>
      </c>
      <c r="BH857" t="s">
        <v>74</v>
      </c>
      <c r="BI857">
        <v>6</v>
      </c>
      <c r="BJ857" t="s">
        <v>3540</v>
      </c>
      <c r="BK857" t="s">
        <v>264</v>
      </c>
      <c r="BL857" t="s">
        <v>3541</v>
      </c>
      <c r="BM857" t="s">
        <v>16043</v>
      </c>
      <c r="BN857">
        <v>26578762</v>
      </c>
      <c r="BO857" t="s">
        <v>3183</v>
      </c>
      <c r="BP857" t="s">
        <v>74</v>
      </c>
      <c r="BQ857" t="s">
        <v>74</v>
      </c>
      <c r="BR857" t="s">
        <v>100</v>
      </c>
      <c r="BS857" t="s">
        <v>16044</v>
      </c>
      <c r="BT857" t="str">
        <f>HYPERLINK("https%3A%2F%2Fwww.webofscience.com%2Fwos%2Fwoscc%2Ffull-record%2FWOS:000365170400043","View Full Record in Web of Science")</f>
        <v>View Full Record in Web of Science</v>
      </c>
    </row>
    <row r="858" spans="1:72" x14ac:dyDescent="0.15">
      <c r="A858" t="s">
        <v>72</v>
      </c>
      <c r="B858" t="s">
        <v>16045</v>
      </c>
      <c r="C858" t="s">
        <v>74</v>
      </c>
      <c r="D858" t="s">
        <v>74</v>
      </c>
      <c r="E858" t="s">
        <v>74</v>
      </c>
      <c r="F858" t="s">
        <v>16046</v>
      </c>
      <c r="G858" t="s">
        <v>74</v>
      </c>
      <c r="H858" t="s">
        <v>74</v>
      </c>
      <c r="I858" t="s">
        <v>16047</v>
      </c>
      <c r="J858" t="s">
        <v>11754</v>
      </c>
      <c r="K858" t="s">
        <v>74</v>
      </c>
      <c r="L858" t="s">
        <v>74</v>
      </c>
      <c r="M858" t="s">
        <v>200</v>
      </c>
      <c r="N858" t="s">
        <v>79</v>
      </c>
      <c r="O858" t="s">
        <v>74</v>
      </c>
      <c r="P858" t="s">
        <v>74</v>
      </c>
      <c r="Q858" t="s">
        <v>74</v>
      </c>
      <c r="R858" t="s">
        <v>74</v>
      </c>
      <c r="S858" t="s">
        <v>74</v>
      </c>
      <c r="T858" t="s">
        <v>74</v>
      </c>
      <c r="U858" t="s">
        <v>16048</v>
      </c>
      <c r="V858" t="s">
        <v>16049</v>
      </c>
      <c r="W858" t="s">
        <v>16050</v>
      </c>
      <c r="X858" t="s">
        <v>16051</v>
      </c>
      <c r="Y858" t="s">
        <v>16052</v>
      </c>
      <c r="Z858" t="s">
        <v>16053</v>
      </c>
      <c r="AA858" t="s">
        <v>16054</v>
      </c>
      <c r="AB858" t="s">
        <v>16055</v>
      </c>
      <c r="AC858" t="s">
        <v>16056</v>
      </c>
      <c r="AD858" t="s">
        <v>16057</v>
      </c>
      <c r="AE858" t="s">
        <v>16058</v>
      </c>
      <c r="AF858" t="s">
        <v>74</v>
      </c>
      <c r="AG858">
        <v>54</v>
      </c>
      <c r="AH858">
        <v>72</v>
      </c>
      <c r="AI858">
        <v>79</v>
      </c>
      <c r="AJ858">
        <v>2</v>
      </c>
      <c r="AK858">
        <v>25</v>
      </c>
      <c r="AL858" t="s">
        <v>2410</v>
      </c>
      <c r="AM858" t="s">
        <v>1559</v>
      </c>
      <c r="AN858" t="s">
        <v>2411</v>
      </c>
      <c r="AO858" t="s">
        <v>11767</v>
      </c>
      <c r="AP858" t="s">
        <v>11768</v>
      </c>
      <c r="AQ858" t="s">
        <v>74</v>
      </c>
      <c r="AR858" t="s">
        <v>11769</v>
      </c>
      <c r="AS858" t="s">
        <v>11770</v>
      </c>
      <c r="AT858" t="s">
        <v>16059</v>
      </c>
      <c r="AU858">
        <v>2015</v>
      </c>
      <c r="AV858">
        <v>42</v>
      </c>
      <c r="AW858">
        <v>21</v>
      </c>
      <c r="AX858" t="s">
        <v>74</v>
      </c>
      <c r="AY858" t="s">
        <v>74</v>
      </c>
      <c r="AZ858" t="s">
        <v>74</v>
      </c>
      <c r="BA858" t="s">
        <v>74</v>
      </c>
      <c r="BB858">
        <v>9270</v>
      </c>
      <c r="BC858">
        <v>9278</v>
      </c>
      <c r="BD858" t="s">
        <v>74</v>
      </c>
      <c r="BE858" t="s">
        <v>16060</v>
      </c>
      <c r="BF858" t="str">
        <f>HYPERLINK("http://dx.doi.org/10.1002/2015GL066237","http://dx.doi.org/10.1002/2015GL066237")</f>
        <v>http://dx.doi.org/10.1002/2015GL066237</v>
      </c>
      <c r="BG858" t="s">
        <v>74</v>
      </c>
      <c r="BH858" t="s">
        <v>74</v>
      </c>
      <c r="BI858">
        <v>9</v>
      </c>
      <c r="BJ858" t="s">
        <v>95</v>
      </c>
      <c r="BK858" t="s">
        <v>264</v>
      </c>
      <c r="BL858" t="s">
        <v>97</v>
      </c>
      <c r="BM858" t="s">
        <v>16061</v>
      </c>
      <c r="BN858" t="s">
        <v>74</v>
      </c>
      <c r="BO858" t="s">
        <v>2987</v>
      </c>
      <c r="BP858" t="s">
        <v>74</v>
      </c>
      <c r="BQ858" t="s">
        <v>74</v>
      </c>
      <c r="BR858" t="s">
        <v>100</v>
      </c>
      <c r="BS858" t="s">
        <v>16062</v>
      </c>
      <c r="BT858" t="str">
        <f>HYPERLINK("https%3A%2F%2Fwww.webofscience.com%2Fwos%2Fwoscc%2Ffull-record%2FWOS:000368336800060","View Full Record in Web of Science")</f>
        <v>View Full Record in Web of Science</v>
      </c>
    </row>
    <row r="859" spans="1:72" x14ac:dyDescent="0.15">
      <c r="A859" t="s">
        <v>72</v>
      </c>
      <c r="B859" t="s">
        <v>16063</v>
      </c>
      <c r="C859" t="s">
        <v>74</v>
      </c>
      <c r="D859" t="s">
        <v>74</v>
      </c>
      <c r="E859" t="s">
        <v>74</v>
      </c>
      <c r="F859" t="s">
        <v>16064</v>
      </c>
      <c r="G859" t="s">
        <v>74</v>
      </c>
      <c r="H859" t="s">
        <v>74</v>
      </c>
      <c r="I859" t="s">
        <v>16065</v>
      </c>
      <c r="J859" t="s">
        <v>11811</v>
      </c>
      <c r="K859" t="s">
        <v>74</v>
      </c>
      <c r="L859" t="s">
        <v>74</v>
      </c>
      <c r="M859" t="s">
        <v>200</v>
      </c>
      <c r="N859" t="s">
        <v>79</v>
      </c>
      <c r="O859" t="s">
        <v>74</v>
      </c>
      <c r="P859" t="s">
        <v>74</v>
      </c>
      <c r="Q859" t="s">
        <v>74</v>
      </c>
      <c r="R859" t="s">
        <v>74</v>
      </c>
      <c r="S859" t="s">
        <v>74</v>
      </c>
      <c r="T859" t="s">
        <v>74</v>
      </c>
      <c r="U859" t="s">
        <v>16066</v>
      </c>
      <c r="V859" t="s">
        <v>16067</v>
      </c>
      <c r="W859" t="s">
        <v>16068</v>
      </c>
      <c r="X859" t="s">
        <v>16069</v>
      </c>
      <c r="Y859" t="s">
        <v>16070</v>
      </c>
      <c r="Z859" t="s">
        <v>16071</v>
      </c>
      <c r="AA859" t="s">
        <v>16072</v>
      </c>
      <c r="AB859" t="s">
        <v>16073</v>
      </c>
      <c r="AC859" t="s">
        <v>16074</v>
      </c>
      <c r="AD859" t="s">
        <v>16075</v>
      </c>
      <c r="AE859" t="s">
        <v>16076</v>
      </c>
      <c r="AF859" t="s">
        <v>74</v>
      </c>
      <c r="AG859">
        <v>77</v>
      </c>
      <c r="AH859">
        <v>96</v>
      </c>
      <c r="AI859">
        <v>109</v>
      </c>
      <c r="AJ859">
        <v>3</v>
      </c>
      <c r="AK859">
        <v>36</v>
      </c>
      <c r="AL859" t="s">
        <v>2410</v>
      </c>
      <c r="AM859" t="s">
        <v>1559</v>
      </c>
      <c r="AN859" t="s">
        <v>2411</v>
      </c>
      <c r="AO859" t="s">
        <v>11823</v>
      </c>
      <c r="AP859" t="s">
        <v>11824</v>
      </c>
      <c r="AQ859" t="s">
        <v>74</v>
      </c>
      <c r="AR859" t="s">
        <v>11825</v>
      </c>
      <c r="AS859" t="s">
        <v>11826</v>
      </c>
      <c r="AT859" t="s">
        <v>16059</v>
      </c>
      <c r="AU859">
        <v>2015</v>
      </c>
      <c r="AV859">
        <v>120</v>
      </c>
      <c r="AW859">
        <v>21</v>
      </c>
      <c r="AX859" t="s">
        <v>74</v>
      </c>
      <c r="AY859" t="s">
        <v>74</v>
      </c>
      <c r="AZ859" t="s">
        <v>74</v>
      </c>
      <c r="BA859" t="s">
        <v>74</v>
      </c>
      <c r="BB859">
        <v>11037</v>
      </c>
      <c r="BC859">
        <v>11057</v>
      </c>
      <c r="BD859" t="s">
        <v>74</v>
      </c>
      <c r="BE859" t="s">
        <v>16077</v>
      </c>
      <c r="BF859" t="str">
        <f>HYPERLINK("http://dx.doi.org/10.1002/2015JD023465","http://dx.doi.org/10.1002/2015JD023465")</f>
        <v>http://dx.doi.org/10.1002/2015JD023465</v>
      </c>
      <c r="BG859" t="s">
        <v>74</v>
      </c>
      <c r="BH859" t="s">
        <v>74</v>
      </c>
      <c r="BI859">
        <v>21</v>
      </c>
      <c r="BJ859" t="s">
        <v>1721</v>
      </c>
      <c r="BK859" t="s">
        <v>264</v>
      </c>
      <c r="BL859" t="s">
        <v>1721</v>
      </c>
      <c r="BM859" t="s">
        <v>16078</v>
      </c>
      <c r="BN859" t="s">
        <v>74</v>
      </c>
      <c r="BO859" t="s">
        <v>3183</v>
      </c>
      <c r="BP859" t="s">
        <v>74</v>
      </c>
      <c r="BQ859" t="s">
        <v>74</v>
      </c>
      <c r="BR859" t="s">
        <v>100</v>
      </c>
      <c r="BS859" t="s">
        <v>16079</v>
      </c>
      <c r="BT859" t="str">
        <f>HYPERLINK("https%3A%2F%2Fwww.webofscience.com%2Fwos%2Fwoscc%2Ffull-record%2FWOS:000367823600001","View Full Record in Web of Science")</f>
        <v>View Full Record in Web of Science</v>
      </c>
    </row>
    <row r="860" spans="1:72" x14ac:dyDescent="0.15">
      <c r="A860" t="s">
        <v>72</v>
      </c>
      <c r="B860" t="s">
        <v>16080</v>
      </c>
      <c r="C860" t="s">
        <v>74</v>
      </c>
      <c r="D860" t="s">
        <v>74</v>
      </c>
      <c r="E860" t="s">
        <v>74</v>
      </c>
      <c r="F860" t="s">
        <v>16081</v>
      </c>
      <c r="G860" t="s">
        <v>74</v>
      </c>
      <c r="H860" t="s">
        <v>74</v>
      </c>
      <c r="I860" t="s">
        <v>16082</v>
      </c>
      <c r="J860" t="s">
        <v>16083</v>
      </c>
      <c r="K860" t="s">
        <v>74</v>
      </c>
      <c r="L860" t="s">
        <v>74</v>
      </c>
      <c r="M860" t="s">
        <v>200</v>
      </c>
      <c r="N860" t="s">
        <v>8638</v>
      </c>
      <c r="O860" t="s">
        <v>74</v>
      </c>
      <c r="P860" t="s">
        <v>74</v>
      </c>
      <c r="Q860" t="s">
        <v>74</v>
      </c>
      <c r="R860" t="s">
        <v>74</v>
      </c>
      <c r="S860" t="s">
        <v>74</v>
      </c>
      <c r="T860" t="s">
        <v>74</v>
      </c>
      <c r="U860" t="s">
        <v>16084</v>
      </c>
      <c r="V860" t="s">
        <v>16085</v>
      </c>
      <c r="W860" t="s">
        <v>16086</v>
      </c>
      <c r="X860" t="s">
        <v>468</v>
      </c>
      <c r="Y860" t="s">
        <v>16087</v>
      </c>
      <c r="Z860" t="s">
        <v>16088</v>
      </c>
      <c r="AA860" t="s">
        <v>74</v>
      </c>
      <c r="AB860" t="s">
        <v>74</v>
      </c>
      <c r="AC860" t="s">
        <v>16089</v>
      </c>
      <c r="AD860" t="s">
        <v>7578</v>
      </c>
      <c r="AE860" t="s">
        <v>74</v>
      </c>
      <c r="AF860" t="s">
        <v>74</v>
      </c>
      <c r="AG860">
        <v>13</v>
      </c>
      <c r="AH860">
        <v>2</v>
      </c>
      <c r="AI860">
        <v>2</v>
      </c>
      <c r="AJ860">
        <v>0</v>
      </c>
      <c r="AK860">
        <v>19</v>
      </c>
      <c r="AL860" t="s">
        <v>16090</v>
      </c>
      <c r="AM860" t="s">
        <v>2240</v>
      </c>
      <c r="AN860" t="s">
        <v>16091</v>
      </c>
      <c r="AO860" t="s">
        <v>16092</v>
      </c>
      <c r="AP860" t="s">
        <v>16093</v>
      </c>
      <c r="AQ860" t="s">
        <v>74</v>
      </c>
      <c r="AR860" t="s">
        <v>16094</v>
      </c>
      <c r="AS860" t="s">
        <v>16095</v>
      </c>
      <c r="AT860" t="s">
        <v>16059</v>
      </c>
      <c r="AU860">
        <v>2015</v>
      </c>
      <c r="AV860">
        <v>25</v>
      </c>
      <c r="AW860">
        <v>22</v>
      </c>
      <c r="AX860" t="s">
        <v>74</v>
      </c>
      <c r="AY860" t="s">
        <v>74</v>
      </c>
      <c r="AZ860" t="s">
        <v>74</v>
      </c>
      <c r="BA860" t="s">
        <v>74</v>
      </c>
      <c r="BB860" t="s">
        <v>16096</v>
      </c>
      <c r="BC860" t="s">
        <v>16097</v>
      </c>
      <c r="BD860" t="s">
        <v>74</v>
      </c>
      <c r="BE860" t="s">
        <v>16098</v>
      </c>
      <c r="BF860" t="str">
        <f>HYPERLINK("http://dx.doi.org/10.1016/j.cub.2015.09.067","http://dx.doi.org/10.1016/j.cub.2015.09.067")</f>
        <v>http://dx.doi.org/10.1016/j.cub.2015.09.067</v>
      </c>
      <c r="BG860" t="s">
        <v>74</v>
      </c>
      <c r="BH860" t="s">
        <v>74</v>
      </c>
      <c r="BI860">
        <v>4</v>
      </c>
      <c r="BJ860" t="s">
        <v>16099</v>
      </c>
      <c r="BK860" t="s">
        <v>264</v>
      </c>
      <c r="BL860" t="s">
        <v>16100</v>
      </c>
      <c r="BM860" t="s">
        <v>16101</v>
      </c>
      <c r="BN860">
        <v>26583902</v>
      </c>
      <c r="BO860" t="s">
        <v>8238</v>
      </c>
      <c r="BP860" t="s">
        <v>74</v>
      </c>
      <c r="BQ860" t="s">
        <v>74</v>
      </c>
      <c r="BR860" t="s">
        <v>100</v>
      </c>
      <c r="BS860" t="s">
        <v>16102</v>
      </c>
      <c r="BT860" t="str">
        <f>HYPERLINK("https%3A%2F%2Fwww.webofscience.com%2Fwos%2Fwoscc%2Ffull-record%2FWOS:000365061500014","View Full Record in Web of Science")</f>
        <v>View Full Record in Web of Science</v>
      </c>
    </row>
    <row r="861" spans="1:72" x14ac:dyDescent="0.15">
      <c r="A861" t="s">
        <v>72</v>
      </c>
      <c r="B861" t="s">
        <v>16103</v>
      </c>
      <c r="C861" t="s">
        <v>74</v>
      </c>
      <c r="D861" t="s">
        <v>74</v>
      </c>
      <c r="E861" t="s">
        <v>74</v>
      </c>
      <c r="F861" t="s">
        <v>16104</v>
      </c>
      <c r="G861" t="s">
        <v>74</v>
      </c>
      <c r="H861" t="s">
        <v>74</v>
      </c>
      <c r="I861" t="s">
        <v>16105</v>
      </c>
      <c r="J861" t="s">
        <v>11754</v>
      </c>
      <c r="K861" t="s">
        <v>74</v>
      </c>
      <c r="L861" t="s">
        <v>74</v>
      </c>
      <c r="M861" t="s">
        <v>200</v>
      </c>
      <c r="N861" t="s">
        <v>79</v>
      </c>
      <c r="O861" t="s">
        <v>74</v>
      </c>
      <c r="P861" t="s">
        <v>74</v>
      </c>
      <c r="Q861" t="s">
        <v>74</v>
      </c>
      <c r="R861" t="s">
        <v>74</v>
      </c>
      <c r="S861" t="s">
        <v>74</v>
      </c>
      <c r="T861" t="s">
        <v>74</v>
      </c>
      <c r="U861" t="s">
        <v>16106</v>
      </c>
      <c r="V861" t="s">
        <v>16107</v>
      </c>
      <c r="W861" t="s">
        <v>16108</v>
      </c>
      <c r="X861" t="s">
        <v>468</v>
      </c>
      <c r="Y861" t="s">
        <v>16109</v>
      </c>
      <c r="Z861" t="s">
        <v>16110</v>
      </c>
      <c r="AA861" t="s">
        <v>16111</v>
      </c>
      <c r="AB861" t="s">
        <v>16112</v>
      </c>
      <c r="AC861" t="s">
        <v>16113</v>
      </c>
      <c r="AD861" t="s">
        <v>16114</v>
      </c>
      <c r="AE861" t="s">
        <v>16115</v>
      </c>
      <c r="AF861" t="s">
        <v>74</v>
      </c>
      <c r="AG861">
        <v>35</v>
      </c>
      <c r="AH861">
        <v>59</v>
      </c>
      <c r="AI861">
        <v>64</v>
      </c>
      <c r="AJ861">
        <v>1</v>
      </c>
      <c r="AK861">
        <v>30</v>
      </c>
      <c r="AL861" t="s">
        <v>2410</v>
      </c>
      <c r="AM861" t="s">
        <v>1559</v>
      </c>
      <c r="AN861" t="s">
        <v>2411</v>
      </c>
      <c r="AO861" t="s">
        <v>11767</v>
      </c>
      <c r="AP861" t="s">
        <v>11768</v>
      </c>
      <c r="AQ861" t="s">
        <v>74</v>
      </c>
      <c r="AR861" t="s">
        <v>11769</v>
      </c>
      <c r="AS861" t="s">
        <v>11770</v>
      </c>
      <c r="AT861" t="s">
        <v>16059</v>
      </c>
      <c r="AU861">
        <v>2015</v>
      </c>
      <c r="AV861">
        <v>42</v>
      </c>
      <c r="AW861">
        <v>21</v>
      </c>
      <c r="AX861" t="s">
        <v>74</v>
      </c>
      <c r="AY861" t="s">
        <v>74</v>
      </c>
      <c r="AZ861" t="s">
        <v>74</v>
      </c>
      <c r="BA861" t="s">
        <v>74</v>
      </c>
      <c r="BB861">
        <v>9387</v>
      </c>
      <c r="BC861">
        <v>9393</v>
      </c>
      <c r="BD861" t="s">
        <v>74</v>
      </c>
      <c r="BE861" t="s">
        <v>16116</v>
      </c>
      <c r="BF861" t="str">
        <f>HYPERLINK("http://dx.doi.org/10.1002/2015GL065750","http://dx.doi.org/10.1002/2015GL065750")</f>
        <v>http://dx.doi.org/10.1002/2015GL065750</v>
      </c>
      <c r="BG861" t="s">
        <v>74</v>
      </c>
      <c r="BH861" t="s">
        <v>74</v>
      </c>
      <c r="BI861">
        <v>7</v>
      </c>
      <c r="BJ861" t="s">
        <v>95</v>
      </c>
      <c r="BK861" t="s">
        <v>264</v>
      </c>
      <c r="BL861" t="s">
        <v>97</v>
      </c>
      <c r="BM861" t="s">
        <v>16061</v>
      </c>
      <c r="BN861" t="s">
        <v>74</v>
      </c>
      <c r="BO861" t="s">
        <v>10884</v>
      </c>
      <c r="BP861" t="s">
        <v>74</v>
      </c>
      <c r="BQ861" t="s">
        <v>74</v>
      </c>
      <c r="BR861" t="s">
        <v>100</v>
      </c>
      <c r="BS861" t="s">
        <v>16117</v>
      </c>
      <c r="BT861" t="str">
        <f>HYPERLINK("https%3A%2F%2Fwww.webofscience.com%2Fwos%2Fwoscc%2Ffull-record%2FWOS:000368336800074","View Full Record in Web of Science")</f>
        <v>View Full Record in Web of Science</v>
      </c>
    </row>
    <row r="862" spans="1:72" x14ac:dyDescent="0.15">
      <c r="A862" t="s">
        <v>72</v>
      </c>
      <c r="B862" t="s">
        <v>12104</v>
      </c>
      <c r="C862" t="s">
        <v>74</v>
      </c>
      <c r="D862" t="s">
        <v>74</v>
      </c>
      <c r="E862" t="s">
        <v>74</v>
      </c>
      <c r="F862" t="s">
        <v>12104</v>
      </c>
      <c r="G862" t="s">
        <v>74</v>
      </c>
      <c r="H862" t="s">
        <v>74</v>
      </c>
      <c r="I862" t="s">
        <v>16118</v>
      </c>
      <c r="J862" t="s">
        <v>12151</v>
      </c>
      <c r="K862" t="s">
        <v>74</v>
      </c>
      <c r="L862" t="s">
        <v>74</v>
      </c>
      <c r="M862" t="s">
        <v>200</v>
      </c>
      <c r="N862" t="s">
        <v>5662</v>
      </c>
      <c r="O862" t="s">
        <v>74</v>
      </c>
      <c r="P862" t="s">
        <v>74</v>
      </c>
      <c r="Q862" t="s">
        <v>74</v>
      </c>
      <c r="R862" t="s">
        <v>74</v>
      </c>
      <c r="S862" t="s">
        <v>74</v>
      </c>
      <c r="T862" t="s">
        <v>74</v>
      </c>
      <c r="U862" t="s">
        <v>74</v>
      </c>
      <c r="V862" t="s">
        <v>74</v>
      </c>
      <c r="W862" t="s">
        <v>74</v>
      </c>
      <c r="X862" t="s">
        <v>74</v>
      </c>
      <c r="Y862" t="s">
        <v>74</v>
      </c>
      <c r="Z862" t="s">
        <v>74</v>
      </c>
      <c r="AA862" t="s">
        <v>74</v>
      </c>
      <c r="AB862" t="s">
        <v>74</v>
      </c>
      <c r="AC862" t="s">
        <v>74</v>
      </c>
      <c r="AD862" t="s">
        <v>74</v>
      </c>
      <c r="AE862" t="s">
        <v>74</v>
      </c>
      <c r="AF862" t="s">
        <v>74</v>
      </c>
      <c r="AG862">
        <v>0</v>
      </c>
      <c r="AH862">
        <v>0</v>
      </c>
      <c r="AI862">
        <v>0</v>
      </c>
      <c r="AJ862">
        <v>0</v>
      </c>
      <c r="AK862">
        <v>9</v>
      </c>
      <c r="AL862" t="s">
        <v>5888</v>
      </c>
      <c r="AM862" t="s">
        <v>1386</v>
      </c>
      <c r="AN862" t="s">
        <v>5889</v>
      </c>
      <c r="AO862" t="s">
        <v>12152</v>
      </c>
      <c r="AP862" t="s">
        <v>12153</v>
      </c>
      <c r="AQ862" t="s">
        <v>74</v>
      </c>
      <c r="AR862" t="s">
        <v>12154</v>
      </c>
      <c r="AS862" t="s">
        <v>12155</v>
      </c>
      <c r="AT862" t="s">
        <v>16119</v>
      </c>
      <c r="AU862">
        <v>2015</v>
      </c>
      <c r="AV862">
        <v>100</v>
      </c>
      <c r="AW862">
        <v>1</v>
      </c>
      <c r="AX862" t="s">
        <v>74</v>
      </c>
      <c r="AY862" t="s">
        <v>74</v>
      </c>
      <c r="AZ862" t="s">
        <v>74</v>
      </c>
      <c r="BA862" t="s">
        <v>74</v>
      </c>
      <c r="BB862">
        <v>2</v>
      </c>
      <c r="BC862">
        <v>2</v>
      </c>
      <c r="BD862" t="s">
        <v>74</v>
      </c>
      <c r="BE862" t="s">
        <v>74</v>
      </c>
      <c r="BF862" t="s">
        <v>74</v>
      </c>
      <c r="BG862" t="s">
        <v>74</v>
      </c>
      <c r="BH862" t="s">
        <v>74</v>
      </c>
      <c r="BI862">
        <v>1</v>
      </c>
      <c r="BJ862" t="s">
        <v>8870</v>
      </c>
      <c r="BK862" t="s">
        <v>264</v>
      </c>
      <c r="BL862" t="s">
        <v>7314</v>
      </c>
      <c r="BM862" t="s">
        <v>16120</v>
      </c>
      <c r="BN862" t="s">
        <v>74</v>
      </c>
      <c r="BO862" t="s">
        <v>74</v>
      </c>
      <c r="BP862" t="s">
        <v>74</v>
      </c>
      <c r="BQ862" t="s">
        <v>74</v>
      </c>
      <c r="BR862" t="s">
        <v>100</v>
      </c>
      <c r="BS862" t="s">
        <v>16121</v>
      </c>
      <c r="BT862" t="str">
        <f>HYPERLINK("https%3A%2F%2Fwww.webofscience.com%2Fwos%2Fwoscc%2Ffull-record%2FWOS:000366771400006","View Full Record in Web of Science")</f>
        <v>View Full Record in Web of Science</v>
      </c>
    </row>
    <row r="863" spans="1:72" x14ac:dyDescent="0.15">
      <c r="A863" t="s">
        <v>72</v>
      </c>
      <c r="B863" t="s">
        <v>12104</v>
      </c>
      <c r="C863" t="s">
        <v>74</v>
      </c>
      <c r="D863" t="s">
        <v>74</v>
      </c>
      <c r="E863" t="s">
        <v>74</v>
      </c>
      <c r="F863" t="s">
        <v>12104</v>
      </c>
      <c r="G863" t="s">
        <v>74</v>
      </c>
      <c r="H863" t="s">
        <v>74</v>
      </c>
      <c r="I863" t="s">
        <v>16122</v>
      </c>
      <c r="J863" t="s">
        <v>12151</v>
      </c>
      <c r="K863" t="s">
        <v>74</v>
      </c>
      <c r="L863" t="s">
        <v>74</v>
      </c>
      <c r="M863" t="s">
        <v>200</v>
      </c>
      <c r="N863" t="s">
        <v>5662</v>
      </c>
      <c r="O863" t="s">
        <v>74</v>
      </c>
      <c r="P863" t="s">
        <v>74</v>
      </c>
      <c r="Q863" t="s">
        <v>74</v>
      </c>
      <c r="R863" t="s">
        <v>74</v>
      </c>
      <c r="S863" t="s">
        <v>74</v>
      </c>
      <c r="T863" t="s">
        <v>74</v>
      </c>
      <c r="U863" t="s">
        <v>74</v>
      </c>
      <c r="V863" t="s">
        <v>74</v>
      </c>
      <c r="W863" t="s">
        <v>74</v>
      </c>
      <c r="X863" t="s">
        <v>74</v>
      </c>
      <c r="Y863" t="s">
        <v>74</v>
      </c>
      <c r="Z863" t="s">
        <v>74</v>
      </c>
      <c r="AA863" t="s">
        <v>74</v>
      </c>
      <c r="AB863" t="s">
        <v>74</v>
      </c>
      <c r="AC863" t="s">
        <v>74</v>
      </c>
      <c r="AD863" t="s">
        <v>74</v>
      </c>
      <c r="AE863" t="s">
        <v>74</v>
      </c>
      <c r="AF863" t="s">
        <v>74</v>
      </c>
      <c r="AG863">
        <v>0</v>
      </c>
      <c r="AH863">
        <v>0</v>
      </c>
      <c r="AI863">
        <v>0</v>
      </c>
      <c r="AJ863">
        <v>0</v>
      </c>
      <c r="AK863">
        <v>2</v>
      </c>
      <c r="AL863" t="s">
        <v>5888</v>
      </c>
      <c r="AM863" t="s">
        <v>1386</v>
      </c>
      <c r="AN863" t="s">
        <v>5889</v>
      </c>
      <c r="AO863" t="s">
        <v>12152</v>
      </c>
      <c r="AP863" t="s">
        <v>12153</v>
      </c>
      <c r="AQ863" t="s">
        <v>74</v>
      </c>
      <c r="AR863" t="s">
        <v>12154</v>
      </c>
      <c r="AS863" t="s">
        <v>12155</v>
      </c>
      <c r="AT863" t="s">
        <v>16119</v>
      </c>
      <c r="AU863">
        <v>2015</v>
      </c>
      <c r="AV863">
        <v>100</v>
      </c>
      <c r="AW863">
        <v>1</v>
      </c>
      <c r="AX863" t="s">
        <v>74</v>
      </c>
      <c r="AY863" t="s">
        <v>74</v>
      </c>
      <c r="AZ863" t="s">
        <v>74</v>
      </c>
      <c r="BA863" t="s">
        <v>74</v>
      </c>
      <c r="BB863">
        <v>3</v>
      </c>
      <c r="BC863">
        <v>4</v>
      </c>
      <c r="BD863" t="s">
        <v>74</v>
      </c>
      <c r="BE863" t="s">
        <v>74</v>
      </c>
      <c r="BF863" t="s">
        <v>74</v>
      </c>
      <c r="BG863" t="s">
        <v>74</v>
      </c>
      <c r="BH863" t="s">
        <v>74</v>
      </c>
      <c r="BI863">
        <v>2</v>
      </c>
      <c r="BJ863" t="s">
        <v>8870</v>
      </c>
      <c r="BK863" t="s">
        <v>264</v>
      </c>
      <c r="BL863" t="s">
        <v>7314</v>
      </c>
      <c r="BM863" t="s">
        <v>16120</v>
      </c>
      <c r="BN863" t="s">
        <v>74</v>
      </c>
      <c r="BO863" t="s">
        <v>74</v>
      </c>
      <c r="BP863" t="s">
        <v>74</v>
      </c>
      <c r="BQ863" t="s">
        <v>74</v>
      </c>
      <c r="BR863" t="s">
        <v>100</v>
      </c>
      <c r="BS863" t="s">
        <v>16123</v>
      </c>
      <c r="BT863" t="str">
        <f>HYPERLINK("https%3A%2F%2Fwww.webofscience.com%2Fwos%2Fwoscc%2Ffull-record%2FWOS:000366771400011","View Full Record in Web of Science")</f>
        <v>View Full Record in Web of Science</v>
      </c>
    </row>
    <row r="864" spans="1:72" x14ac:dyDescent="0.15">
      <c r="A864" t="s">
        <v>72</v>
      </c>
      <c r="B864" t="s">
        <v>16124</v>
      </c>
      <c r="C864" t="s">
        <v>74</v>
      </c>
      <c r="D864" t="s">
        <v>74</v>
      </c>
      <c r="E864" t="s">
        <v>74</v>
      </c>
      <c r="F864" t="s">
        <v>16125</v>
      </c>
      <c r="G864" t="s">
        <v>74</v>
      </c>
      <c r="H864" t="s">
        <v>74</v>
      </c>
      <c r="I864" t="s">
        <v>16126</v>
      </c>
      <c r="J864" t="s">
        <v>6999</v>
      </c>
      <c r="K864" t="s">
        <v>74</v>
      </c>
      <c r="L864" t="s">
        <v>74</v>
      </c>
      <c r="M864" t="s">
        <v>200</v>
      </c>
      <c r="N864" t="s">
        <v>79</v>
      </c>
      <c r="O864" t="s">
        <v>74</v>
      </c>
      <c r="P864" t="s">
        <v>74</v>
      </c>
      <c r="Q864" t="s">
        <v>74</v>
      </c>
      <c r="R864" t="s">
        <v>74</v>
      </c>
      <c r="S864" t="s">
        <v>74</v>
      </c>
      <c r="T864" t="s">
        <v>16127</v>
      </c>
      <c r="U864" t="s">
        <v>16128</v>
      </c>
      <c r="V864" t="s">
        <v>16129</v>
      </c>
      <c r="W864" t="s">
        <v>16130</v>
      </c>
      <c r="X864" t="s">
        <v>16131</v>
      </c>
      <c r="Y864" t="s">
        <v>16132</v>
      </c>
      <c r="Z864" t="s">
        <v>16133</v>
      </c>
      <c r="AA864" t="s">
        <v>16134</v>
      </c>
      <c r="AB864" t="s">
        <v>74</v>
      </c>
      <c r="AC864" t="s">
        <v>16135</v>
      </c>
      <c r="AD864" t="s">
        <v>847</v>
      </c>
      <c r="AE864" t="s">
        <v>16136</v>
      </c>
      <c r="AF864" t="s">
        <v>74</v>
      </c>
      <c r="AG864">
        <v>29</v>
      </c>
      <c r="AH864">
        <v>17</v>
      </c>
      <c r="AI864">
        <v>17</v>
      </c>
      <c r="AJ864">
        <v>0</v>
      </c>
      <c r="AK864">
        <v>19</v>
      </c>
      <c r="AL864" t="s">
        <v>5464</v>
      </c>
      <c r="AM864" t="s">
        <v>5465</v>
      </c>
      <c r="AN864" t="s">
        <v>5466</v>
      </c>
      <c r="AO864" t="s">
        <v>7012</v>
      </c>
      <c r="AP864" t="s">
        <v>7013</v>
      </c>
      <c r="AQ864" t="s">
        <v>74</v>
      </c>
      <c r="AR864" t="s">
        <v>7014</v>
      </c>
      <c r="AS864" t="s">
        <v>7015</v>
      </c>
      <c r="AT864" t="s">
        <v>16119</v>
      </c>
      <c r="AU864">
        <v>2015</v>
      </c>
      <c r="AV864">
        <v>35</v>
      </c>
      <c r="AW864">
        <v>13</v>
      </c>
      <c r="AX864" t="s">
        <v>74</v>
      </c>
      <c r="AY864" t="s">
        <v>74</v>
      </c>
      <c r="AZ864" t="s">
        <v>74</v>
      </c>
      <c r="BA864" t="s">
        <v>74</v>
      </c>
      <c r="BB864">
        <v>3770</v>
      </c>
      <c r="BC864">
        <v>3780</v>
      </c>
      <c r="BD864" t="s">
        <v>74</v>
      </c>
      <c r="BE864" t="s">
        <v>16137</v>
      </c>
      <c r="BF864" t="str">
        <f>HYPERLINK("http://dx.doi.org/10.1002/joc.4245","http://dx.doi.org/10.1002/joc.4245")</f>
        <v>http://dx.doi.org/10.1002/joc.4245</v>
      </c>
      <c r="BG864" t="s">
        <v>74</v>
      </c>
      <c r="BH864" t="s">
        <v>74</v>
      </c>
      <c r="BI864">
        <v>11</v>
      </c>
      <c r="BJ864" t="s">
        <v>1721</v>
      </c>
      <c r="BK864" t="s">
        <v>264</v>
      </c>
      <c r="BL864" t="s">
        <v>1721</v>
      </c>
      <c r="BM864" t="s">
        <v>16138</v>
      </c>
      <c r="BN864" t="s">
        <v>74</v>
      </c>
      <c r="BO864" t="s">
        <v>74</v>
      </c>
      <c r="BP864" t="s">
        <v>74</v>
      </c>
      <c r="BQ864" t="s">
        <v>74</v>
      </c>
      <c r="BR864" t="s">
        <v>100</v>
      </c>
      <c r="BS864" t="s">
        <v>16139</v>
      </c>
      <c r="BT864" t="str">
        <f>HYPERLINK("https%3A%2F%2Fwww.webofscience.com%2Fwos%2Fwoscc%2Ffull-record%2FWOS:000363682500005","View Full Record in Web of Science")</f>
        <v>View Full Record in Web of Science</v>
      </c>
    </row>
    <row r="865" spans="1:72" x14ac:dyDescent="0.15">
      <c r="A865" t="s">
        <v>72</v>
      </c>
      <c r="B865" t="s">
        <v>16140</v>
      </c>
      <c r="C865" t="s">
        <v>74</v>
      </c>
      <c r="D865" t="s">
        <v>74</v>
      </c>
      <c r="E865" t="s">
        <v>74</v>
      </c>
      <c r="F865" t="s">
        <v>16141</v>
      </c>
      <c r="G865" t="s">
        <v>74</v>
      </c>
      <c r="H865" t="s">
        <v>74</v>
      </c>
      <c r="I865" t="s">
        <v>16142</v>
      </c>
      <c r="J865" t="s">
        <v>7022</v>
      </c>
      <c r="K865" t="s">
        <v>74</v>
      </c>
      <c r="L865" t="s">
        <v>74</v>
      </c>
      <c r="M865" t="s">
        <v>200</v>
      </c>
      <c r="N865" t="s">
        <v>79</v>
      </c>
      <c r="O865" t="s">
        <v>74</v>
      </c>
      <c r="P865" t="s">
        <v>74</v>
      </c>
      <c r="Q865" t="s">
        <v>74</v>
      </c>
      <c r="R865" t="s">
        <v>74</v>
      </c>
      <c r="S865" t="s">
        <v>74</v>
      </c>
      <c r="T865" t="s">
        <v>16143</v>
      </c>
      <c r="U865" t="s">
        <v>16144</v>
      </c>
      <c r="V865" t="s">
        <v>16145</v>
      </c>
      <c r="W865" t="s">
        <v>16146</v>
      </c>
      <c r="X865" t="s">
        <v>16147</v>
      </c>
      <c r="Y865" t="s">
        <v>16148</v>
      </c>
      <c r="Z865" t="s">
        <v>16149</v>
      </c>
      <c r="AA865" t="s">
        <v>16150</v>
      </c>
      <c r="AB865" t="s">
        <v>16151</v>
      </c>
      <c r="AC865" t="s">
        <v>16152</v>
      </c>
      <c r="AD865" t="s">
        <v>16153</v>
      </c>
      <c r="AE865" t="s">
        <v>16154</v>
      </c>
      <c r="AF865" t="s">
        <v>74</v>
      </c>
      <c r="AG865">
        <v>130</v>
      </c>
      <c r="AH865">
        <v>44</v>
      </c>
      <c r="AI865">
        <v>46</v>
      </c>
      <c r="AJ865">
        <v>0</v>
      </c>
      <c r="AK865">
        <v>37</v>
      </c>
      <c r="AL865" t="s">
        <v>5888</v>
      </c>
      <c r="AM865" t="s">
        <v>1386</v>
      </c>
      <c r="AN865" t="s">
        <v>5889</v>
      </c>
      <c r="AO865" t="s">
        <v>7035</v>
      </c>
      <c r="AP865" t="s">
        <v>74</v>
      </c>
      <c r="AQ865" t="s">
        <v>74</v>
      </c>
      <c r="AR865" t="s">
        <v>7036</v>
      </c>
      <c r="AS865" t="s">
        <v>7037</v>
      </c>
      <c r="AT865" t="s">
        <v>16119</v>
      </c>
      <c r="AU865">
        <v>2015</v>
      </c>
      <c r="AV865">
        <v>128</v>
      </c>
      <c r="AW865" t="s">
        <v>74</v>
      </c>
      <c r="AX865" t="s">
        <v>74</v>
      </c>
      <c r="AY865" t="s">
        <v>74</v>
      </c>
      <c r="AZ865" t="s">
        <v>74</v>
      </c>
      <c r="BA865" t="s">
        <v>74</v>
      </c>
      <c r="BB865">
        <v>48</v>
      </c>
      <c r="BC865">
        <v>68</v>
      </c>
      <c r="BD865" t="s">
        <v>74</v>
      </c>
      <c r="BE865" t="s">
        <v>16155</v>
      </c>
      <c r="BF865" t="str">
        <f>HYPERLINK("http://dx.doi.org/10.1016/j.quascirev.2015.09.015","http://dx.doi.org/10.1016/j.quascirev.2015.09.015")</f>
        <v>http://dx.doi.org/10.1016/j.quascirev.2015.09.015</v>
      </c>
      <c r="BG865" t="s">
        <v>74</v>
      </c>
      <c r="BH865" t="s">
        <v>74</v>
      </c>
      <c r="BI865">
        <v>21</v>
      </c>
      <c r="BJ865" t="s">
        <v>2247</v>
      </c>
      <c r="BK865" t="s">
        <v>264</v>
      </c>
      <c r="BL865" t="s">
        <v>2248</v>
      </c>
      <c r="BM865" t="s">
        <v>16156</v>
      </c>
      <c r="BN865" t="s">
        <v>74</v>
      </c>
      <c r="BO865" t="s">
        <v>431</v>
      </c>
      <c r="BP865" t="s">
        <v>74</v>
      </c>
      <c r="BQ865" t="s">
        <v>74</v>
      </c>
      <c r="BR865" t="s">
        <v>100</v>
      </c>
      <c r="BS865" t="s">
        <v>16157</v>
      </c>
      <c r="BT865" t="str">
        <f>HYPERLINK("https%3A%2F%2Fwww.webofscience.com%2Fwos%2Fwoscc%2Ffull-record%2FWOS:000364884400004","View Full Record in Web of Science")</f>
        <v>View Full Record in Web of Science</v>
      </c>
    </row>
    <row r="866" spans="1:72" x14ac:dyDescent="0.15">
      <c r="A866" t="s">
        <v>72</v>
      </c>
      <c r="B866" t="s">
        <v>16158</v>
      </c>
      <c r="C866" t="s">
        <v>74</v>
      </c>
      <c r="D866" t="s">
        <v>74</v>
      </c>
      <c r="E866" t="s">
        <v>74</v>
      </c>
      <c r="F866" t="s">
        <v>16159</v>
      </c>
      <c r="G866" t="s">
        <v>74</v>
      </c>
      <c r="H866" t="s">
        <v>74</v>
      </c>
      <c r="I866" t="s">
        <v>16160</v>
      </c>
      <c r="J866" t="s">
        <v>7101</v>
      </c>
      <c r="K866" t="s">
        <v>74</v>
      </c>
      <c r="L866" t="s">
        <v>74</v>
      </c>
      <c r="M866" t="s">
        <v>200</v>
      </c>
      <c r="N866" t="s">
        <v>79</v>
      </c>
      <c r="O866" t="s">
        <v>74</v>
      </c>
      <c r="P866" t="s">
        <v>74</v>
      </c>
      <c r="Q866" t="s">
        <v>74</v>
      </c>
      <c r="R866" t="s">
        <v>74</v>
      </c>
      <c r="S866" t="s">
        <v>74</v>
      </c>
      <c r="T866" t="s">
        <v>16161</v>
      </c>
      <c r="U866" t="s">
        <v>16162</v>
      </c>
      <c r="V866" t="s">
        <v>16163</v>
      </c>
      <c r="W866" t="s">
        <v>16164</v>
      </c>
      <c r="X866" t="s">
        <v>16165</v>
      </c>
      <c r="Y866" t="s">
        <v>16166</v>
      </c>
      <c r="Z866" t="s">
        <v>16167</v>
      </c>
      <c r="AA866" t="s">
        <v>16168</v>
      </c>
      <c r="AB866" t="s">
        <v>16169</v>
      </c>
      <c r="AC866" t="s">
        <v>16170</v>
      </c>
      <c r="AD866" t="s">
        <v>16170</v>
      </c>
      <c r="AE866" t="s">
        <v>16171</v>
      </c>
      <c r="AF866" t="s">
        <v>74</v>
      </c>
      <c r="AG866">
        <v>78</v>
      </c>
      <c r="AH866">
        <v>30</v>
      </c>
      <c r="AI866">
        <v>31</v>
      </c>
      <c r="AJ866">
        <v>2</v>
      </c>
      <c r="AK866">
        <v>16</v>
      </c>
      <c r="AL866" t="s">
        <v>7137</v>
      </c>
      <c r="AM866" t="s">
        <v>209</v>
      </c>
      <c r="AN866" t="s">
        <v>7138</v>
      </c>
      <c r="AO866" t="s">
        <v>7115</v>
      </c>
      <c r="AP866" t="s">
        <v>7116</v>
      </c>
      <c r="AQ866" t="s">
        <v>74</v>
      </c>
      <c r="AR866" t="s">
        <v>7117</v>
      </c>
      <c r="AS866" t="s">
        <v>7118</v>
      </c>
      <c r="AT866" t="s">
        <v>16119</v>
      </c>
      <c r="AU866">
        <v>2015</v>
      </c>
      <c r="AV866">
        <v>430</v>
      </c>
      <c r="AW866" t="s">
        <v>74</v>
      </c>
      <c r="AX866" t="s">
        <v>74</v>
      </c>
      <c r="AY866" t="s">
        <v>74</v>
      </c>
      <c r="AZ866" t="s">
        <v>74</v>
      </c>
      <c r="BA866" t="s">
        <v>74</v>
      </c>
      <c r="BB866">
        <v>54</v>
      </c>
      <c r="BC866">
        <v>65</v>
      </c>
      <c r="BD866" t="s">
        <v>74</v>
      </c>
      <c r="BE866" t="s">
        <v>16172</v>
      </c>
      <c r="BF866" t="str">
        <f>HYPERLINK("http://dx.doi.org/10.1016/j.epsl.2015.08.002","http://dx.doi.org/10.1016/j.epsl.2015.08.002")</f>
        <v>http://dx.doi.org/10.1016/j.epsl.2015.08.002</v>
      </c>
      <c r="BG866" t="s">
        <v>74</v>
      </c>
      <c r="BH866" t="s">
        <v>74</v>
      </c>
      <c r="BI866">
        <v>12</v>
      </c>
      <c r="BJ866" t="s">
        <v>4474</v>
      </c>
      <c r="BK866" t="s">
        <v>264</v>
      </c>
      <c r="BL866" t="s">
        <v>4474</v>
      </c>
      <c r="BM866" t="s">
        <v>16173</v>
      </c>
      <c r="BN866" t="s">
        <v>74</v>
      </c>
      <c r="BO866" t="s">
        <v>74</v>
      </c>
      <c r="BP866" t="s">
        <v>74</v>
      </c>
      <c r="BQ866" t="s">
        <v>74</v>
      </c>
      <c r="BR866" t="s">
        <v>100</v>
      </c>
      <c r="BS866" t="s">
        <v>16174</v>
      </c>
      <c r="BT866" t="str">
        <f>HYPERLINK("https%3A%2F%2Fwww.webofscience.com%2Fwos%2Fwoscc%2Ffull-record%2FWOS:000363070600006","View Full Record in Web of Science")</f>
        <v>View Full Record in Web of Science</v>
      </c>
    </row>
    <row r="867" spans="1:72" x14ac:dyDescent="0.15">
      <c r="A867" t="s">
        <v>72</v>
      </c>
      <c r="B867" t="s">
        <v>16175</v>
      </c>
      <c r="C867" t="s">
        <v>74</v>
      </c>
      <c r="D867" t="s">
        <v>74</v>
      </c>
      <c r="E867" t="s">
        <v>74</v>
      </c>
      <c r="F867" t="s">
        <v>16176</v>
      </c>
      <c r="G867" t="s">
        <v>74</v>
      </c>
      <c r="H867" t="s">
        <v>74</v>
      </c>
      <c r="I867" t="s">
        <v>16177</v>
      </c>
      <c r="J867" t="s">
        <v>7101</v>
      </c>
      <c r="K867" t="s">
        <v>74</v>
      </c>
      <c r="L867" t="s">
        <v>74</v>
      </c>
      <c r="M867" t="s">
        <v>200</v>
      </c>
      <c r="N867" t="s">
        <v>79</v>
      </c>
      <c r="O867" t="s">
        <v>74</v>
      </c>
      <c r="P867" t="s">
        <v>74</v>
      </c>
      <c r="Q867" t="s">
        <v>74</v>
      </c>
      <c r="R867" t="s">
        <v>74</v>
      </c>
      <c r="S867" t="s">
        <v>74</v>
      </c>
      <c r="T867" t="s">
        <v>16178</v>
      </c>
      <c r="U867" t="s">
        <v>16179</v>
      </c>
      <c r="V867" t="s">
        <v>16180</v>
      </c>
      <c r="W867" t="s">
        <v>16181</v>
      </c>
      <c r="X867" t="s">
        <v>16182</v>
      </c>
      <c r="Y867" t="s">
        <v>16183</v>
      </c>
      <c r="Z867" t="s">
        <v>16184</v>
      </c>
      <c r="AA867" t="s">
        <v>16185</v>
      </c>
      <c r="AB867" t="s">
        <v>16186</v>
      </c>
      <c r="AC867" t="s">
        <v>16187</v>
      </c>
      <c r="AD867" t="s">
        <v>16188</v>
      </c>
      <c r="AE867" t="s">
        <v>16189</v>
      </c>
      <c r="AF867" t="s">
        <v>74</v>
      </c>
      <c r="AG867">
        <v>42</v>
      </c>
      <c r="AH867">
        <v>43</v>
      </c>
      <c r="AI867">
        <v>45</v>
      </c>
      <c r="AJ867">
        <v>0</v>
      </c>
      <c r="AK867">
        <v>33</v>
      </c>
      <c r="AL867" t="s">
        <v>208</v>
      </c>
      <c r="AM867" t="s">
        <v>209</v>
      </c>
      <c r="AN867" t="s">
        <v>7114</v>
      </c>
      <c r="AO867" t="s">
        <v>7115</v>
      </c>
      <c r="AP867" t="s">
        <v>7116</v>
      </c>
      <c r="AQ867" t="s">
        <v>74</v>
      </c>
      <c r="AR867" t="s">
        <v>7117</v>
      </c>
      <c r="AS867" t="s">
        <v>7118</v>
      </c>
      <c r="AT867" t="s">
        <v>16119</v>
      </c>
      <c r="AU867">
        <v>2015</v>
      </c>
      <c r="AV867">
        <v>430</v>
      </c>
      <c r="AW867" t="s">
        <v>74</v>
      </c>
      <c r="AX867" t="s">
        <v>74</v>
      </c>
      <c r="AY867" t="s">
        <v>74</v>
      </c>
      <c r="AZ867" t="s">
        <v>74</v>
      </c>
      <c r="BA867" t="s">
        <v>74</v>
      </c>
      <c r="BB867">
        <v>316</v>
      </c>
      <c r="BC867">
        <v>325</v>
      </c>
      <c r="BD867" t="s">
        <v>74</v>
      </c>
      <c r="BE867" t="s">
        <v>16190</v>
      </c>
      <c r="BF867" t="str">
        <f>HYPERLINK("http://dx.doi.org/10.1016/j.epsl.2015.08.034","http://dx.doi.org/10.1016/j.epsl.2015.08.034")</f>
        <v>http://dx.doi.org/10.1016/j.epsl.2015.08.034</v>
      </c>
      <c r="BG867" t="s">
        <v>74</v>
      </c>
      <c r="BH867" t="s">
        <v>74</v>
      </c>
      <c r="BI867">
        <v>10</v>
      </c>
      <c r="BJ867" t="s">
        <v>4474</v>
      </c>
      <c r="BK867" t="s">
        <v>264</v>
      </c>
      <c r="BL867" t="s">
        <v>4474</v>
      </c>
      <c r="BM867" t="s">
        <v>16173</v>
      </c>
      <c r="BN867" t="s">
        <v>74</v>
      </c>
      <c r="BO867" t="s">
        <v>74</v>
      </c>
      <c r="BP867" t="s">
        <v>74</v>
      </c>
      <c r="BQ867" t="s">
        <v>74</v>
      </c>
      <c r="BR867" t="s">
        <v>100</v>
      </c>
      <c r="BS867" t="s">
        <v>16191</v>
      </c>
      <c r="BT867" t="str">
        <f>HYPERLINK("https%3A%2F%2Fwww.webofscience.com%2Fwos%2Fwoscc%2Ffull-record%2FWOS:000363070600030","View Full Record in Web of Science")</f>
        <v>View Full Record in Web of Science</v>
      </c>
    </row>
    <row r="868" spans="1:72" x14ac:dyDescent="0.15">
      <c r="A868" t="s">
        <v>72</v>
      </c>
      <c r="B868" t="s">
        <v>16192</v>
      </c>
      <c r="C868" t="s">
        <v>74</v>
      </c>
      <c r="D868" t="s">
        <v>74</v>
      </c>
      <c r="E868" t="s">
        <v>74</v>
      </c>
      <c r="F868" t="s">
        <v>16193</v>
      </c>
      <c r="G868" t="s">
        <v>74</v>
      </c>
      <c r="H868" t="s">
        <v>74</v>
      </c>
      <c r="I868" t="s">
        <v>16194</v>
      </c>
      <c r="J868" t="s">
        <v>16195</v>
      </c>
      <c r="K868" t="s">
        <v>74</v>
      </c>
      <c r="L868" t="s">
        <v>74</v>
      </c>
      <c r="M868" t="s">
        <v>200</v>
      </c>
      <c r="N868" t="s">
        <v>79</v>
      </c>
      <c r="O868" t="s">
        <v>74</v>
      </c>
      <c r="P868" t="s">
        <v>74</v>
      </c>
      <c r="Q868" t="s">
        <v>74</v>
      </c>
      <c r="R868" t="s">
        <v>74</v>
      </c>
      <c r="S868" t="s">
        <v>74</v>
      </c>
      <c r="T868" t="s">
        <v>16196</v>
      </c>
      <c r="U868" t="s">
        <v>16197</v>
      </c>
      <c r="V868" t="s">
        <v>16198</v>
      </c>
      <c r="W868" t="s">
        <v>16199</v>
      </c>
      <c r="X868" t="s">
        <v>16200</v>
      </c>
      <c r="Y868" t="s">
        <v>16201</v>
      </c>
      <c r="Z868" t="s">
        <v>74</v>
      </c>
      <c r="AA868" t="s">
        <v>74</v>
      </c>
      <c r="AB868" t="s">
        <v>16202</v>
      </c>
      <c r="AC868" t="s">
        <v>16203</v>
      </c>
      <c r="AD868" t="s">
        <v>16204</v>
      </c>
      <c r="AE868" t="s">
        <v>16205</v>
      </c>
      <c r="AF868" t="s">
        <v>74</v>
      </c>
      <c r="AG868">
        <v>51</v>
      </c>
      <c r="AH868">
        <v>8</v>
      </c>
      <c r="AI868">
        <v>9</v>
      </c>
      <c r="AJ868">
        <v>1</v>
      </c>
      <c r="AK868">
        <v>17</v>
      </c>
      <c r="AL868" t="s">
        <v>8831</v>
      </c>
      <c r="AM868" t="s">
        <v>8832</v>
      </c>
      <c r="AN868" t="s">
        <v>8833</v>
      </c>
      <c r="AO868" t="s">
        <v>16206</v>
      </c>
      <c r="AP868" t="s">
        <v>16207</v>
      </c>
      <c r="AQ868" t="s">
        <v>74</v>
      </c>
      <c r="AR868" t="s">
        <v>16195</v>
      </c>
      <c r="AS868" t="s">
        <v>16208</v>
      </c>
      <c r="AT868" t="s">
        <v>16119</v>
      </c>
      <c r="AU868">
        <v>2015</v>
      </c>
      <c r="AV868">
        <v>261</v>
      </c>
      <c r="AW868" t="s">
        <v>74</v>
      </c>
      <c r="AX868" t="s">
        <v>74</v>
      </c>
      <c r="AY868" t="s">
        <v>74</v>
      </c>
      <c r="AZ868" t="s">
        <v>74</v>
      </c>
      <c r="BA868" t="s">
        <v>74</v>
      </c>
      <c r="BB868">
        <v>58</v>
      </c>
      <c r="BC868">
        <v>65</v>
      </c>
      <c r="BD868" t="s">
        <v>74</v>
      </c>
      <c r="BE868" t="s">
        <v>16209</v>
      </c>
      <c r="BF868" t="str">
        <f>HYPERLINK("http://dx.doi.org/10.1016/j.icarus.2015.08.005","http://dx.doi.org/10.1016/j.icarus.2015.08.005")</f>
        <v>http://dx.doi.org/10.1016/j.icarus.2015.08.005</v>
      </c>
      <c r="BG868" t="s">
        <v>74</v>
      </c>
      <c r="BH868" t="s">
        <v>74</v>
      </c>
      <c r="BI868">
        <v>8</v>
      </c>
      <c r="BJ868" t="s">
        <v>1168</v>
      </c>
      <c r="BK868" t="s">
        <v>264</v>
      </c>
      <c r="BL868" t="s">
        <v>1168</v>
      </c>
      <c r="BM868" t="s">
        <v>16210</v>
      </c>
      <c r="BN868" t="s">
        <v>74</v>
      </c>
      <c r="BO868" t="s">
        <v>74</v>
      </c>
      <c r="BP868" t="s">
        <v>74</v>
      </c>
      <c r="BQ868" t="s">
        <v>74</v>
      </c>
      <c r="BR868" t="s">
        <v>100</v>
      </c>
      <c r="BS868" t="s">
        <v>16211</v>
      </c>
      <c r="BT868" t="str">
        <f>HYPERLINK("https%3A%2F%2Fwww.webofscience.com%2Fwos%2Fwoscc%2Ffull-record%2FWOS:000362385400006","View Full Record in Web of Science")</f>
        <v>View Full Record in Web of Science</v>
      </c>
    </row>
    <row r="869" spans="1:72" x14ac:dyDescent="0.15">
      <c r="A869" t="s">
        <v>72</v>
      </c>
      <c r="B869" t="s">
        <v>16212</v>
      </c>
      <c r="C869" t="s">
        <v>74</v>
      </c>
      <c r="D869" t="s">
        <v>74</v>
      </c>
      <c r="E869" t="s">
        <v>74</v>
      </c>
      <c r="F869" t="s">
        <v>16213</v>
      </c>
      <c r="G869" t="s">
        <v>74</v>
      </c>
      <c r="H869" t="s">
        <v>74</v>
      </c>
      <c r="I869" t="s">
        <v>16214</v>
      </c>
      <c r="J869" t="s">
        <v>15727</v>
      </c>
      <c r="K869" t="s">
        <v>74</v>
      </c>
      <c r="L869" t="s">
        <v>74</v>
      </c>
      <c r="M869" t="s">
        <v>200</v>
      </c>
      <c r="N869" t="s">
        <v>79</v>
      </c>
      <c r="O869" t="s">
        <v>74</v>
      </c>
      <c r="P869" t="s">
        <v>74</v>
      </c>
      <c r="Q869" t="s">
        <v>74</v>
      </c>
      <c r="R869" t="s">
        <v>74</v>
      </c>
      <c r="S869" t="s">
        <v>74</v>
      </c>
      <c r="T869" t="s">
        <v>16215</v>
      </c>
      <c r="U869" t="s">
        <v>16216</v>
      </c>
      <c r="V869" t="s">
        <v>16217</v>
      </c>
      <c r="W869" t="s">
        <v>16218</v>
      </c>
      <c r="X869" t="s">
        <v>16219</v>
      </c>
      <c r="Y869" t="s">
        <v>16220</v>
      </c>
      <c r="Z869" t="s">
        <v>16221</v>
      </c>
      <c r="AA869" t="s">
        <v>16222</v>
      </c>
      <c r="AB869" t="s">
        <v>16223</v>
      </c>
      <c r="AC869" t="s">
        <v>16224</v>
      </c>
      <c r="AD869" t="s">
        <v>16225</v>
      </c>
      <c r="AE869" t="s">
        <v>16226</v>
      </c>
      <c r="AF869" t="s">
        <v>74</v>
      </c>
      <c r="AG869">
        <v>55</v>
      </c>
      <c r="AH869">
        <v>35</v>
      </c>
      <c r="AI869">
        <v>35</v>
      </c>
      <c r="AJ869">
        <v>1</v>
      </c>
      <c r="AK869">
        <v>48</v>
      </c>
      <c r="AL869" t="s">
        <v>11456</v>
      </c>
      <c r="AM869" t="s">
        <v>2100</v>
      </c>
      <c r="AN869" t="s">
        <v>11457</v>
      </c>
      <c r="AO869" t="s">
        <v>15739</v>
      </c>
      <c r="AP869" t="s">
        <v>15740</v>
      </c>
      <c r="AQ869" t="s">
        <v>74</v>
      </c>
      <c r="AR869" t="s">
        <v>15741</v>
      </c>
      <c r="AS869" t="s">
        <v>15742</v>
      </c>
      <c r="AT869" t="s">
        <v>16227</v>
      </c>
      <c r="AU869">
        <v>2015</v>
      </c>
      <c r="AV869">
        <v>373</v>
      </c>
      <c r="AW869">
        <v>2054</v>
      </c>
      <c r="AX869" t="s">
        <v>74</v>
      </c>
      <c r="AY869" t="s">
        <v>74</v>
      </c>
      <c r="AZ869" t="s">
        <v>74</v>
      </c>
      <c r="BA869" t="s">
        <v>74</v>
      </c>
      <c r="BB869" t="s">
        <v>74</v>
      </c>
      <c r="BC869" t="s">
        <v>74</v>
      </c>
      <c r="BD869">
        <v>20140419</v>
      </c>
      <c r="BE869" t="s">
        <v>16228</v>
      </c>
      <c r="BF869" t="str">
        <f>HYPERLINK("http://dx.doi.org/10.1098/rsta.2014.0419","http://dx.doi.org/10.1098/rsta.2014.0419")</f>
        <v>http://dx.doi.org/10.1098/rsta.2014.0419</v>
      </c>
      <c r="BG869" t="s">
        <v>74</v>
      </c>
      <c r="BH869" t="s">
        <v>74</v>
      </c>
      <c r="BI869">
        <v>18</v>
      </c>
      <c r="BJ869" t="s">
        <v>3540</v>
      </c>
      <c r="BK869" t="s">
        <v>264</v>
      </c>
      <c r="BL869" t="s">
        <v>3541</v>
      </c>
      <c r="BM869" t="s">
        <v>16229</v>
      </c>
      <c r="BN869">
        <v>26438285</v>
      </c>
      <c r="BO869" t="s">
        <v>16230</v>
      </c>
      <c r="BP869" t="s">
        <v>74</v>
      </c>
      <c r="BQ869" t="s">
        <v>74</v>
      </c>
      <c r="BR869" t="s">
        <v>100</v>
      </c>
      <c r="BS869" t="s">
        <v>16231</v>
      </c>
      <c r="BT869" t="str">
        <f>HYPERLINK("https%3A%2F%2Fwww.webofscience.com%2Fwos%2Fwoscc%2Ffull-record%2FWOS:000366270500004","View Full Record in Web of Science")</f>
        <v>View Full Record in Web of Science</v>
      </c>
    </row>
    <row r="870" spans="1:72" x14ac:dyDescent="0.15">
      <c r="A870" t="s">
        <v>72</v>
      </c>
      <c r="B870" t="s">
        <v>16232</v>
      </c>
      <c r="C870" t="s">
        <v>74</v>
      </c>
      <c r="D870" t="s">
        <v>74</v>
      </c>
      <c r="E870" t="s">
        <v>74</v>
      </c>
      <c r="F870" t="s">
        <v>16233</v>
      </c>
      <c r="G870" t="s">
        <v>74</v>
      </c>
      <c r="H870" t="s">
        <v>74</v>
      </c>
      <c r="I870" t="s">
        <v>16234</v>
      </c>
      <c r="J870" t="s">
        <v>15727</v>
      </c>
      <c r="K870" t="s">
        <v>74</v>
      </c>
      <c r="L870" t="s">
        <v>74</v>
      </c>
      <c r="M870" t="s">
        <v>200</v>
      </c>
      <c r="N870" t="s">
        <v>79</v>
      </c>
      <c r="O870" t="s">
        <v>74</v>
      </c>
      <c r="P870" t="s">
        <v>74</v>
      </c>
      <c r="Q870" t="s">
        <v>74</v>
      </c>
      <c r="R870" t="s">
        <v>74</v>
      </c>
      <c r="S870" t="s">
        <v>74</v>
      </c>
      <c r="T870" t="s">
        <v>74</v>
      </c>
      <c r="U870" t="s">
        <v>74</v>
      </c>
      <c r="V870" t="s">
        <v>74</v>
      </c>
      <c r="W870" t="s">
        <v>16235</v>
      </c>
      <c r="X870" t="s">
        <v>16236</v>
      </c>
      <c r="Y870" t="s">
        <v>16237</v>
      </c>
      <c r="Z870" t="s">
        <v>16238</v>
      </c>
      <c r="AA870" t="s">
        <v>16239</v>
      </c>
      <c r="AB870" t="s">
        <v>16240</v>
      </c>
      <c r="AC870" t="s">
        <v>16241</v>
      </c>
      <c r="AD870" t="s">
        <v>7578</v>
      </c>
      <c r="AE870" t="s">
        <v>74</v>
      </c>
      <c r="AF870" t="s">
        <v>74</v>
      </c>
      <c r="AG870">
        <v>13</v>
      </c>
      <c r="AH870">
        <v>2</v>
      </c>
      <c r="AI870">
        <v>2</v>
      </c>
      <c r="AJ870">
        <v>0</v>
      </c>
      <c r="AK870">
        <v>19</v>
      </c>
      <c r="AL870" t="s">
        <v>11456</v>
      </c>
      <c r="AM870" t="s">
        <v>2100</v>
      </c>
      <c r="AN870" t="s">
        <v>11457</v>
      </c>
      <c r="AO870" t="s">
        <v>15739</v>
      </c>
      <c r="AP870" t="s">
        <v>15740</v>
      </c>
      <c r="AQ870" t="s">
        <v>74</v>
      </c>
      <c r="AR870" t="s">
        <v>15741</v>
      </c>
      <c r="AS870" t="s">
        <v>15742</v>
      </c>
      <c r="AT870" t="s">
        <v>16227</v>
      </c>
      <c r="AU870">
        <v>2015</v>
      </c>
      <c r="AV870">
        <v>373</v>
      </c>
      <c r="AW870">
        <v>2054</v>
      </c>
      <c r="AX870" t="s">
        <v>74</v>
      </c>
      <c r="AY870" t="s">
        <v>74</v>
      </c>
      <c r="AZ870" t="s">
        <v>74</v>
      </c>
      <c r="BA870" t="s">
        <v>74</v>
      </c>
      <c r="BB870" t="s">
        <v>74</v>
      </c>
      <c r="BC870" t="s">
        <v>74</v>
      </c>
      <c r="BD870">
        <v>20140428</v>
      </c>
      <c r="BE870" t="s">
        <v>16242</v>
      </c>
      <c r="BF870" t="str">
        <f>HYPERLINK("http://dx.doi.org/10.1098/rsta.2014.0428","http://dx.doi.org/10.1098/rsta.2014.0428")</f>
        <v>http://dx.doi.org/10.1098/rsta.2014.0428</v>
      </c>
      <c r="BG870" t="s">
        <v>74</v>
      </c>
      <c r="BH870" t="s">
        <v>74</v>
      </c>
      <c r="BI870">
        <v>4</v>
      </c>
      <c r="BJ870" t="s">
        <v>3540</v>
      </c>
      <c r="BK870" t="s">
        <v>264</v>
      </c>
      <c r="BL870" t="s">
        <v>3541</v>
      </c>
      <c r="BM870" t="s">
        <v>16229</v>
      </c>
      <c r="BN870">
        <v>26438277</v>
      </c>
      <c r="BO870" t="s">
        <v>16243</v>
      </c>
      <c r="BP870" t="s">
        <v>74</v>
      </c>
      <c r="BQ870" t="s">
        <v>74</v>
      </c>
      <c r="BR870" t="s">
        <v>100</v>
      </c>
      <c r="BS870" t="s">
        <v>16244</v>
      </c>
      <c r="BT870" t="str">
        <f>HYPERLINK("https%3A%2F%2Fwww.webofscience.com%2Fwos%2Fwoscc%2Ffull-record%2FWOS:000366270500010","View Full Record in Web of Science")</f>
        <v>View Full Record in Web of Science</v>
      </c>
    </row>
    <row r="871" spans="1:72" x14ac:dyDescent="0.15">
      <c r="A871" t="s">
        <v>72</v>
      </c>
      <c r="B871" t="s">
        <v>16245</v>
      </c>
      <c r="C871" t="s">
        <v>74</v>
      </c>
      <c r="D871" t="s">
        <v>74</v>
      </c>
      <c r="E871" t="s">
        <v>74</v>
      </c>
      <c r="F871" t="s">
        <v>16246</v>
      </c>
      <c r="G871" t="s">
        <v>74</v>
      </c>
      <c r="H871" t="s">
        <v>74</v>
      </c>
      <c r="I871" t="s">
        <v>16247</v>
      </c>
      <c r="J871" t="s">
        <v>16248</v>
      </c>
      <c r="K871" t="s">
        <v>74</v>
      </c>
      <c r="L871" t="s">
        <v>74</v>
      </c>
      <c r="M871" t="s">
        <v>200</v>
      </c>
      <c r="N871" t="s">
        <v>79</v>
      </c>
      <c r="O871" t="s">
        <v>74</v>
      </c>
      <c r="P871" t="s">
        <v>74</v>
      </c>
      <c r="Q871" t="s">
        <v>74</v>
      </c>
      <c r="R871" t="s">
        <v>74</v>
      </c>
      <c r="S871" t="s">
        <v>74</v>
      </c>
      <c r="T871" t="s">
        <v>74</v>
      </c>
      <c r="U871" t="s">
        <v>16249</v>
      </c>
      <c r="V871" t="s">
        <v>16250</v>
      </c>
      <c r="W871" t="s">
        <v>16251</v>
      </c>
      <c r="X871" t="s">
        <v>16252</v>
      </c>
      <c r="Y871" t="s">
        <v>16253</v>
      </c>
      <c r="Z871" t="s">
        <v>16254</v>
      </c>
      <c r="AA871" t="s">
        <v>16255</v>
      </c>
      <c r="AB871" t="s">
        <v>16256</v>
      </c>
      <c r="AC871" t="s">
        <v>74</v>
      </c>
      <c r="AD871" t="s">
        <v>74</v>
      </c>
      <c r="AE871" t="s">
        <v>74</v>
      </c>
      <c r="AF871" t="s">
        <v>74</v>
      </c>
      <c r="AG871">
        <v>103</v>
      </c>
      <c r="AH871">
        <v>118</v>
      </c>
      <c r="AI871">
        <v>131</v>
      </c>
      <c r="AJ871">
        <v>1</v>
      </c>
      <c r="AK871">
        <v>60</v>
      </c>
      <c r="AL871" t="s">
        <v>380</v>
      </c>
      <c r="AM871" t="s">
        <v>381</v>
      </c>
      <c r="AN871" t="s">
        <v>382</v>
      </c>
      <c r="AO871" t="s">
        <v>16257</v>
      </c>
      <c r="AP871" t="s">
        <v>16258</v>
      </c>
      <c r="AQ871" t="s">
        <v>74</v>
      </c>
      <c r="AR871" t="s">
        <v>16259</v>
      </c>
      <c r="AS871" t="s">
        <v>16260</v>
      </c>
      <c r="AT871" t="s">
        <v>16227</v>
      </c>
      <c r="AU871">
        <v>2015</v>
      </c>
      <c r="AV871">
        <v>28</v>
      </c>
      <c r="AW871" t="s">
        <v>16261</v>
      </c>
      <c r="AX871" t="s">
        <v>74</v>
      </c>
      <c r="AY871" t="s">
        <v>74</v>
      </c>
      <c r="AZ871" t="s">
        <v>74</v>
      </c>
      <c r="BA871" t="s">
        <v>74</v>
      </c>
      <c r="BB871">
        <v>81</v>
      </c>
      <c r="BC871">
        <v>90</v>
      </c>
      <c r="BD871" t="s">
        <v>74</v>
      </c>
      <c r="BE871" t="s">
        <v>16262</v>
      </c>
      <c r="BF871" t="str">
        <f>HYPERLINK("http://dx.doi.org/10.1071/SB14042","http://dx.doi.org/10.1071/SB14042")</f>
        <v>http://dx.doi.org/10.1071/SB14042</v>
      </c>
      <c r="BG871" t="s">
        <v>74</v>
      </c>
      <c r="BH871" t="s">
        <v>74</v>
      </c>
      <c r="BI871">
        <v>10</v>
      </c>
      <c r="BJ871" t="s">
        <v>16263</v>
      </c>
      <c r="BK871" t="s">
        <v>264</v>
      </c>
      <c r="BL871" t="s">
        <v>16263</v>
      </c>
      <c r="BM871" t="s">
        <v>16264</v>
      </c>
      <c r="BN871" t="s">
        <v>74</v>
      </c>
      <c r="BO871" t="s">
        <v>74</v>
      </c>
      <c r="BP871" t="s">
        <v>74</v>
      </c>
      <c r="BQ871" t="s">
        <v>74</v>
      </c>
      <c r="BR871" t="s">
        <v>100</v>
      </c>
      <c r="BS871" t="s">
        <v>16265</v>
      </c>
      <c r="BT871" t="str">
        <f>HYPERLINK("https%3A%2F%2Fwww.webofscience.com%2Fwos%2Fwoscc%2Ffull-record%2FWOS:000365189700002","View Full Record in Web of Science")</f>
        <v>View Full Record in Web of Science</v>
      </c>
    </row>
    <row r="872" spans="1:72" x14ac:dyDescent="0.15">
      <c r="A872" t="s">
        <v>72</v>
      </c>
      <c r="B872" t="s">
        <v>16266</v>
      </c>
      <c r="C872" t="s">
        <v>74</v>
      </c>
      <c r="D872" t="s">
        <v>74</v>
      </c>
      <c r="E872" t="s">
        <v>74</v>
      </c>
      <c r="F872" t="s">
        <v>16267</v>
      </c>
      <c r="G872" t="s">
        <v>74</v>
      </c>
      <c r="H872" t="s">
        <v>74</v>
      </c>
      <c r="I872" t="s">
        <v>16268</v>
      </c>
      <c r="J872" t="s">
        <v>12164</v>
      </c>
      <c r="K872" t="s">
        <v>74</v>
      </c>
      <c r="L872" t="s">
        <v>74</v>
      </c>
      <c r="M872" t="s">
        <v>200</v>
      </c>
      <c r="N872" t="s">
        <v>79</v>
      </c>
      <c r="O872" t="s">
        <v>74</v>
      </c>
      <c r="P872" t="s">
        <v>74</v>
      </c>
      <c r="Q872" t="s">
        <v>74</v>
      </c>
      <c r="R872" t="s">
        <v>74</v>
      </c>
      <c r="S872" t="s">
        <v>74</v>
      </c>
      <c r="T872" t="s">
        <v>16269</v>
      </c>
      <c r="U872" t="s">
        <v>16270</v>
      </c>
      <c r="V872" t="s">
        <v>16271</v>
      </c>
      <c r="W872" t="s">
        <v>16272</v>
      </c>
      <c r="X872" t="s">
        <v>16273</v>
      </c>
      <c r="Y872" t="s">
        <v>16274</v>
      </c>
      <c r="Z872" t="s">
        <v>16275</v>
      </c>
      <c r="AA872" t="s">
        <v>16276</v>
      </c>
      <c r="AB872" t="s">
        <v>16277</v>
      </c>
      <c r="AC872" t="s">
        <v>16278</v>
      </c>
      <c r="AD872" t="s">
        <v>16279</v>
      </c>
      <c r="AE872" t="s">
        <v>16280</v>
      </c>
      <c r="AF872" t="s">
        <v>74</v>
      </c>
      <c r="AG872">
        <v>59</v>
      </c>
      <c r="AH872">
        <v>7</v>
      </c>
      <c r="AI872">
        <v>8</v>
      </c>
      <c r="AJ872">
        <v>0</v>
      </c>
      <c r="AK872">
        <v>18</v>
      </c>
      <c r="AL872" t="s">
        <v>3735</v>
      </c>
      <c r="AM872" t="s">
        <v>3736</v>
      </c>
      <c r="AN872" t="s">
        <v>3737</v>
      </c>
      <c r="AO872" t="s">
        <v>12177</v>
      </c>
      <c r="AP872" t="s">
        <v>12178</v>
      </c>
      <c r="AQ872" t="s">
        <v>74</v>
      </c>
      <c r="AR872" t="s">
        <v>12179</v>
      </c>
      <c r="AS872" t="s">
        <v>12180</v>
      </c>
      <c r="AT872" t="s">
        <v>16281</v>
      </c>
      <c r="AU872">
        <v>2015</v>
      </c>
      <c r="AV872">
        <v>539</v>
      </c>
      <c r="AW872" t="s">
        <v>74</v>
      </c>
      <c r="AX872" t="s">
        <v>74</v>
      </c>
      <c r="AY872" t="s">
        <v>74</v>
      </c>
      <c r="AZ872" t="s">
        <v>74</v>
      </c>
      <c r="BA872" t="s">
        <v>74</v>
      </c>
      <c r="BB872">
        <v>77</v>
      </c>
      <c r="BC872">
        <v>91</v>
      </c>
      <c r="BD872" t="s">
        <v>74</v>
      </c>
      <c r="BE872" t="s">
        <v>16282</v>
      </c>
      <c r="BF872" t="str">
        <f>HYPERLINK("http://dx.doi.org/10.3354/meps11477","http://dx.doi.org/10.3354/meps11477")</f>
        <v>http://dx.doi.org/10.3354/meps11477</v>
      </c>
      <c r="BG872" t="s">
        <v>74</v>
      </c>
      <c r="BH872" t="s">
        <v>74</v>
      </c>
      <c r="BI872">
        <v>15</v>
      </c>
      <c r="BJ872" t="s">
        <v>12182</v>
      </c>
      <c r="BK872" t="s">
        <v>264</v>
      </c>
      <c r="BL872" t="s">
        <v>12183</v>
      </c>
      <c r="BM872" t="s">
        <v>16283</v>
      </c>
      <c r="BN872" t="s">
        <v>74</v>
      </c>
      <c r="BO872" t="s">
        <v>74</v>
      </c>
      <c r="BP872" t="s">
        <v>74</v>
      </c>
      <c r="BQ872" t="s">
        <v>74</v>
      </c>
      <c r="BR872" t="s">
        <v>100</v>
      </c>
      <c r="BS872" t="s">
        <v>16284</v>
      </c>
      <c r="BT872" t="str">
        <f>HYPERLINK("https%3A%2F%2Fwww.webofscience.com%2Fwos%2Fwoscc%2Ffull-record%2FWOS:000365090700006","View Full Record in Web of Science")</f>
        <v>View Full Record in Web of Science</v>
      </c>
    </row>
    <row r="873" spans="1:72" x14ac:dyDescent="0.15">
      <c r="A873" t="s">
        <v>72</v>
      </c>
      <c r="B873" t="s">
        <v>16285</v>
      </c>
      <c r="C873" t="s">
        <v>74</v>
      </c>
      <c r="D873" t="s">
        <v>74</v>
      </c>
      <c r="E873" t="s">
        <v>74</v>
      </c>
      <c r="F873" t="s">
        <v>16286</v>
      </c>
      <c r="G873" t="s">
        <v>74</v>
      </c>
      <c r="H873" t="s">
        <v>74</v>
      </c>
      <c r="I873" t="s">
        <v>16287</v>
      </c>
      <c r="J873" t="s">
        <v>12164</v>
      </c>
      <c r="K873" t="s">
        <v>74</v>
      </c>
      <c r="L873" t="s">
        <v>74</v>
      </c>
      <c r="M873" t="s">
        <v>200</v>
      </c>
      <c r="N873" t="s">
        <v>79</v>
      </c>
      <c r="O873" t="s">
        <v>74</v>
      </c>
      <c r="P873" t="s">
        <v>74</v>
      </c>
      <c r="Q873" t="s">
        <v>74</v>
      </c>
      <c r="R873" t="s">
        <v>74</v>
      </c>
      <c r="S873" t="s">
        <v>74</v>
      </c>
      <c r="T873" t="s">
        <v>16288</v>
      </c>
      <c r="U873" t="s">
        <v>16289</v>
      </c>
      <c r="V873" t="s">
        <v>16290</v>
      </c>
      <c r="W873" t="s">
        <v>16291</v>
      </c>
      <c r="X873" t="s">
        <v>16292</v>
      </c>
      <c r="Y873" t="s">
        <v>16293</v>
      </c>
      <c r="Z873" t="s">
        <v>16294</v>
      </c>
      <c r="AA873" t="s">
        <v>16295</v>
      </c>
      <c r="AB873" t="s">
        <v>16296</v>
      </c>
      <c r="AC873" t="s">
        <v>16297</v>
      </c>
      <c r="AD873" t="s">
        <v>16298</v>
      </c>
      <c r="AE873" t="s">
        <v>16299</v>
      </c>
      <c r="AF873" t="s">
        <v>74</v>
      </c>
      <c r="AG873">
        <v>56</v>
      </c>
      <c r="AH873">
        <v>3</v>
      </c>
      <c r="AI873">
        <v>3</v>
      </c>
      <c r="AJ873">
        <v>0</v>
      </c>
      <c r="AK873">
        <v>18</v>
      </c>
      <c r="AL873" t="s">
        <v>3735</v>
      </c>
      <c r="AM873" t="s">
        <v>3736</v>
      </c>
      <c r="AN873" t="s">
        <v>3737</v>
      </c>
      <c r="AO873" t="s">
        <v>12177</v>
      </c>
      <c r="AP873" t="s">
        <v>12178</v>
      </c>
      <c r="AQ873" t="s">
        <v>74</v>
      </c>
      <c r="AR873" t="s">
        <v>12179</v>
      </c>
      <c r="AS873" t="s">
        <v>12180</v>
      </c>
      <c r="AT873" t="s">
        <v>16281</v>
      </c>
      <c r="AU873">
        <v>2015</v>
      </c>
      <c r="AV873">
        <v>539</v>
      </c>
      <c r="AW873" t="s">
        <v>74</v>
      </c>
      <c r="AX873" t="s">
        <v>74</v>
      </c>
      <c r="AY873" t="s">
        <v>74</v>
      </c>
      <c r="AZ873" t="s">
        <v>74</v>
      </c>
      <c r="BA873" t="s">
        <v>74</v>
      </c>
      <c r="BB873">
        <v>111</v>
      </c>
      <c r="BC873">
        <v>125</v>
      </c>
      <c r="BD873" t="s">
        <v>74</v>
      </c>
      <c r="BE873" t="s">
        <v>16300</v>
      </c>
      <c r="BF873" t="str">
        <f>HYPERLINK("http://dx.doi.org/10.3354/meps11486","http://dx.doi.org/10.3354/meps11486")</f>
        <v>http://dx.doi.org/10.3354/meps11486</v>
      </c>
      <c r="BG873" t="s">
        <v>74</v>
      </c>
      <c r="BH873" t="s">
        <v>74</v>
      </c>
      <c r="BI873">
        <v>15</v>
      </c>
      <c r="BJ873" t="s">
        <v>12182</v>
      </c>
      <c r="BK873" t="s">
        <v>264</v>
      </c>
      <c r="BL873" t="s">
        <v>12183</v>
      </c>
      <c r="BM873" t="s">
        <v>16283</v>
      </c>
      <c r="BN873" t="s">
        <v>74</v>
      </c>
      <c r="BO873" t="s">
        <v>403</v>
      </c>
      <c r="BP873" t="s">
        <v>74</v>
      </c>
      <c r="BQ873" t="s">
        <v>74</v>
      </c>
      <c r="BR873" t="s">
        <v>100</v>
      </c>
      <c r="BS873" t="s">
        <v>16301</v>
      </c>
      <c r="BT873" t="str">
        <f>HYPERLINK("https%3A%2F%2Fwww.webofscience.com%2Fwos%2Fwoscc%2Ffull-record%2FWOS:000365090700008","View Full Record in Web of Science")</f>
        <v>View Full Record in Web of Science</v>
      </c>
    </row>
    <row r="874" spans="1:72" x14ac:dyDescent="0.15">
      <c r="A874" t="s">
        <v>72</v>
      </c>
      <c r="B874" t="s">
        <v>16302</v>
      </c>
      <c r="C874" t="s">
        <v>74</v>
      </c>
      <c r="D874" t="s">
        <v>74</v>
      </c>
      <c r="E874" t="s">
        <v>74</v>
      </c>
      <c r="F874" t="s">
        <v>16303</v>
      </c>
      <c r="G874" t="s">
        <v>74</v>
      </c>
      <c r="H874" t="s">
        <v>74</v>
      </c>
      <c r="I874" t="s">
        <v>16304</v>
      </c>
      <c r="J874" t="s">
        <v>12522</v>
      </c>
      <c r="K874" t="s">
        <v>74</v>
      </c>
      <c r="L874" t="s">
        <v>74</v>
      </c>
      <c r="M874" t="s">
        <v>200</v>
      </c>
      <c r="N874" t="s">
        <v>8638</v>
      </c>
      <c r="O874" t="s">
        <v>74</v>
      </c>
      <c r="P874" t="s">
        <v>74</v>
      </c>
      <c r="Q874" t="s">
        <v>74</v>
      </c>
      <c r="R874" t="s">
        <v>74</v>
      </c>
      <c r="S874" t="s">
        <v>74</v>
      </c>
      <c r="T874" t="s">
        <v>74</v>
      </c>
      <c r="U874" t="s">
        <v>74</v>
      </c>
      <c r="V874" t="s">
        <v>74</v>
      </c>
      <c r="W874" t="s">
        <v>16305</v>
      </c>
      <c r="X874" t="s">
        <v>3480</v>
      </c>
      <c r="Y874" t="s">
        <v>16306</v>
      </c>
      <c r="Z874" t="s">
        <v>16307</v>
      </c>
      <c r="AA874" t="s">
        <v>16308</v>
      </c>
      <c r="AB874" t="s">
        <v>16309</v>
      </c>
      <c r="AC874" t="s">
        <v>74</v>
      </c>
      <c r="AD874" t="s">
        <v>74</v>
      </c>
      <c r="AE874" t="s">
        <v>74</v>
      </c>
      <c r="AF874" t="s">
        <v>74</v>
      </c>
      <c r="AG874">
        <v>10</v>
      </c>
      <c r="AH874">
        <v>29</v>
      </c>
      <c r="AI874">
        <v>31</v>
      </c>
      <c r="AJ874">
        <v>0</v>
      </c>
      <c r="AK874">
        <v>72</v>
      </c>
      <c r="AL874" t="s">
        <v>7256</v>
      </c>
      <c r="AM874" t="s">
        <v>2100</v>
      </c>
      <c r="AN874" t="s">
        <v>7257</v>
      </c>
      <c r="AO874" t="s">
        <v>12534</v>
      </c>
      <c r="AP874" t="s">
        <v>12535</v>
      </c>
      <c r="AQ874" t="s">
        <v>74</v>
      </c>
      <c r="AR874" t="s">
        <v>12522</v>
      </c>
      <c r="AS874" t="s">
        <v>12536</v>
      </c>
      <c r="AT874" t="s">
        <v>16281</v>
      </c>
      <c r="AU874">
        <v>2015</v>
      </c>
      <c r="AV874">
        <v>527</v>
      </c>
      <c r="AW874">
        <v>7577</v>
      </c>
      <c r="AX874" t="s">
        <v>74</v>
      </c>
      <c r="AY874" t="s">
        <v>74</v>
      </c>
      <c r="AZ874" t="s">
        <v>74</v>
      </c>
      <c r="BA874" t="s">
        <v>74</v>
      </c>
      <c r="BB874">
        <v>173</v>
      </c>
      <c r="BC874">
        <v>174</v>
      </c>
      <c r="BD874" t="s">
        <v>74</v>
      </c>
      <c r="BE874" t="s">
        <v>16310</v>
      </c>
      <c r="BF874" t="str">
        <f>HYPERLINK("http://dx.doi.org/10.1038/nature16311","http://dx.doi.org/10.1038/nature16311")</f>
        <v>http://dx.doi.org/10.1038/nature16311</v>
      </c>
      <c r="BG874" t="s">
        <v>74</v>
      </c>
      <c r="BH874" t="s">
        <v>74</v>
      </c>
      <c r="BI874">
        <v>2</v>
      </c>
      <c r="BJ874" t="s">
        <v>3540</v>
      </c>
      <c r="BK874" t="s">
        <v>264</v>
      </c>
      <c r="BL874" t="s">
        <v>3541</v>
      </c>
      <c r="BM874" t="s">
        <v>16311</v>
      </c>
      <c r="BN874">
        <v>26536113</v>
      </c>
      <c r="BO874" t="s">
        <v>486</v>
      </c>
      <c r="BP874" t="s">
        <v>74</v>
      </c>
      <c r="BQ874" t="s">
        <v>74</v>
      </c>
      <c r="BR874" t="s">
        <v>100</v>
      </c>
      <c r="BS874" t="s">
        <v>16312</v>
      </c>
      <c r="BT874" t="str">
        <f>HYPERLINK("https%3A%2F%2Fwww.webofscience.com%2Fwos%2Fwoscc%2Ffull-record%2FWOS:000364396700030","View Full Record in Web of Science")</f>
        <v>View Full Record in Web of Science</v>
      </c>
    </row>
    <row r="875" spans="1:72" x14ac:dyDescent="0.15">
      <c r="A875" t="s">
        <v>72</v>
      </c>
      <c r="B875" t="s">
        <v>16313</v>
      </c>
      <c r="C875" t="s">
        <v>74</v>
      </c>
      <c r="D875" t="s">
        <v>74</v>
      </c>
      <c r="E875" t="s">
        <v>74</v>
      </c>
      <c r="F875" t="s">
        <v>16314</v>
      </c>
      <c r="G875" t="s">
        <v>74</v>
      </c>
      <c r="H875" t="s">
        <v>74</v>
      </c>
      <c r="I875" t="s">
        <v>16315</v>
      </c>
      <c r="J875" t="s">
        <v>12499</v>
      </c>
      <c r="K875" t="s">
        <v>74</v>
      </c>
      <c r="L875" t="s">
        <v>74</v>
      </c>
      <c r="M875" t="s">
        <v>200</v>
      </c>
      <c r="N875" t="s">
        <v>79</v>
      </c>
      <c r="O875" t="s">
        <v>74</v>
      </c>
      <c r="P875" t="s">
        <v>74</v>
      </c>
      <c r="Q875" t="s">
        <v>74</v>
      </c>
      <c r="R875" t="s">
        <v>74</v>
      </c>
      <c r="S875" t="s">
        <v>74</v>
      </c>
      <c r="T875" t="s">
        <v>16316</v>
      </c>
      <c r="U875" t="s">
        <v>16317</v>
      </c>
      <c r="V875" t="s">
        <v>16318</v>
      </c>
      <c r="W875" t="s">
        <v>16319</v>
      </c>
      <c r="X875" t="s">
        <v>74</v>
      </c>
      <c r="Y875" t="s">
        <v>16320</v>
      </c>
      <c r="Z875" t="s">
        <v>16321</v>
      </c>
      <c r="AA875" t="s">
        <v>74</v>
      </c>
      <c r="AB875" t="s">
        <v>16322</v>
      </c>
      <c r="AC875" t="s">
        <v>16323</v>
      </c>
      <c r="AD875" t="s">
        <v>16323</v>
      </c>
      <c r="AE875" t="s">
        <v>16324</v>
      </c>
      <c r="AF875" t="s">
        <v>74</v>
      </c>
      <c r="AG875">
        <v>21</v>
      </c>
      <c r="AH875">
        <v>3</v>
      </c>
      <c r="AI875">
        <v>3</v>
      </c>
      <c r="AJ875">
        <v>0</v>
      </c>
      <c r="AK875">
        <v>1</v>
      </c>
      <c r="AL875" t="s">
        <v>12509</v>
      </c>
      <c r="AM875" t="s">
        <v>12510</v>
      </c>
      <c r="AN875" t="s">
        <v>12511</v>
      </c>
      <c r="AO875" t="s">
        <v>12512</v>
      </c>
      <c r="AP875" t="s">
        <v>12513</v>
      </c>
      <c r="AQ875" t="s">
        <v>74</v>
      </c>
      <c r="AR875" t="s">
        <v>12499</v>
      </c>
      <c r="AS875" t="s">
        <v>12514</v>
      </c>
      <c r="AT875" t="s">
        <v>16325</v>
      </c>
      <c r="AU875">
        <v>2015</v>
      </c>
      <c r="AV875">
        <v>4040</v>
      </c>
      <c r="AW875">
        <v>3</v>
      </c>
      <c r="AX875" t="s">
        <v>74</v>
      </c>
      <c r="AY875" t="s">
        <v>74</v>
      </c>
      <c r="AZ875" t="s">
        <v>74</v>
      </c>
      <c r="BA875" t="s">
        <v>74</v>
      </c>
      <c r="BB875">
        <v>359</v>
      </c>
      <c r="BC875">
        <v>370</v>
      </c>
      <c r="BD875" t="s">
        <v>74</v>
      </c>
      <c r="BE875" t="s">
        <v>74</v>
      </c>
      <c r="BF875" t="s">
        <v>74</v>
      </c>
      <c r="BG875" t="s">
        <v>74</v>
      </c>
      <c r="BH875" t="s">
        <v>74</v>
      </c>
      <c r="BI875">
        <v>12</v>
      </c>
      <c r="BJ875" t="s">
        <v>672</v>
      </c>
      <c r="BK875" t="s">
        <v>264</v>
      </c>
      <c r="BL875" t="s">
        <v>672</v>
      </c>
      <c r="BM875" t="s">
        <v>16326</v>
      </c>
      <c r="BN875">
        <v>26624671</v>
      </c>
      <c r="BO875" t="s">
        <v>74</v>
      </c>
      <c r="BP875" t="s">
        <v>74</v>
      </c>
      <c r="BQ875" t="s">
        <v>74</v>
      </c>
      <c r="BR875" t="s">
        <v>100</v>
      </c>
      <c r="BS875" t="s">
        <v>16327</v>
      </c>
      <c r="BT875" t="str">
        <f>HYPERLINK("https%3A%2F%2Fwww.webofscience.com%2Fwos%2Fwoscc%2Ffull-record%2FWOS:000364423300007","View Full Record in Web of Science")</f>
        <v>View Full Record in Web of Science</v>
      </c>
    </row>
    <row r="876" spans="1:72" x14ac:dyDescent="0.15">
      <c r="A876" t="s">
        <v>72</v>
      </c>
      <c r="B876" t="s">
        <v>16328</v>
      </c>
      <c r="C876" t="s">
        <v>74</v>
      </c>
      <c r="D876" t="s">
        <v>74</v>
      </c>
      <c r="E876" t="s">
        <v>74</v>
      </c>
      <c r="F876" t="s">
        <v>16329</v>
      </c>
      <c r="G876" t="s">
        <v>74</v>
      </c>
      <c r="H876" t="s">
        <v>74</v>
      </c>
      <c r="I876" t="s">
        <v>16330</v>
      </c>
      <c r="J876" t="s">
        <v>12323</v>
      </c>
      <c r="K876" t="s">
        <v>74</v>
      </c>
      <c r="L876" t="s">
        <v>74</v>
      </c>
      <c r="M876" t="s">
        <v>200</v>
      </c>
      <c r="N876" t="s">
        <v>79</v>
      </c>
      <c r="O876" t="s">
        <v>74</v>
      </c>
      <c r="P876" t="s">
        <v>74</v>
      </c>
      <c r="Q876" t="s">
        <v>74</v>
      </c>
      <c r="R876" t="s">
        <v>74</v>
      </c>
      <c r="S876" t="s">
        <v>74</v>
      </c>
      <c r="T876" t="s">
        <v>74</v>
      </c>
      <c r="U876" t="s">
        <v>16331</v>
      </c>
      <c r="V876" t="s">
        <v>16332</v>
      </c>
      <c r="W876" t="s">
        <v>16333</v>
      </c>
      <c r="X876" t="s">
        <v>16334</v>
      </c>
      <c r="Y876" t="s">
        <v>16335</v>
      </c>
      <c r="Z876" t="s">
        <v>16336</v>
      </c>
      <c r="AA876" t="s">
        <v>16337</v>
      </c>
      <c r="AB876" t="s">
        <v>16338</v>
      </c>
      <c r="AC876" t="s">
        <v>16339</v>
      </c>
      <c r="AD876" t="s">
        <v>16340</v>
      </c>
      <c r="AE876" t="s">
        <v>16341</v>
      </c>
      <c r="AF876" t="s">
        <v>74</v>
      </c>
      <c r="AG876">
        <v>106</v>
      </c>
      <c r="AH876">
        <v>41</v>
      </c>
      <c r="AI876">
        <v>43</v>
      </c>
      <c r="AJ876">
        <v>0</v>
      </c>
      <c r="AK876">
        <v>50</v>
      </c>
      <c r="AL876" t="s">
        <v>12335</v>
      </c>
      <c r="AM876" t="s">
        <v>5664</v>
      </c>
      <c r="AN876" t="s">
        <v>12336</v>
      </c>
      <c r="AO876" t="s">
        <v>12337</v>
      </c>
      <c r="AP876" t="s">
        <v>74</v>
      </c>
      <c r="AQ876" t="s">
        <v>74</v>
      </c>
      <c r="AR876" t="s">
        <v>12323</v>
      </c>
      <c r="AS876" t="s">
        <v>12338</v>
      </c>
      <c r="AT876" t="s">
        <v>16325</v>
      </c>
      <c r="AU876">
        <v>2015</v>
      </c>
      <c r="AV876">
        <v>10</v>
      </c>
      <c r="AW876">
        <v>11</v>
      </c>
      <c r="AX876" t="s">
        <v>74</v>
      </c>
      <c r="AY876" t="s">
        <v>74</v>
      </c>
      <c r="AZ876" t="s">
        <v>74</v>
      </c>
      <c r="BA876" t="s">
        <v>74</v>
      </c>
      <c r="BB876" t="s">
        <v>74</v>
      </c>
      <c r="BC876" t="s">
        <v>74</v>
      </c>
      <c r="BD876" t="s">
        <v>16342</v>
      </c>
      <c r="BE876" t="s">
        <v>16343</v>
      </c>
      <c r="BF876" t="str">
        <f>HYPERLINK("http://dx.doi.org/10.1371/journal.pone.0141742","http://dx.doi.org/10.1371/journal.pone.0141742")</f>
        <v>http://dx.doi.org/10.1371/journal.pone.0141742</v>
      </c>
      <c r="BG876" t="s">
        <v>74</v>
      </c>
      <c r="BH876" t="s">
        <v>74</v>
      </c>
      <c r="BI876">
        <v>26</v>
      </c>
      <c r="BJ876" t="s">
        <v>3540</v>
      </c>
      <c r="BK876" t="s">
        <v>264</v>
      </c>
      <c r="BL876" t="s">
        <v>3541</v>
      </c>
      <c r="BM876" t="s">
        <v>16344</v>
      </c>
      <c r="BN876">
        <v>26559062</v>
      </c>
      <c r="BO876" t="s">
        <v>2110</v>
      </c>
      <c r="BP876" t="s">
        <v>74</v>
      </c>
      <c r="BQ876" t="s">
        <v>74</v>
      </c>
      <c r="BR876" t="s">
        <v>100</v>
      </c>
      <c r="BS876" t="s">
        <v>16345</v>
      </c>
      <c r="BT876" t="str">
        <f>HYPERLINK("https%3A%2F%2Fwww.webofscience.com%2Fwos%2Fwoscc%2Ffull-record%2FWOS:000364433100042","View Full Record in Web of Science")</f>
        <v>View Full Record in Web of Science</v>
      </c>
    </row>
    <row r="877" spans="1:72" x14ac:dyDescent="0.15">
      <c r="A877" t="s">
        <v>72</v>
      </c>
      <c r="B877" t="s">
        <v>16346</v>
      </c>
      <c r="C877" t="s">
        <v>74</v>
      </c>
      <c r="D877" t="s">
        <v>74</v>
      </c>
      <c r="E877" t="s">
        <v>74</v>
      </c>
      <c r="F877" t="s">
        <v>16347</v>
      </c>
      <c r="G877" t="s">
        <v>74</v>
      </c>
      <c r="H877" t="s">
        <v>74</v>
      </c>
      <c r="I877" t="s">
        <v>16348</v>
      </c>
      <c r="J877" t="s">
        <v>16349</v>
      </c>
      <c r="K877" t="s">
        <v>74</v>
      </c>
      <c r="L877" t="s">
        <v>74</v>
      </c>
      <c r="M877" t="s">
        <v>200</v>
      </c>
      <c r="N877" t="s">
        <v>79</v>
      </c>
      <c r="O877" t="s">
        <v>74</v>
      </c>
      <c r="P877" t="s">
        <v>74</v>
      </c>
      <c r="Q877" t="s">
        <v>74</v>
      </c>
      <c r="R877" t="s">
        <v>74</v>
      </c>
      <c r="S877" t="s">
        <v>74</v>
      </c>
      <c r="T877" t="s">
        <v>74</v>
      </c>
      <c r="U877" t="s">
        <v>74</v>
      </c>
      <c r="V877" t="s">
        <v>16350</v>
      </c>
      <c r="W877" t="s">
        <v>16351</v>
      </c>
      <c r="X877" t="s">
        <v>16352</v>
      </c>
      <c r="Y877" t="s">
        <v>16353</v>
      </c>
      <c r="Z877" t="s">
        <v>16354</v>
      </c>
      <c r="AA877" t="s">
        <v>74</v>
      </c>
      <c r="AB877" t="s">
        <v>74</v>
      </c>
      <c r="AC877" t="s">
        <v>16355</v>
      </c>
      <c r="AD877" t="s">
        <v>16356</v>
      </c>
      <c r="AE877" t="s">
        <v>16357</v>
      </c>
      <c r="AF877" t="s">
        <v>74</v>
      </c>
      <c r="AG877">
        <v>11</v>
      </c>
      <c r="AH877">
        <v>13</v>
      </c>
      <c r="AI877">
        <v>17</v>
      </c>
      <c r="AJ877">
        <v>1</v>
      </c>
      <c r="AK877">
        <v>9</v>
      </c>
      <c r="AL877" t="s">
        <v>16358</v>
      </c>
      <c r="AM877" t="s">
        <v>16359</v>
      </c>
      <c r="AN877" t="s">
        <v>16360</v>
      </c>
      <c r="AO877" t="s">
        <v>16361</v>
      </c>
      <c r="AP877" t="s">
        <v>74</v>
      </c>
      <c r="AQ877" t="s">
        <v>74</v>
      </c>
      <c r="AR877" t="s">
        <v>16362</v>
      </c>
      <c r="AS877" t="s">
        <v>16363</v>
      </c>
      <c r="AT877" t="s">
        <v>16364</v>
      </c>
      <c r="AU877">
        <v>2015</v>
      </c>
      <c r="AV877">
        <v>13</v>
      </c>
      <c r="AW877">
        <v>11</v>
      </c>
      <c r="AX877" t="s">
        <v>74</v>
      </c>
      <c r="AY877" t="s">
        <v>74</v>
      </c>
      <c r="AZ877" t="s">
        <v>74</v>
      </c>
      <c r="BA877" t="s">
        <v>74</v>
      </c>
      <c r="BB877" t="s">
        <v>74</v>
      </c>
      <c r="BC877" t="s">
        <v>74</v>
      </c>
      <c r="BD877">
        <v>111101</v>
      </c>
      <c r="BE877" t="s">
        <v>16365</v>
      </c>
      <c r="BF877" t="str">
        <f>HYPERLINK("http://dx.doi.org/10.3788/COL201513.111101","http://dx.doi.org/10.3788/COL201513.111101")</f>
        <v>http://dx.doi.org/10.3788/COL201513.111101</v>
      </c>
      <c r="BG877" t="s">
        <v>74</v>
      </c>
      <c r="BH877" t="s">
        <v>74</v>
      </c>
      <c r="BI877">
        <v>5</v>
      </c>
      <c r="BJ877" t="s">
        <v>16366</v>
      </c>
      <c r="BK877" t="s">
        <v>264</v>
      </c>
      <c r="BL877" t="s">
        <v>16366</v>
      </c>
      <c r="BM877" t="s">
        <v>16367</v>
      </c>
      <c r="BN877" t="s">
        <v>74</v>
      </c>
      <c r="BO877" t="s">
        <v>486</v>
      </c>
      <c r="BP877" t="s">
        <v>74</v>
      </c>
      <c r="BQ877" t="s">
        <v>74</v>
      </c>
      <c r="BR877" t="s">
        <v>100</v>
      </c>
      <c r="BS877" t="s">
        <v>16368</v>
      </c>
      <c r="BT877" t="str">
        <f>HYPERLINK("https%3A%2F%2Fwww.webofscience.com%2Fwos%2Fwoscc%2Ffull-record%2FWOS:000364520000006","View Full Record in Web of Science")</f>
        <v>View Full Record in Web of Science</v>
      </c>
    </row>
    <row r="878" spans="1:72" x14ac:dyDescent="0.15">
      <c r="A878" t="s">
        <v>72</v>
      </c>
      <c r="B878" t="s">
        <v>16369</v>
      </c>
      <c r="C878" t="s">
        <v>74</v>
      </c>
      <c r="D878" t="s">
        <v>74</v>
      </c>
      <c r="E878" t="s">
        <v>74</v>
      </c>
      <c r="F878" t="s">
        <v>16370</v>
      </c>
      <c r="G878" t="s">
        <v>74</v>
      </c>
      <c r="H878" t="s">
        <v>74</v>
      </c>
      <c r="I878" t="s">
        <v>16371</v>
      </c>
      <c r="J878" t="s">
        <v>16372</v>
      </c>
      <c r="K878" t="s">
        <v>74</v>
      </c>
      <c r="L878" t="s">
        <v>74</v>
      </c>
      <c r="M878" t="s">
        <v>200</v>
      </c>
      <c r="N878" t="s">
        <v>79</v>
      </c>
      <c r="O878" t="s">
        <v>74</v>
      </c>
      <c r="P878" t="s">
        <v>74</v>
      </c>
      <c r="Q878" t="s">
        <v>74</v>
      </c>
      <c r="R878" t="s">
        <v>74</v>
      </c>
      <c r="S878" t="s">
        <v>74</v>
      </c>
      <c r="T878" t="s">
        <v>16373</v>
      </c>
      <c r="U878" t="s">
        <v>16374</v>
      </c>
      <c r="V878" t="s">
        <v>16375</v>
      </c>
      <c r="W878" t="s">
        <v>16376</v>
      </c>
      <c r="X878" t="s">
        <v>16377</v>
      </c>
      <c r="Y878" t="s">
        <v>16378</v>
      </c>
      <c r="Z878" t="s">
        <v>16379</v>
      </c>
      <c r="AA878" t="s">
        <v>74</v>
      </c>
      <c r="AB878" t="s">
        <v>74</v>
      </c>
      <c r="AC878" t="s">
        <v>74</v>
      </c>
      <c r="AD878" t="s">
        <v>74</v>
      </c>
      <c r="AE878" t="s">
        <v>74</v>
      </c>
      <c r="AF878" t="s">
        <v>74</v>
      </c>
      <c r="AG878">
        <v>23</v>
      </c>
      <c r="AH878">
        <v>14</v>
      </c>
      <c r="AI878">
        <v>14</v>
      </c>
      <c r="AJ878">
        <v>6</v>
      </c>
      <c r="AK878">
        <v>80</v>
      </c>
      <c r="AL878" t="s">
        <v>502</v>
      </c>
      <c r="AM878" t="s">
        <v>503</v>
      </c>
      <c r="AN878" t="s">
        <v>504</v>
      </c>
      <c r="AO878" t="s">
        <v>16380</v>
      </c>
      <c r="AP878" t="s">
        <v>16381</v>
      </c>
      <c r="AQ878" t="s">
        <v>74</v>
      </c>
      <c r="AR878" t="s">
        <v>16382</v>
      </c>
      <c r="AS878" t="s">
        <v>16383</v>
      </c>
      <c r="AT878" t="s">
        <v>16364</v>
      </c>
      <c r="AU878">
        <v>2015</v>
      </c>
      <c r="AV878">
        <v>49</v>
      </c>
      <c r="AW878" t="s">
        <v>16384</v>
      </c>
      <c r="AX878" t="s">
        <v>74</v>
      </c>
      <c r="AY878" t="s">
        <v>74</v>
      </c>
      <c r="AZ878" t="s">
        <v>74</v>
      </c>
      <c r="BA878" t="s">
        <v>74</v>
      </c>
      <c r="BB878">
        <v>2483</v>
      </c>
      <c r="BC878">
        <v>2491</v>
      </c>
      <c r="BD878" t="s">
        <v>74</v>
      </c>
      <c r="BE878" t="s">
        <v>16385</v>
      </c>
      <c r="BF878" t="str">
        <f>HYPERLINK("http://dx.doi.org/10.1080/00222933.2015.1040477","http://dx.doi.org/10.1080/00222933.2015.1040477")</f>
        <v>http://dx.doi.org/10.1080/00222933.2015.1040477</v>
      </c>
      <c r="BG878" t="s">
        <v>74</v>
      </c>
      <c r="BH878" t="s">
        <v>74</v>
      </c>
      <c r="BI878">
        <v>9</v>
      </c>
      <c r="BJ878" t="s">
        <v>16386</v>
      </c>
      <c r="BK878" t="s">
        <v>264</v>
      </c>
      <c r="BL878" t="s">
        <v>16387</v>
      </c>
      <c r="BM878" t="s">
        <v>16388</v>
      </c>
      <c r="BN878" t="s">
        <v>74</v>
      </c>
      <c r="BO878" t="s">
        <v>241</v>
      </c>
      <c r="BP878" t="s">
        <v>74</v>
      </c>
      <c r="BQ878" t="s">
        <v>74</v>
      </c>
      <c r="BR878" t="s">
        <v>100</v>
      </c>
      <c r="BS878" t="s">
        <v>16389</v>
      </c>
      <c r="BT878" t="str">
        <f>HYPERLINK("https%3A%2F%2Fwww.webofscience.com%2Fwos%2Fwoscc%2Ffull-record%2FWOS:000361517700001","View Full Record in Web of Science")</f>
        <v>View Full Record in Web of Science</v>
      </c>
    </row>
    <row r="879" spans="1:72" x14ac:dyDescent="0.15">
      <c r="A879" t="s">
        <v>72</v>
      </c>
      <c r="B879" t="s">
        <v>16390</v>
      </c>
      <c r="C879" t="s">
        <v>74</v>
      </c>
      <c r="D879" t="s">
        <v>74</v>
      </c>
      <c r="E879" t="s">
        <v>74</v>
      </c>
      <c r="F879" t="s">
        <v>16391</v>
      </c>
      <c r="G879" t="s">
        <v>74</v>
      </c>
      <c r="H879" t="s">
        <v>74</v>
      </c>
      <c r="I879" t="s">
        <v>16392</v>
      </c>
      <c r="J879" t="s">
        <v>16372</v>
      </c>
      <c r="K879" t="s">
        <v>74</v>
      </c>
      <c r="L879" t="s">
        <v>74</v>
      </c>
      <c r="M879" t="s">
        <v>200</v>
      </c>
      <c r="N879" t="s">
        <v>79</v>
      </c>
      <c r="O879" t="s">
        <v>74</v>
      </c>
      <c r="P879" t="s">
        <v>74</v>
      </c>
      <c r="Q879" t="s">
        <v>74</v>
      </c>
      <c r="R879" t="s">
        <v>74</v>
      </c>
      <c r="S879" t="s">
        <v>74</v>
      </c>
      <c r="T879" t="s">
        <v>16393</v>
      </c>
      <c r="U879" t="s">
        <v>16394</v>
      </c>
      <c r="V879" t="s">
        <v>16395</v>
      </c>
      <c r="W879" t="s">
        <v>16396</v>
      </c>
      <c r="X879" t="s">
        <v>16397</v>
      </c>
      <c r="Y879" t="s">
        <v>16398</v>
      </c>
      <c r="Z879" t="s">
        <v>16399</v>
      </c>
      <c r="AA879" t="s">
        <v>74</v>
      </c>
      <c r="AB879" t="s">
        <v>74</v>
      </c>
      <c r="AC879" t="s">
        <v>16400</v>
      </c>
      <c r="AD879" t="s">
        <v>16401</v>
      </c>
      <c r="AE879" t="s">
        <v>16402</v>
      </c>
      <c r="AF879" t="s">
        <v>74</v>
      </c>
      <c r="AG879">
        <v>93</v>
      </c>
      <c r="AH879">
        <v>13</v>
      </c>
      <c r="AI879">
        <v>13</v>
      </c>
      <c r="AJ879">
        <v>1</v>
      </c>
      <c r="AK879">
        <v>15</v>
      </c>
      <c r="AL879" t="s">
        <v>502</v>
      </c>
      <c r="AM879" t="s">
        <v>503</v>
      </c>
      <c r="AN879" t="s">
        <v>504</v>
      </c>
      <c r="AO879" t="s">
        <v>16380</v>
      </c>
      <c r="AP879" t="s">
        <v>16381</v>
      </c>
      <c r="AQ879" t="s">
        <v>74</v>
      </c>
      <c r="AR879" t="s">
        <v>16382</v>
      </c>
      <c r="AS879" t="s">
        <v>16383</v>
      </c>
      <c r="AT879" t="s">
        <v>16364</v>
      </c>
      <c r="AU879">
        <v>2015</v>
      </c>
      <c r="AV879">
        <v>49</v>
      </c>
      <c r="AW879" t="s">
        <v>16384</v>
      </c>
      <c r="AX879" t="s">
        <v>74</v>
      </c>
      <c r="AY879" t="s">
        <v>74</v>
      </c>
      <c r="AZ879" t="s">
        <v>74</v>
      </c>
      <c r="BA879" t="s">
        <v>74</v>
      </c>
      <c r="BB879">
        <v>2493</v>
      </c>
      <c r="BC879">
        <v>2526</v>
      </c>
      <c r="BD879" t="s">
        <v>74</v>
      </c>
      <c r="BE879" t="s">
        <v>16403</v>
      </c>
      <c r="BF879" t="str">
        <f>HYPERLINK("http://dx.doi.org/10.1080/00222933.2015.1028112","http://dx.doi.org/10.1080/00222933.2015.1028112")</f>
        <v>http://dx.doi.org/10.1080/00222933.2015.1028112</v>
      </c>
      <c r="BG879" t="s">
        <v>74</v>
      </c>
      <c r="BH879" t="s">
        <v>74</v>
      </c>
      <c r="BI879">
        <v>34</v>
      </c>
      <c r="BJ879" t="s">
        <v>16386</v>
      </c>
      <c r="BK879" t="s">
        <v>264</v>
      </c>
      <c r="BL879" t="s">
        <v>16387</v>
      </c>
      <c r="BM879" t="s">
        <v>16404</v>
      </c>
      <c r="BN879" t="s">
        <v>74</v>
      </c>
      <c r="BO879" t="s">
        <v>241</v>
      </c>
      <c r="BP879" t="s">
        <v>74</v>
      </c>
      <c r="BQ879" t="s">
        <v>74</v>
      </c>
      <c r="BR879" t="s">
        <v>100</v>
      </c>
      <c r="BS879" t="s">
        <v>16405</v>
      </c>
      <c r="BT879" t="str">
        <f>HYPERLINK("https%3A%2F%2Fwww.webofscience.com%2Fwos%2Fwoscc%2Ffull-record%2FWOS:000361517900001","View Full Record in Web of Science")</f>
        <v>View Full Record in Web of Science</v>
      </c>
    </row>
    <row r="880" spans="1:72" x14ac:dyDescent="0.15">
      <c r="A880" t="s">
        <v>72</v>
      </c>
      <c r="B880" t="s">
        <v>16406</v>
      </c>
      <c r="C880" t="s">
        <v>74</v>
      </c>
      <c r="D880" t="s">
        <v>74</v>
      </c>
      <c r="E880" t="s">
        <v>74</v>
      </c>
      <c r="F880" t="s">
        <v>16407</v>
      </c>
      <c r="G880" t="s">
        <v>74</v>
      </c>
      <c r="H880" t="s">
        <v>74</v>
      </c>
      <c r="I880" t="s">
        <v>16408</v>
      </c>
      <c r="J880" t="s">
        <v>16409</v>
      </c>
      <c r="K880" t="s">
        <v>74</v>
      </c>
      <c r="L880" t="s">
        <v>74</v>
      </c>
      <c r="M880" t="s">
        <v>200</v>
      </c>
      <c r="N880" t="s">
        <v>717</v>
      </c>
      <c r="O880" t="s">
        <v>74</v>
      </c>
      <c r="P880" t="s">
        <v>74</v>
      </c>
      <c r="Q880" t="s">
        <v>74</v>
      </c>
      <c r="R880" t="s">
        <v>74</v>
      </c>
      <c r="S880" t="s">
        <v>74</v>
      </c>
      <c r="T880" t="s">
        <v>16410</v>
      </c>
      <c r="U880" t="s">
        <v>16411</v>
      </c>
      <c r="V880" t="s">
        <v>16412</v>
      </c>
      <c r="W880" t="s">
        <v>16413</v>
      </c>
      <c r="X880" t="s">
        <v>16414</v>
      </c>
      <c r="Y880" t="s">
        <v>16415</v>
      </c>
      <c r="Z880" t="s">
        <v>16416</v>
      </c>
      <c r="AA880" t="s">
        <v>16417</v>
      </c>
      <c r="AB880" t="s">
        <v>16418</v>
      </c>
      <c r="AC880" t="s">
        <v>16419</v>
      </c>
      <c r="AD880" t="s">
        <v>16420</v>
      </c>
      <c r="AE880" t="s">
        <v>16421</v>
      </c>
      <c r="AF880" t="s">
        <v>74</v>
      </c>
      <c r="AG880">
        <v>111</v>
      </c>
      <c r="AH880">
        <v>71</v>
      </c>
      <c r="AI880">
        <v>75</v>
      </c>
      <c r="AJ880">
        <v>1</v>
      </c>
      <c r="AK880">
        <v>109</v>
      </c>
      <c r="AL880" t="s">
        <v>11456</v>
      </c>
      <c r="AM880" t="s">
        <v>2100</v>
      </c>
      <c r="AN880" t="s">
        <v>11457</v>
      </c>
      <c r="AO880" t="s">
        <v>16422</v>
      </c>
      <c r="AP880" t="s">
        <v>16423</v>
      </c>
      <c r="AQ880" t="s">
        <v>74</v>
      </c>
      <c r="AR880" t="s">
        <v>16424</v>
      </c>
      <c r="AS880" t="s">
        <v>16425</v>
      </c>
      <c r="AT880" t="s">
        <v>16426</v>
      </c>
      <c r="AU880">
        <v>2015</v>
      </c>
      <c r="AV880">
        <v>370</v>
      </c>
      <c r="AW880">
        <v>1681</v>
      </c>
      <c r="AX880" t="s">
        <v>74</v>
      </c>
      <c r="AY880" t="s">
        <v>74</v>
      </c>
      <c r="AZ880" t="s">
        <v>74</v>
      </c>
      <c r="BA880" t="s">
        <v>74</v>
      </c>
      <c r="BB880" t="s">
        <v>74</v>
      </c>
      <c r="BC880" t="s">
        <v>74</v>
      </c>
      <c r="BD880">
        <v>20140278</v>
      </c>
      <c r="BE880" t="s">
        <v>16427</v>
      </c>
      <c r="BF880" t="str">
        <f>HYPERLINK("http://dx.doi.org/10.1098/rstb.2014.0278","http://dx.doi.org/10.1098/rstb.2014.0278")</f>
        <v>http://dx.doi.org/10.1098/rstb.2014.0278</v>
      </c>
      <c r="BG880" t="s">
        <v>74</v>
      </c>
      <c r="BH880" t="s">
        <v>74</v>
      </c>
      <c r="BI880">
        <v>17</v>
      </c>
      <c r="BJ880" t="s">
        <v>16428</v>
      </c>
      <c r="BK880" t="s">
        <v>264</v>
      </c>
      <c r="BL880" t="s">
        <v>16429</v>
      </c>
      <c r="BM880" t="s">
        <v>16430</v>
      </c>
      <c r="BN880">
        <v>26460131</v>
      </c>
      <c r="BO880" t="s">
        <v>7618</v>
      </c>
      <c r="BP880" t="s">
        <v>74</v>
      </c>
      <c r="BQ880" t="s">
        <v>74</v>
      </c>
      <c r="BR880" t="s">
        <v>100</v>
      </c>
      <c r="BS880" t="s">
        <v>16431</v>
      </c>
      <c r="BT880" t="str">
        <f>HYPERLINK("https%3A%2F%2Fwww.webofscience.com%2Fwos%2Fwoscc%2Ffull-record%2FWOS:000362720200010","View Full Record in Web of Science")</f>
        <v>View Full Record in Web of Science</v>
      </c>
    </row>
    <row r="881" spans="1:72" x14ac:dyDescent="0.15">
      <c r="A881" t="s">
        <v>72</v>
      </c>
      <c r="B881" t="s">
        <v>16432</v>
      </c>
      <c r="C881" t="s">
        <v>74</v>
      </c>
      <c r="D881" t="s">
        <v>74</v>
      </c>
      <c r="E881" t="s">
        <v>74</v>
      </c>
      <c r="F881" t="s">
        <v>16433</v>
      </c>
      <c r="G881" t="s">
        <v>74</v>
      </c>
      <c r="H881" t="s">
        <v>74</v>
      </c>
      <c r="I881" t="s">
        <v>16434</v>
      </c>
      <c r="J881" t="s">
        <v>16435</v>
      </c>
      <c r="K881" t="s">
        <v>74</v>
      </c>
      <c r="L881" t="s">
        <v>74</v>
      </c>
      <c r="M881" t="s">
        <v>200</v>
      </c>
      <c r="N881" t="s">
        <v>79</v>
      </c>
      <c r="O881" t="s">
        <v>74</v>
      </c>
      <c r="P881" t="s">
        <v>74</v>
      </c>
      <c r="Q881" t="s">
        <v>74</v>
      </c>
      <c r="R881" t="s">
        <v>74</v>
      </c>
      <c r="S881" t="s">
        <v>74</v>
      </c>
      <c r="T881" t="s">
        <v>16436</v>
      </c>
      <c r="U881" t="s">
        <v>16437</v>
      </c>
      <c r="V881" t="s">
        <v>16438</v>
      </c>
      <c r="W881" t="s">
        <v>16439</v>
      </c>
      <c r="X881" t="s">
        <v>16440</v>
      </c>
      <c r="Y881" t="s">
        <v>16441</v>
      </c>
      <c r="Z881" t="s">
        <v>16442</v>
      </c>
      <c r="AA881" t="s">
        <v>16443</v>
      </c>
      <c r="AB881" t="s">
        <v>16444</v>
      </c>
      <c r="AC881" t="s">
        <v>16445</v>
      </c>
      <c r="AD881" t="s">
        <v>16446</v>
      </c>
      <c r="AE881" t="s">
        <v>16447</v>
      </c>
      <c r="AF881" t="s">
        <v>74</v>
      </c>
      <c r="AG881">
        <v>52</v>
      </c>
      <c r="AH881">
        <v>41</v>
      </c>
      <c r="AI881">
        <v>45</v>
      </c>
      <c r="AJ881">
        <v>1</v>
      </c>
      <c r="AK881">
        <v>103</v>
      </c>
      <c r="AL881" t="s">
        <v>7218</v>
      </c>
      <c r="AM881" t="s">
        <v>1386</v>
      </c>
      <c r="AN881" t="s">
        <v>7219</v>
      </c>
      <c r="AO881" t="s">
        <v>16448</v>
      </c>
      <c r="AP881" t="s">
        <v>16449</v>
      </c>
      <c r="AQ881" t="s">
        <v>74</v>
      </c>
      <c r="AR881" t="s">
        <v>16450</v>
      </c>
      <c r="AS881" t="s">
        <v>16451</v>
      </c>
      <c r="AT881" t="s">
        <v>16426</v>
      </c>
      <c r="AU881">
        <v>2015</v>
      </c>
      <c r="AV881">
        <v>132</v>
      </c>
      <c r="AW881" t="s">
        <v>74</v>
      </c>
      <c r="AX881" t="s">
        <v>74</v>
      </c>
      <c r="AY881" t="s">
        <v>74</v>
      </c>
      <c r="AZ881" t="s">
        <v>74</v>
      </c>
      <c r="BA881" t="s">
        <v>74</v>
      </c>
      <c r="BB881">
        <v>295</v>
      </c>
      <c r="BC881">
        <v>303</v>
      </c>
      <c r="BD881" t="s">
        <v>74</v>
      </c>
      <c r="BE881" t="s">
        <v>16452</v>
      </c>
      <c r="BF881" t="str">
        <f>HYPERLINK("http://dx.doi.org/10.1016/j.carbpol.2015.06.030","http://dx.doi.org/10.1016/j.carbpol.2015.06.030")</f>
        <v>http://dx.doi.org/10.1016/j.carbpol.2015.06.030</v>
      </c>
      <c r="BG881" t="s">
        <v>74</v>
      </c>
      <c r="BH881" t="s">
        <v>74</v>
      </c>
      <c r="BI881">
        <v>9</v>
      </c>
      <c r="BJ881" t="s">
        <v>16453</v>
      </c>
      <c r="BK881" t="s">
        <v>264</v>
      </c>
      <c r="BL881" t="s">
        <v>16454</v>
      </c>
      <c r="BM881" t="s">
        <v>16455</v>
      </c>
      <c r="BN881">
        <v>26256352</v>
      </c>
      <c r="BO881" t="s">
        <v>74</v>
      </c>
      <c r="BP881" t="s">
        <v>74</v>
      </c>
      <c r="BQ881" t="s">
        <v>74</v>
      </c>
      <c r="BR881" t="s">
        <v>100</v>
      </c>
      <c r="BS881" t="s">
        <v>16456</v>
      </c>
      <c r="BT881" t="str">
        <f>HYPERLINK("https%3A%2F%2Fwww.webofscience.com%2Fwos%2Fwoscc%2Ffull-record%2FWOS:000361184900036","View Full Record in Web of Science")</f>
        <v>View Full Record in Web of Science</v>
      </c>
    </row>
    <row r="882" spans="1:72" x14ac:dyDescent="0.15">
      <c r="A882" t="s">
        <v>72</v>
      </c>
      <c r="B882" t="s">
        <v>16457</v>
      </c>
      <c r="C882" t="s">
        <v>74</v>
      </c>
      <c r="D882" t="s">
        <v>74</v>
      </c>
      <c r="E882" t="s">
        <v>74</v>
      </c>
      <c r="F882" t="s">
        <v>16458</v>
      </c>
      <c r="G882" t="s">
        <v>74</v>
      </c>
      <c r="H882" t="s">
        <v>74</v>
      </c>
      <c r="I882" t="s">
        <v>16459</v>
      </c>
      <c r="J882" t="s">
        <v>12323</v>
      </c>
      <c r="K882" t="s">
        <v>74</v>
      </c>
      <c r="L882" t="s">
        <v>74</v>
      </c>
      <c r="M882" t="s">
        <v>200</v>
      </c>
      <c r="N882" t="s">
        <v>79</v>
      </c>
      <c r="O882" t="s">
        <v>74</v>
      </c>
      <c r="P882" t="s">
        <v>74</v>
      </c>
      <c r="Q882" t="s">
        <v>74</v>
      </c>
      <c r="R882" t="s">
        <v>74</v>
      </c>
      <c r="S882" t="s">
        <v>74</v>
      </c>
      <c r="T882" t="s">
        <v>74</v>
      </c>
      <c r="U882" t="s">
        <v>16460</v>
      </c>
      <c r="V882" t="s">
        <v>16461</v>
      </c>
      <c r="W882" t="s">
        <v>16462</v>
      </c>
      <c r="X882" t="s">
        <v>16463</v>
      </c>
      <c r="Y882" t="s">
        <v>16464</v>
      </c>
      <c r="Z882" t="s">
        <v>16465</v>
      </c>
      <c r="AA882" t="s">
        <v>16466</v>
      </c>
      <c r="AB882" t="s">
        <v>16467</v>
      </c>
      <c r="AC882" t="s">
        <v>16468</v>
      </c>
      <c r="AD882" t="s">
        <v>16469</v>
      </c>
      <c r="AE882" t="s">
        <v>16470</v>
      </c>
      <c r="AF882" t="s">
        <v>74</v>
      </c>
      <c r="AG882">
        <v>74</v>
      </c>
      <c r="AH882">
        <v>7</v>
      </c>
      <c r="AI882">
        <v>7</v>
      </c>
      <c r="AJ882">
        <v>0</v>
      </c>
      <c r="AK882">
        <v>16</v>
      </c>
      <c r="AL882" t="s">
        <v>12335</v>
      </c>
      <c r="AM882" t="s">
        <v>5664</v>
      </c>
      <c r="AN882" t="s">
        <v>12336</v>
      </c>
      <c r="AO882" t="s">
        <v>12337</v>
      </c>
      <c r="AP882" t="s">
        <v>74</v>
      </c>
      <c r="AQ882" t="s">
        <v>74</v>
      </c>
      <c r="AR882" t="s">
        <v>12323</v>
      </c>
      <c r="AS882" t="s">
        <v>12338</v>
      </c>
      <c r="AT882" t="s">
        <v>16471</v>
      </c>
      <c r="AU882">
        <v>2015</v>
      </c>
      <c r="AV882">
        <v>10</v>
      </c>
      <c r="AW882">
        <v>11</v>
      </c>
      <c r="AX882" t="s">
        <v>74</v>
      </c>
      <c r="AY882" t="s">
        <v>74</v>
      </c>
      <c r="AZ882" t="s">
        <v>74</v>
      </c>
      <c r="BA882" t="s">
        <v>74</v>
      </c>
      <c r="BB882" t="s">
        <v>74</v>
      </c>
      <c r="BC882" t="s">
        <v>74</v>
      </c>
      <c r="BD882" t="s">
        <v>16472</v>
      </c>
      <c r="BE882" t="s">
        <v>16473</v>
      </c>
      <c r="BF882" t="str">
        <f>HYPERLINK("http://dx.doi.org/10.1371/journal.pone.0138766","http://dx.doi.org/10.1371/journal.pone.0138766")</f>
        <v>http://dx.doi.org/10.1371/journal.pone.0138766</v>
      </c>
      <c r="BG882" t="s">
        <v>74</v>
      </c>
      <c r="BH882" t="s">
        <v>74</v>
      </c>
      <c r="BI882">
        <v>22</v>
      </c>
      <c r="BJ882" t="s">
        <v>3540</v>
      </c>
      <c r="BK882" t="s">
        <v>264</v>
      </c>
      <c r="BL882" t="s">
        <v>3541</v>
      </c>
      <c r="BM882" t="s">
        <v>16474</v>
      </c>
      <c r="BN882">
        <v>26535569</v>
      </c>
      <c r="BO882" t="s">
        <v>7447</v>
      </c>
      <c r="BP882" t="s">
        <v>74</v>
      </c>
      <c r="BQ882" t="s">
        <v>74</v>
      </c>
      <c r="BR882" t="s">
        <v>100</v>
      </c>
      <c r="BS882" t="s">
        <v>16475</v>
      </c>
      <c r="BT882" t="str">
        <f>HYPERLINK("https%3A%2F%2Fwww.webofscience.com%2Fwos%2Fwoscc%2Ffull-record%2FWOS:000364298400004","View Full Record in Web of Science")</f>
        <v>View Full Record in Web of Science</v>
      </c>
    </row>
    <row r="883" spans="1:72" x14ac:dyDescent="0.15">
      <c r="A883" t="s">
        <v>72</v>
      </c>
      <c r="B883" t="s">
        <v>16476</v>
      </c>
      <c r="C883" t="s">
        <v>74</v>
      </c>
      <c r="D883" t="s">
        <v>74</v>
      </c>
      <c r="E883" t="s">
        <v>74</v>
      </c>
      <c r="F883" t="s">
        <v>16477</v>
      </c>
      <c r="G883" t="s">
        <v>74</v>
      </c>
      <c r="H883" t="s">
        <v>74</v>
      </c>
      <c r="I883" t="s">
        <v>16478</v>
      </c>
      <c r="J883" t="s">
        <v>16479</v>
      </c>
      <c r="K883" t="s">
        <v>74</v>
      </c>
      <c r="L883" t="s">
        <v>74</v>
      </c>
      <c r="M883" t="s">
        <v>200</v>
      </c>
      <c r="N883" t="s">
        <v>1639</v>
      </c>
      <c r="O883" t="s">
        <v>16480</v>
      </c>
      <c r="P883" t="s">
        <v>16481</v>
      </c>
      <c r="Q883" t="s">
        <v>16482</v>
      </c>
      <c r="R883" t="s">
        <v>74</v>
      </c>
      <c r="S883" t="s">
        <v>74</v>
      </c>
      <c r="T883" t="s">
        <v>16483</v>
      </c>
      <c r="U883" t="s">
        <v>16484</v>
      </c>
      <c r="V883" t="s">
        <v>16485</v>
      </c>
      <c r="W883" t="s">
        <v>16486</v>
      </c>
      <c r="X883" t="s">
        <v>3604</v>
      </c>
      <c r="Y883" t="s">
        <v>16487</v>
      </c>
      <c r="Z883" t="s">
        <v>16488</v>
      </c>
      <c r="AA883" t="s">
        <v>16489</v>
      </c>
      <c r="AB883" t="s">
        <v>16490</v>
      </c>
      <c r="AC883" t="s">
        <v>16491</v>
      </c>
      <c r="AD883" t="s">
        <v>847</v>
      </c>
      <c r="AE883" t="s">
        <v>16492</v>
      </c>
      <c r="AF883" t="s">
        <v>74</v>
      </c>
      <c r="AG883">
        <v>50</v>
      </c>
      <c r="AH883">
        <v>38</v>
      </c>
      <c r="AI883">
        <v>43</v>
      </c>
      <c r="AJ883">
        <v>3</v>
      </c>
      <c r="AK883">
        <v>67</v>
      </c>
      <c r="AL883" t="s">
        <v>10163</v>
      </c>
      <c r="AM883" t="s">
        <v>1559</v>
      </c>
      <c r="AN883" t="s">
        <v>10164</v>
      </c>
      <c r="AO883" t="s">
        <v>16493</v>
      </c>
      <c r="AP883" t="s">
        <v>16494</v>
      </c>
      <c r="AQ883" t="s">
        <v>74</v>
      </c>
      <c r="AR883" t="s">
        <v>16495</v>
      </c>
      <c r="AS883" t="s">
        <v>16496</v>
      </c>
      <c r="AT883" t="s">
        <v>16471</v>
      </c>
      <c r="AU883">
        <v>2015</v>
      </c>
      <c r="AV883">
        <v>63</v>
      </c>
      <c r="AW883">
        <v>43</v>
      </c>
      <c r="AX883" t="s">
        <v>74</v>
      </c>
      <c r="AY883" t="s">
        <v>74</v>
      </c>
      <c r="AZ883" t="s">
        <v>74</v>
      </c>
      <c r="BA883" t="s">
        <v>74</v>
      </c>
      <c r="BB883">
        <v>9550</v>
      </c>
      <c r="BC883">
        <v>9557</v>
      </c>
      <c r="BD883" t="s">
        <v>74</v>
      </c>
      <c r="BE883" t="s">
        <v>16497</v>
      </c>
      <c r="BF883" t="str">
        <f>HYPERLINK("http://dx.doi.org/10.1021/acs.jafc.5b04263","http://dx.doi.org/10.1021/acs.jafc.5b04263")</f>
        <v>http://dx.doi.org/10.1021/acs.jafc.5b04263</v>
      </c>
      <c r="BG883" t="s">
        <v>74</v>
      </c>
      <c r="BH883" t="s">
        <v>74</v>
      </c>
      <c r="BI883">
        <v>8</v>
      </c>
      <c r="BJ883" t="s">
        <v>16498</v>
      </c>
      <c r="BK883" t="s">
        <v>1661</v>
      </c>
      <c r="BL883" t="s">
        <v>16499</v>
      </c>
      <c r="BM883" t="s">
        <v>16500</v>
      </c>
      <c r="BN883">
        <v>26456758</v>
      </c>
      <c r="BO883" t="s">
        <v>74</v>
      </c>
      <c r="BP883" t="s">
        <v>74</v>
      </c>
      <c r="BQ883" t="s">
        <v>74</v>
      </c>
      <c r="BR883" t="s">
        <v>100</v>
      </c>
      <c r="BS883" t="s">
        <v>16501</v>
      </c>
      <c r="BT883" t="str">
        <f>HYPERLINK("https%3A%2F%2Fwww.webofscience.com%2Fwos%2Fwoscc%2Ffull-record%2FWOS:000364355700022","View Full Record in Web of Science")</f>
        <v>View Full Record in Web of Science</v>
      </c>
    </row>
    <row r="884" spans="1:72" x14ac:dyDescent="0.15">
      <c r="A884" t="s">
        <v>72</v>
      </c>
      <c r="B884" t="s">
        <v>16502</v>
      </c>
      <c r="C884" t="s">
        <v>74</v>
      </c>
      <c r="D884" t="s">
        <v>74</v>
      </c>
      <c r="E884" t="s">
        <v>74</v>
      </c>
      <c r="F884" t="s">
        <v>16503</v>
      </c>
      <c r="G884" t="s">
        <v>74</v>
      </c>
      <c r="H884" t="s">
        <v>74</v>
      </c>
      <c r="I884" t="s">
        <v>16504</v>
      </c>
      <c r="J884" t="s">
        <v>16028</v>
      </c>
      <c r="K884" t="s">
        <v>74</v>
      </c>
      <c r="L884" t="s">
        <v>74</v>
      </c>
      <c r="M884" t="s">
        <v>200</v>
      </c>
      <c r="N884" t="s">
        <v>79</v>
      </c>
      <c r="O884" t="s">
        <v>74</v>
      </c>
      <c r="P884" t="s">
        <v>74</v>
      </c>
      <c r="Q884" t="s">
        <v>74</v>
      </c>
      <c r="R884" t="s">
        <v>74</v>
      </c>
      <c r="S884" t="s">
        <v>74</v>
      </c>
      <c r="T884" t="s">
        <v>16505</v>
      </c>
      <c r="U884" t="s">
        <v>16506</v>
      </c>
      <c r="V884" t="s">
        <v>16507</v>
      </c>
      <c r="W884" t="s">
        <v>16508</v>
      </c>
      <c r="X884" t="s">
        <v>16509</v>
      </c>
      <c r="Y884" t="s">
        <v>16510</v>
      </c>
      <c r="Z884" t="s">
        <v>16511</v>
      </c>
      <c r="AA884" t="s">
        <v>16512</v>
      </c>
      <c r="AB884" t="s">
        <v>16513</v>
      </c>
      <c r="AC884" t="s">
        <v>16514</v>
      </c>
      <c r="AD884" t="s">
        <v>16515</v>
      </c>
      <c r="AE884" t="s">
        <v>16516</v>
      </c>
      <c r="AF884" t="s">
        <v>74</v>
      </c>
      <c r="AG884">
        <v>66</v>
      </c>
      <c r="AH884">
        <v>69</v>
      </c>
      <c r="AI884">
        <v>71</v>
      </c>
      <c r="AJ884">
        <v>1</v>
      </c>
      <c r="AK884">
        <v>39</v>
      </c>
      <c r="AL884" t="s">
        <v>16037</v>
      </c>
      <c r="AM884" t="s">
        <v>1559</v>
      </c>
      <c r="AN884" t="s">
        <v>16038</v>
      </c>
      <c r="AO884" t="s">
        <v>16039</v>
      </c>
      <c r="AP884" t="s">
        <v>74</v>
      </c>
      <c r="AQ884" t="s">
        <v>74</v>
      </c>
      <c r="AR884" t="s">
        <v>16040</v>
      </c>
      <c r="AS884" t="s">
        <v>16041</v>
      </c>
      <c r="AT884" t="s">
        <v>16517</v>
      </c>
      <c r="AU884">
        <v>2015</v>
      </c>
      <c r="AV884">
        <v>112</v>
      </c>
      <c r="AW884">
        <v>44</v>
      </c>
      <c r="AX884" t="s">
        <v>74</v>
      </c>
      <c r="AY884" t="s">
        <v>74</v>
      </c>
      <c r="AZ884" t="s">
        <v>74</v>
      </c>
      <c r="BA884" t="s">
        <v>74</v>
      </c>
      <c r="BB884">
        <v>13496</v>
      </c>
      <c r="BC884">
        <v>13501</v>
      </c>
      <c r="BD884" t="s">
        <v>74</v>
      </c>
      <c r="BE884" t="s">
        <v>16518</v>
      </c>
      <c r="BF884" t="str">
        <f>HYPERLINK("http://dx.doi.org/10.1073/pnas.1509203112","http://dx.doi.org/10.1073/pnas.1509203112")</f>
        <v>http://dx.doi.org/10.1073/pnas.1509203112</v>
      </c>
      <c r="BG884" t="s">
        <v>74</v>
      </c>
      <c r="BH884" t="s">
        <v>74</v>
      </c>
      <c r="BI884">
        <v>6</v>
      </c>
      <c r="BJ884" t="s">
        <v>3540</v>
      </c>
      <c r="BK884" t="s">
        <v>264</v>
      </c>
      <c r="BL884" t="s">
        <v>3541</v>
      </c>
      <c r="BM884" t="s">
        <v>16519</v>
      </c>
      <c r="BN884">
        <v>26417070</v>
      </c>
      <c r="BO884" t="s">
        <v>16520</v>
      </c>
      <c r="BP884" t="s">
        <v>74</v>
      </c>
      <c r="BQ884" t="s">
        <v>74</v>
      </c>
      <c r="BR884" t="s">
        <v>100</v>
      </c>
      <c r="BS884" t="s">
        <v>16521</v>
      </c>
      <c r="BT884" t="str">
        <f>HYPERLINK("https%3A%2F%2Fwww.webofscience.com%2Fwos%2Fwoscc%2Ffull-record%2FWOS:000364164900044","View Full Record in Web of Science")</f>
        <v>View Full Record in Web of Science</v>
      </c>
    </row>
    <row r="885" spans="1:72" x14ac:dyDescent="0.15">
      <c r="A885" t="s">
        <v>72</v>
      </c>
      <c r="B885" t="s">
        <v>16522</v>
      </c>
      <c r="C885" t="s">
        <v>74</v>
      </c>
      <c r="D885" t="s">
        <v>74</v>
      </c>
      <c r="E885" t="s">
        <v>74</v>
      </c>
      <c r="F885" t="s">
        <v>16523</v>
      </c>
      <c r="G885" t="s">
        <v>74</v>
      </c>
      <c r="H885" t="s">
        <v>74</v>
      </c>
      <c r="I885" t="s">
        <v>16524</v>
      </c>
      <c r="J885" t="s">
        <v>16028</v>
      </c>
      <c r="K885" t="s">
        <v>74</v>
      </c>
      <c r="L885" t="s">
        <v>74</v>
      </c>
      <c r="M885" t="s">
        <v>200</v>
      </c>
      <c r="N885" t="s">
        <v>79</v>
      </c>
      <c r="O885" t="s">
        <v>74</v>
      </c>
      <c r="P885" t="s">
        <v>74</v>
      </c>
      <c r="Q885" t="s">
        <v>74</v>
      </c>
      <c r="R885" t="s">
        <v>74</v>
      </c>
      <c r="S885" t="s">
        <v>74</v>
      </c>
      <c r="T885" t="s">
        <v>16525</v>
      </c>
      <c r="U885" t="s">
        <v>16526</v>
      </c>
      <c r="V885" t="s">
        <v>16527</v>
      </c>
      <c r="W885" t="s">
        <v>16528</v>
      </c>
      <c r="X885" t="s">
        <v>7250</v>
      </c>
      <c r="Y885" t="s">
        <v>16529</v>
      </c>
      <c r="Z885" t="s">
        <v>16530</v>
      </c>
      <c r="AA885" t="s">
        <v>4791</v>
      </c>
      <c r="AB885" t="s">
        <v>16531</v>
      </c>
      <c r="AC885" t="s">
        <v>16532</v>
      </c>
      <c r="AD885" t="s">
        <v>16533</v>
      </c>
      <c r="AE885" t="s">
        <v>16534</v>
      </c>
      <c r="AF885" t="s">
        <v>74</v>
      </c>
      <c r="AG885">
        <v>45</v>
      </c>
      <c r="AH885">
        <v>53</v>
      </c>
      <c r="AI885">
        <v>61</v>
      </c>
      <c r="AJ885">
        <v>1</v>
      </c>
      <c r="AK885">
        <v>47</v>
      </c>
      <c r="AL885" t="s">
        <v>16037</v>
      </c>
      <c r="AM885" t="s">
        <v>1559</v>
      </c>
      <c r="AN885" t="s">
        <v>16038</v>
      </c>
      <c r="AO885" t="s">
        <v>16039</v>
      </c>
      <c r="AP885" t="s">
        <v>16535</v>
      </c>
      <c r="AQ885" t="s">
        <v>74</v>
      </c>
      <c r="AR885" t="s">
        <v>16040</v>
      </c>
      <c r="AS885" t="s">
        <v>16041</v>
      </c>
      <c r="AT885" t="s">
        <v>16517</v>
      </c>
      <c r="AU885">
        <v>2015</v>
      </c>
      <c r="AV885">
        <v>112</v>
      </c>
      <c r="AW885">
        <v>44</v>
      </c>
      <c r="AX885" t="s">
        <v>74</v>
      </c>
      <c r="AY885" t="s">
        <v>74</v>
      </c>
      <c r="AZ885" t="s">
        <v>74</v>
      </c>
      <c r="BA885" t="s">
        <v>74</v>
      </c>
      <c r="BB885">
        <v>13508</v>
      </c>
      <c r="BC885">
        <v>13513</v>
      </c>
      <c r="BD885" t="s">
        <v>74</v>
      </c>
      <c r="BE885" t="s">
        <v>16536</v>
      </c>
      <c r="BF885" t="str">
        <f>HYPERLINK("http://dx.doi.org/10.1073/pnas.1511186112","http://dx.doi.org/10.1073/pnas.1511186112")</f>
        <v>http://dx.doi.org/10.1073/pnas.1511186112</v>
      </c>
      <c r="BG885" t="s">
        <v>74</v>
      </c>
      <c r="BH885" t="s">
        <v>74</v>
      </c>
      <c r="BI885">
        <v>6</v>
      </c>
      <c r="BJ885" t="s">
        <v>3540</v>
      </c>
      <c r="BK885" t="s">
        <v>264</v>
      </c>
      <c r="BL885" t="s">
        <v>3541</v>
      </c>
      <c r="BM885" t="s">
        <v>16519</v>
      </c>
      <c r="BN885">
        <v>26460051</v>
      </c>
      <c r="BO885" t="s">
        <v>7618</v>
      </c>
      <c r="BP885" t="s">
        <v>74</v>
      </c>
      <c r="BQ885" t="s">
        <v>74</v>
      </c>
      <c r="BR885" t="s">
        <v>100</v>
      </c>
      <c r="BS885" t="s">
        <v>16537</v>
      </c>
      <c r="BT885" t="str">
        <f>HYPERLINK("https%3A%2F%2Fwww.webofscience.com%2Fwos%2Fwoscc%2Ffull-record%2FWOS:000364164900046","View Full Record in Web of Science")</f>
        <v>View Full Record in Web of Science</v>
      </c>
    </row>
    <row r="886" spans="1:72" x14ac:dyDescent="0.15">
      <c r="A886" t="s">
        <v>72</v>
      </c>
      <c r="B886" t="s">
        <v>16538</v>
      </c>
      <c r="C886" t="s">
        <v>74</v>
      </c>
      <c r="D886" t="s">
        <v>74</v>
      </c>
      <c r="E886" t="s">
        <v>74</v>
      </c>
      <c r="F886" t="s">
        <v>16539</v>
      </c>
      <c r="G886" t="s">
        <v>74</v>
      </c>
      <c r="H886" t="s">
        <v>74</v>
      </c>
      <c r="I886" t="s">
        <v>16540</v>
      </c>
      <c r="J886" t="s">
        <v>16541</v>
      </c>
      <c r="K886" t="s">
        <v>74</v>
      </c>
      <c r="L886" t="s">
        <v>74</v>
      </c>
      <c r="M886" t="s">
        <v>200</v>
      </c>
      <c r="N886" t="s">
        <v>79</v>
      </c>
      <c r="O886" t="s">
        <v>74</v>
      </c>
      <c r="P886" t="s">
        <v>74</v>
      </c>
      <c r="Q886" t="s">
        <v>74</v>
      </c>
      <c r="R886" t="s">
        <v>74</v>
      </c>
      <c r="S886" t="s">
        <v>74</v>
      </c>
      <c r="T886" t="s">
        <v>16542</v>
      </c>
      <c r="U886" t="s">
        <v>16543</v>
      </c>
      <c r="V886" t="s">
        <v>16544</v>
      </c>
      <c r="W886" t="s">
        <v>16545</v>
      </c>
      <c r="X886" t="s">
        <v>16546</v>
      </c>
      <c r="Y886" t="s">
        <v>16547</v>
      </c>
      <c r="Z886" t="s">
        <v>16548</v>
      </c>
      <c r="AA886" t="s">
        <v>16549</v>
      </c>
      <c r="AB886" t="s">
        <v>16550</v>
      </c>
      <c r="AC886" t="s">
        <v>16551</v>
      </c>
      <c r="AD886" t="s">
        <v>16552</v>
      </c>
      <c r="AE886" t="s">
        <v>16553</v>
      </c>
      <c r="AF886" t="s">
        <v>74</v>
      </c>
      <c r="AG886">
        <v>48</v>
      </c>
      <c r="AH886">
        <v>7</v>
      </c>
      <c r="AI886">
        <v>8</v>
      </c>
      <c r="AJ886">
        <v>1</v>
      </c>
      <c r="AK886">
        <v>78</v>
      </c>
      <c r="AL886" t="s">
        <v>2263</v>
      </c>
      <c r="AM886" t="s">
        <v>2264</v>
      </c>
      <c r="AN886" t="s">
        <v>2265</v>
      </c>
      <c r="AO886" t="s">
        <v>16554</v>
      </c>
      <c r="AP886" t="s">
        <v>16555</v>
      </c>
      <c r="AQ886" t="s">
        <v>74</v>
      </c>
      <c r="AR886" t="s">
        <v>16556</v>
      </c>
      <c r="AS886" t="s">
        <v>16557</v>
      </c>
      <c r="AT886" t="s">
        <v>16558</v>
      </c>
      <c r="AU886">
        <v>2015</v>
      </c>
      <c r="AV886">
        <v>50</v>
      </c>
      <c r="AW886">
        <v>16</v>
      </c>
      <c r="AX886" t="s">
        <v>74</v>
      </c>
      <c r="AY886" t="s">
        <v>74</v>
      </c>
      <c r="AZ886" t="s">
        <v>74</v>
      </c>
      <c r="BA886" t="s">
        <v>74</v>
      </c>
      <c r="BB886">
        <v>2427</v>
      </c>
      <c r="BC886">
        <v>2435</v>
      </c>
      <c r="BD886" t="s">
        <v>74</v>
      </c>
      <c r="BE886" t="s">
        <v>16559</v>
      </c>
      <c r="BF886" t="str">
        <f>HYPERLINK("http://dx.doi.org/10.1080/01496395.2015.1058822","http://dx.doi.org/10.1080/01496395.2015.1058822")</f>
        <v>http://dx.doi.org/10.1080/01496395.2015.1058822</v>
      </c>
      <c r="BG886" t="s">
        <v>74</v>
      </c>
      <c r="BH886" t="s">
        <v>74</v>
      </c>
      <c r="BI886">
        <v>9</v>
      </c>
      <c r="BJ886" t="s">
        <v>16560</v>
      </c>
      <c r="BK886" t="s">
        <v>264</v>
      </c>
      <c r="BL886" t="s">
        <v>16561</v>
      </c>
      <c r="BM886" t="s">
        <v>16562</v>
      </c>
      <c r="BN886" t="s">
        <v>74</v>
      </c>
      <c r="BO886" t="s">
        <v>74</v>
      </c>
      <c r="BP886" t="s">
        <v>74</v>
      </c>
      <c r="BQ886" t="s">
        <v>74</v>
      </c>
      <c r="BR886" t="s">
        <v>100</v>
      </c>
      <c r="BS886" t="s">
        <v>16563</v>
      </c>
      <c r="BT886" t="str">
        <f>HYPERLINK("https%3A%2F%2Fwww.webofscience.com%2Fwos%2Fwoscc%2Ffull-record%2FWOS:000362718500001","View Full Record in Web of Science")</f>
        <v>View Full Record in Web of Science</v>
      </c>
    </row>
    <row r="887" spans="1:72" x14ac:dyDescent="0.15">
      <c r="A887" t="s">
        <v>72</v>
      </c>
      <c r="B887" t="s">
        <v>16564</v>
      </c>
      <c r="C887" t="s">
        <v>74</v>
      </c>
      <c r="D887" t="s">
        <v>74</v>
      </c>
      <c r="E887" t="s">
        <v>74</v>
      </c>
      <c r="F887" t="s">
        <v>16565</v>
      </c>
      <c r="G887" t="s">
        <v>74</v>
      </c>
      <c r="H887" t="s">
        <v>74</v>
      </c>
      <c r="I887" t="s">
        <v>16566</v>
      </c>
      <c r="J887" t="s">
        <v>16567</v>
      </c>
      <c r="K887" t="s">
        <v>74</v>
      </c>
      <c r="L887" t="s">
        <v>74</v>
      </c>
      <c r="M887" t="s">
        <v>200</v>
      </c>
      <c r="N887" t="s">
        <v>79</v>
      </c>
      <c r="O887" t="s">
        <v>74</v>
      </c>
      <c r="P887" t="s">
        <v>74</v>
      </c>
      <c r="Q887" t="s">
        <v>74</v>
      </c>
      <c r="R887" t="s">
        <v>74</v>
      </c>
      <c r="S887" t="s">
        <v>74</v>
      </c>
      <c r="T887" t="s">
        <v>16568</v>
      </c>
      <c r="U887" t="s">
        <v>16569</v>
      </c>
      <c r="V887" t="s">
        <v>16570</v>
      </c>
      <c r="W887" t="s">
        <v>16571</v>
      </c>
      <c r="X887" t="s">
        <v>16572</v>
      </c>
      <c r="Y887" t="s">
        <v>16573</v>
      </c>
      <c r="Z887" t="s">
        <v>16574</v>
      </c>
      <c r="AA887" t="s">
        <v>443</v>
      </c>
      <c r="AB887" t="s">
        <v>16575</v>
      </c>
      <c r="AC887" t="s">
        <v>16576</v>
      </c>
      <c r="AD887" t="s">
        <v>16577</v>
      </c>
      <c r="AE887" t="s">
        <v>16578</v>
      </c>
      <c r="AF887" t="s">
        <v>74</v>
      </c>
      <c r="AG887">
        <v>26</v>
      </c>
      <c r="AH887">
        <v>2</v>
      </c>
      <c r="AI887">
        <v>2</v>
      </c>
      <c r="AJ887">
        <v>0</v>
      </c>
      <c r="AK887">
        <v>14</v>
      </c>
      <c r="AL887" t="s">
        <v>502</v>
      </c>
      <c r="AM887" t="s">
        <v>503</v>
      </c>
      <c r="AN887" t="s">
        <v>504</v>
      </c>
      <c r="AO887" t="s">
        <v>16579</v>
      </c>
      <c r="AP887" t="s">
        <v>16580</v>
      </c>
      <c r="AQ887" t="s">
        <v>74</v>
      </c>
      <c r="AR887" t="s">
        <v>16581</v>
      </c>
      <c r="AS887" t="s">
        <v>16582</v>
      </c>
      <c r="AT887" t="s">
        <v>16558</v>
      </c>
      <c r="AU887">
        <v>2015</v>
      </c>
      <c r="AV887">
        <v>48</v>
      </c>
      <c r="AW887">
        <v>6</v>
      </c>
      <c r="AX887" t="s">
        <v>74</v>
      </c>
      <c r="AY887" t="s">
        <v>74</v>
      </c>
      <c r="AZ887" t="s">
        <v>74</v>
      </c>
      <c r="BA887" t="s">
        <v>74</v>
      </c>
      <c r="BB887">
        <v>455</v>
      </c>
      <c r="BC887">
        <v>466</v>
      </c>
      <c r="BD887" t="s">
        <v>74</v>
      </c>
      <c r="BE887" t="s">
        <v>16583</v>
      </c>
      <c r="BF887" t="str">
        <f>HYPERLINK("http://dx.doi.org/10.1080/10236244.2015.1073455","http://dx.doi.org/10.1080/10236244.2015.1073455")</f>
        <v>http://dx.doi.org/10.1080/10236244.2015.1073455</v>
      </c>
      <c r="BG887" t="s">
        <v>74</v>
      </c>
      <c r="BH887" t="s">
        <v>74</v>
      </c>
      <c r="BI887">
        <v>12</v>
      </c>
      <c r="BJ887" t="s">
        <v>1479</v>
      </c>
      <c r="BK887" t="s">
        <v>264</v>
      </c>
      <c r="BL887" t="s">
        <v>1479</v>
      </c>
      <c r="BM887" t="s">
        <v>16584</v>
      </c>
      <c r="BN887" t="s">
        <v>74</v>
      </c>
      <c r="BO887" t="s">
        <v>431</v>
      </c>
      <c r="BP887" t="s">
        <v>74</v>
      </c>
      <c r="BQ887" t="s">
        <v>74</v>
      </c>
      <c r="BR887" t="s">
        <v>100</v>
      </c>
      <c r="BS887" t="s">
        <v>16585</v>
      </c>
      <c r="BT887" t="str">
        <f>HYPERLINK("https%3A%2F%2Fwww.webofscience.com%2Fwos%2Fwoscc%2Ffull-record%2FWOS:000363017900001","View Full Record in Web of Science")</f>
        <v>View Full Record in Web of Science</v>
      </c>
    </row>
    <row r="888" spans="1:72" x14ac:dyDescent="0.15">
      <c r="A888" t="s">
        <v>72</v>
      </c>
      <c r="B888" t="s">
        <v>16586</v>
      </c>
      <c r="C888" t="s">
        <v>74</v>
      </c>
      <c r="D888" t="s">
        <v>74</v>
      </c>
      <c r="E888" t="s">
        <v>74</v>
      </c>
      <c r="F888" t="s">
        <v>16587</v>
      </c>
      <c r="G888" t="s">
        <v>74</v>
      </c>
      <c r="H888" t="s">
        <v>74</v>
      </c>
      <c r="I888" t="s">
        <v>16588</v>
      </c>
      <c r="J888" t="s">
        <v>16589</v>
      </c>
      <c r="K888" t="s">
        <v>74</v>
      </c>
      <c r="L888" t="s">
        <v>74</v>
      </c>
      <c r="M888" t="s">
        <v>200</v>
      </c>
      <c r="N888" t="s">
        <v>79</v>
      </c>
      <c r="O888" t="s">
        <v>74</v>
      </c>
      <c r="P888" t="s">
        <v>74</v>
      </c>
      <c r="Q888" t="s">
        <v>74</v>
      </c>
      <c r="R888" t="s">
        <v>74</v>
      </c>
      <c r="S888" t="s">
        <v>74</v>
      </c>
      <c r="T888" t="s">
        <v>16590</v>
      </c>
      <c r="U888" t="s">
        <v>16591</v>
      </c>
      <c r="V888" t="s">
        <v>16592</v>
      </c>
      <c r="W888" t="s">
        <v>16593</v>
      </c>
      <c r="X888" t="s">
        <v>16594</v>
      </c>
      <c r="Y888" t="s">
        <v>16595</v>
      </c>
      <c r="Z888" t="s">
        <v>16596</v>
      </c>
      <c r="AA888" t="s">
        <v>16597</v>
      </c>
      <c r="AB888" t="s">
        <v>16598</v>
      </c>
      <c r="AC888" t="s">
        <v>16599</v>
      </c>
      <c r="AD888" t="s">
        <v>16600</v>
      </c>
      <c r="AE888" t="s">
        <v>16601</v>
      </c>
      <c r="AF888" t="s">
        <v>74</v>
      </c>
      <c r="AG888">
        <v>68</v>
      </c>
      <c r="AH888">
        <v>16</v>
      </c>
      <c r="AI888">
        <v>16</v>
      </c>
      <c r="AJ888">
        <v>0</v>
      </c>
      <c r="AK888">
        <v>23</v>
      </c>
      <c r="AL888" t="s">
        <v>502</v>
      </c>
      <c r="AM888" t="s">
        <v>503</v>
      </c>
      <c r="AN888" t="s">
        <v>504</v>
      </c>
      <c r="AO888" t="s">
        <v>16602</v>
      </c>
      <c r="AP888" t="s">
        <v>16603</v>
      </c>
      <c r="AQ888" t="s">
        <v>74</v>
      </c>
      <c r="AR888" t="s">
        <v>16604</v>
      </c>
      <c r="AS888" t="s">
        <v>16605</v>
      </c>
      <c r="AT888" t="s">
        <v>16558</v>
      </c>
      <c r="AU888">
        <v>2015</v>
      </c>
      <c r="AV888">
        <v>13</v>
      </c>
      <c r="AW888">
        <v>6</v>
      </c>
      <c r="AX888" t="s">
        <v>74</v>
      </c>
      <c r="AY888" t="s">
        <v>74</v>
      </c>
      <c r="AZ888" t="s">
        <v>74</v>
      </c>
      <c r="BA888" t="s">
        <v>74</v>
      </c>
      <c r="BB888">
        <v>845</v>
      </c>
      <c r="BC888">
        <v>864</v>
      </c>
      <c r="BD888" t="s">
        <v>74</v>
      </c>
      <c r="BE888" t="s">
        <v>16606</v>
      </c>
      <c r="BF888" t="str">
        <f>HYPERLINK("http://dx.doi.org/10.1080/14772000.2015.1049673","http://dx.doi.org/10.1080/14772000.2015.1049673")</f>
        <v>http://dx.doi.org/10.1080/14772000.2015.1049673</v>
      </c>
      <c r="BG888" t="s">
        <v>74</v>
      </c>
      <c r="BH888" t="s">
        <v>74</v>
      </c>
      <c r="BI888">
        <v>20</v>
      </c>
      <c r="BJ888" t="s">
        <v>16607</v>
      </c>
      <c r="BK888" t="s">
        <v>264</v>
      </c>
      <c r="BL888" t="s">
        <v>16608</v>
      </c>
      <c r="BM888" t="s">
        <v>16609</v>
      </c>
      <c r="BN888" t="s">
        <v>74</v>
      </c>
      <c r="BO888" t="s">
        <v>403</v>
      </c>
      <c r="BP888" t="s">
        <v>74</v>
      </c>
      <c r="BQ888" t="s">
        <v>74</v>
      </c>
      <c r="BR888" t="s">
        <v>100</v>
      </c>
      <c r="BS888" t="s">
        <v>16610</v>
      </c>
      <c r="BT888" t="str">
        <f>HYPERLINK("https%3A%2F%2Fwww.webofscience.com%2Fwos%2Fwoscc%2Ffull-record%2FWOS:000365676800002","View Full Record in Web of Science")</f>
        <v>View Full Record in Web of Science</v>
      </c>
    </row>
    <row r="889" spans="1:72" x14ac:dyDescent="0.15">
      <c r="A889" t="s">
        <v>72</v>
      </c>
      <c r="B889" t="s">
        <v>16611</v>
      </c>
      <c r="C889" t="s">
        <v>74</v>
      </c>
      <c r="D889" t="s">
        <v>74</v>
      </c>
      <c r="E889" t="s">
        <v>74</v>
      </c>
      <c r="F889" t="s">
        <v>16612</v>
      </c>
      <c r="G889" t="s">
        <v>74</v>
      </c>
      <c r="H889" t="s">
        <v>74</v>
      </c>
      <c r="I889" t="s">
        <v>16613</v>
      </c>
      <c r="J889" t="s">
        <v>16614</v>
      </c>
      <c r="K889" t="s">
        <v>74</v>
      </c>
      <c r="L889" t="s">
        <v>74</v>
      </c>
      <c r="M889" t="s">
        <v>200</v>
      </c>
      <c r="N889" t="s">
        <v>79</v>
      </c>
      <c r="O889" t="s">
        <v>74</v>
      </c>
      <c r="P889" t="s">
        <v>74</v>
      </c>
      <c r="Q889" t="s">
        <v>74</v>
      </c>
      <c r="R889" t="s">
        <v>74</v>
      </c>
      <c r="S889" t="s">
        <v>74</v>
      </c>
      <c r="T889" t="s">
        <v>16615</v>
      </c>
      <c r="U889" t="s">
        <v>16616</v>
      </c>
      <c r="V889" t="s">
        <v>16617</v>
      </c>
      <c r="W889" t="s">
        <v>16618</v>
      </c>
      <c r="X889" t="s">
        <v>16619</v>
      </c>
      <c r="Y889" t="s">
        <v>16620</v>
      </c>
      <c r="Z889" t="s">
        <v>16621</v>
      </c>
      <c r="AA889" t="s">
        <v>16622</v>
      </c>
      <c r="AB889" t="s">
        <v>16623</v>
      </c>
      <c r="AC889" t="s">
        <v>16624</v>
      </c>
      <c r="AD889" t="s">
        <v>16624</v>
      </c>
      <c r="AE889" t="s">
        <v>16625</v>
      </c>
      <c r="AF889" t="s">
        <v>74</v>
      </c>
      <c r="AG889">
        <v>55</v>
      </c>
      <c r="AH889">
        <v>4</v>
      </c>
      <c r="AI889">
        <v>4</v>
      </c>
      <c r="AJ889">
        <v>0</v>
      </c>
      <c r="AK889">
        <v>2</v>
      </c>
      <c r="AL889" t="s">
        <v>16626</v>
      </c>
      <c r="AM889" t="s">
        <v>16627</v>
      </c>
      <c r="AN889" t="s">
        <v>16628</v>
      </c>
      <c r="AO889" t="s">
        <v>16629</v>
      </c>
      <c r="AP889" t="s">
        <v>16630</v>
      </c>
      <c r="AQ889" t="s">
        <v>74</v>
      </c>
      <c r="AR889" t="s">
        <v>16631</v>
      </c>
      <c r="AS889" t="s">
        <v>16632</v>
      </c>
      <c r="AT889" t="s">
        <v>16633</v>
      </c>
      <c r="AU889">
        <v>2015</v>
      </c>
      <c r="AV889">
        <v>44</v>
      </c>
      <c r="AW889">
        <v>11</v>
      </c>
      <c r="AX889" t="s">
        <v>74</v>
      </c>
      <c r="AY889" t="s">
        <v>74</v>
      </c>
      <c r="AZ889" t="s">
        <v>74</v>
      </c>
      <c r="BA889" t="s">
        <v>74</v>
      </c>
      <c r="BB889">
        <v>1697</v>
      </c>
      <c r="BC889">
        <v>1711</v>
      </c>
      <c r="BD889" t="s">
        <v>74</v>
      </c>
      <c r="BE889" t="s">
        <v>74</v>
      </c>
      <c r="BF889" t="s">
        <v>74</v>
      </c>
      <c r="BG889" t="s">
        <v>74</v>
      </c>
      <c r="BH889" t="s">
        <v>74</v>
      </c>
      <c r="BI889">
        <v>15</v>
      </c>
      <c r="BJ889" t="s">
        <v>5339</v>
      </c>
      <c r="BK889" t="s">
        <v>264</v>
      </c>
      <c r="BL889" t="s">
        <v>5339</v>
      </c>
      <c r="BM889" t="s">
        <v>16634</v>
      </c>
      <c r="BN889" t="s">
        <v>74</v>
      </c>
      <c r="BO889" t="s">
        <v>74</v>
      </c>
      <c r="BP889" t="s">
        <v>74</v>
      </c>
      <c r="BQ889" t="s">
        <v>74</v>
      </c>
      <c r="BR889" t="s">
        <v>100</v>
      </c>
      <c r="BS889" t="s">
        <v>16635</v>
      </c>
      <c r="BT889" t="str">
        <f>HYPERLINK("https%3A%2F%2Fwww.webofscience.com%2Fwos%2Fwoscc%2Ffull-record%2FWOS:000379887500005","View Full Record in Web of Science")</f>
        <v>View Full Record in Web of Science</v>
      </c>
    </row>
    <row r="890" spans="1:72" x14ac:dyDescent="0.15">
      <c r="A890" t="s">
        <v>72</v>
      </c>
      <c r="B890" t="s">
        <v>16636</v>
      </c>
      <c r="C890" t="s">
        <v>74</v>
      </c>
      <c r="D890" t="s">
        <v>74</v>
      </c>
      <c r="E890" t="s">
        <v>74</v>
      </c>
      <c r="F890" t="s">
        <v>16637</v>
      </c>
      <c r="G890" t="s">
        <v>74</v>
      </c>
      <c r="H890" t="s">
        <v>74</v>
      </c>
      <c r="I890" t="s">
        <v>16638</v>
      </c>
      <c r="J890" t="s">
        <v>16639</v>
      </c>
      <c r="K890" t="s">
        <v>74</v>
      </c>
      <c r="L890" t="s">
        <v>74</v>
      </c>
      <c r="M890" t="s">
        <v>200</v>
      </c>
      <c r="N890" t="s">
        <v>79</v>
      </c>
      <c r="O890" t="s">
        <v>74</v>
      </c>
      <c r="P890" t="s">
        <v>74</v>
      </c>
      <c r="Q890" t="s">
        <v>74</v>
      </c>
      <c r="R890" t="s">
        <v>74</v>
      </c>
      <c r="S890" t="s">
        <v>74</v>
      </c>
      <c r="T890" t="s">
        <v>74</v>
      </c>
      <c r="U890" t="s">
        <v>16640</v>
      </c>
      <c r="V890" t="s">
        <v>16641</v>
      </c>
      <c r="W890" t="s">
        <v>16642</v>
      </c>
      <c r="X890" t="s">
        <v>16643</v>
      </c>
      <c r="Y890" t="s">
        <v>16644</v>
      </c>
      <c r="Z890" t="s">
        <v>16645</v>
      </c>
      <c r="AA890" t="s">
        <v>16646</v>
      </c>
      <c r="AB890" t="s">
        <v>16647</v>
      </c>
      <c r="AC890" t="s">
        <v>16648</v>
      </c>
      <c r="AD890" t="s">
        <v>3367</v>
      </c>
      <c r="AE890" t="s">
        <v>16649</v>
      </c>
      <c r="AF890" t="s">
        <v>74</v>
      </c>
      <c r="AG890">
        <v>63</v>
      </c>
      <c r="AH890">
        <v>10</v>
      </c>
      <c r="AI890">
        <v>13</v>
      </c>
      <c r="AJ890">
        <v>0</v>
      </c>
      <c r="AK890">
        <v>11</v>
      </c>
      <c r="AL890" t="s">
        <v>2410</v>
      </c>
      <c r="AM890" t="s">
        <v>1559</v>
      </c>
      <c r="AN890" t="s">
        <v>2411</v>
      </c>
      <c r="AO890" t="s">
        <v>16650</v>
      </c>
      <c r="AP890" t="s">
        <v>16651</v>
      </c>
      <c r="AQ890" t="s">
        <v>74</v>
      </c>
      <c r="AR890" t="s">
        <v>16652</v>
      </c>
      <c r="AS890" t="s">
        <v>16653</v>
      </c>
      <c r="AT890" t="s">
        <v>16633</v>
      </c>
      <c r="AU890">
        <v>2015</v>
      </c>
      <c r="AV890">
        <v>120</v>
      </c>
      <c r="AW890">
        <v>11</v>
      </c>
      <c r="AX890" t="s">
        <v>74</v>
      </c>
      <c r="AY890" t="s">
        <v>74</v>
      </c>
      <c r="AZ890" t="s">
        <v>74</v>
      </c>
      <c r="BA890" t="s">
        <v>74</v>
      </c>
      <c r="BB890">
        <v>2237</v>
      </c>
      <c r="BC890">
        <v>2252</v>
      </c>
      <c r="BD890" t="s">
        <v>74</v>
      </c>
      <c r="BE890" t="s">
        <v>16654</v>
      </c>
      <c r="BF890" t="str">
        <f>HYPERLINK("http://dx.doi.org/10.1002/2015JF003658","http://dx.doi.org/10.1002/2015JF003658")</f>
        <v>http://dx.doi.org/10.1002/2015JF003658</v>
      </c>
      <c r="BG890" t="s">
        <v>74</v>
      </c>
      <c r="BH890" t="s">
        <v>74</v>
      </c>
      <c r="BI890">
        <v>16</v>
      </c>
      <c r="BJ890" t="s">
        <v>95</v>
      </c>
      <c r="BK890" t="s">
        <v>264</v>
      </c>
      <c r="BL890" t="s">
        <v>97</v>
      </c>
      <c r="BM890" t="s">
        <v>16655</v>
      </c>
      <c r="BN890" t="s">
        <v>74</v>
      </c>
      <c r="BO890" t="s">
        <v>486</v>
      </c>
      <c r="BP890" t="s">
        <v>74</v>
      </c>
      <c r="BQ890" t="s">
        <v>74</v>
      </c>
      <c r="BR890" t="s">
        <v>100</v>
      </c>
      <c r="BS890" t="s">
        <v>16656</v>
      </c>
      <c r="BT890" t="str">
        <f>HYPERLINK("https%3A%2F%2Fwww.webofscience.com%2Fwos%2Fwoscc%2Ffull-record%2FWOS:000369944300001","View Full Record in Web of Science")</f>
        <v>View Full Record in Web of Science</v>
      </c>
    </row>
    <row r="891" spans="1:72" x14ac:dyDescent="0.15">
      <c r="A891" t="s">
        <v>72</v>
      </c>
      <c r="B891" t="s">
        <v>16657</v>
      </c>
      <c r="C891" t="s">
        <v>74</v>
      </c>
      <c r="D891" t="s">
        <v>74</v>
      </c>
      <c r="E891" t="s">
        <v>74</v>
      </c>
      <c r="F891" t="s">
        <v>16658</v>
      </c>
      <c r="G891" t="s">
        <v>74</v>
      </c>
      <c r="H891" t="s">
        <v>74</v>
      </c>
      <c r="I891" t="s">
        <v>16659</v>
      </c>
      <c r="J891" t="s">
        <v>16660</v>
      </c>
      <c r="K891" t="s">
        <v>74</v>
      </c>
      <c r="L891" t="s">
        <v>74</v>
      </c>
      <c r="M891" t="s">
        <v>200</v>
      </c>
      <c r="N891" t="s">
        <v>79</v>
      </c>
      <c r="O891" t="s">
        <v>74</v>
      </c>
      <c r="P891" t="s">
        <v>74</v>
      </c>
      <c r="Q891" t="s">
        <v>74</v>
      </c>
      <c r="R891" t="s">
        <v>74</v>
      </c>
      <c r="S891" t="s">
        <v>74</v>
      </c>
      <c r="T891" t="s">
        <v>74</v>
      </c>
      <c r="U891" t="s">
        <v>16661</v>
      </c>
      <c r="V891" t="s">
        <v>16662</v>
      </c>
      <c r="W891" t="s">
        <v>16663</v>
      </c>
      <c r="X891" t="s">
        <v>16664</v>
      </c>
      <c r="Y891" t="s">
        <v>16665</v>
      </c>
      <c r="Z891" t="s">
        <v>16666</v>
      </c>
      <c r="AA891" t="s">
        <v>16667</v>
      </c>
      <c r="AB891" t="s">
        <v>16668</v>
      </c>
      <c r="AC891" t="s">
        <v>16669</v>
      </c>
      <c r="AD891" t="s">
        <v>16670</v>
      </c>
      <c r="AE891" t="s">
        <v>16671</v>
      </c>
      <c r="AF891" t="s">
        <v>74</v>
      </c>
      <c r="AG891">
        <v>67</v>
      </c>
      <c r="AH891">
        <v>5</v>
      </c>
      <c r="AI891">
        <v>5</v>
      </c>
      <c r="AJ891">
        <v>0</v>
      </c>
      <c r="AK891">
        <v>22</v>
      </c>
      <c r="AL891" t="s">
        <v>16672</v>
      </c>
      <c r="AM891" t="s">
        <v>16673</v>
      </c>
      <c r="AN891" t="s">
        <v>16674</v>
      </c>
      <c r="AO891" t="s">
        <v>16675</v>
      </c>
      <c r="AP891" t="s">
        <v>16676</v>
      </c>
      <c r="AQ891" t="s">
        <v>74</v>
      </c>
      <c r="AR891" t="s">
        <v>16677</v>
      </c>
      <c r="AS891" t="s">
        <v>16678</v>
      </c>
      <c r="AT891" t="s">
        <v>16633</v>
      </c>
      <c r="AU891">
        <v>2015</v>
      </c>
      <c r="AV891">
        <v>81</v>
      </c>
      <c r="AW891">
        <v>11</v>
      </c>
      <c r="AX891" t="s">
        <v>74</v>
      </c>
      <c r="AY891" t="s">
        <v>74</v>
      </c>
      <c r="AZ891" t="s">
        <v>74</v>
      </c>
      <c r="BA891" t="s">
        <v>74</v>
      </c>
      <c r="BB891">
        <v>861</v>
      </c>
      <c r="BC891">
        <v>872</v>
      </c>
      <c r="BD891" t="s">
        <v>74</v>
      </c>
      <c r="BE891" t="s">
        <v>16679</v>
      </c>
      <c r="BF891" t="str">
        <f>HYPERLINK("http://dx.doi.org/10.14358/PERS.81.11.861","http://dx.doi.org/10.14358/PERS.81.11.861")</f>
        <v>http://dx.doi.org/10.14358/PERS.81.11.861</v>
      </c>
      <c r="BG891" t="s">
        <v>74</v>
      </c>
      <c r="BH891" t="s">
        <v>74</v>
      </c>
      <c r="BI891">
        <v>12</v>
      </c>
      <c r="BJ891" t="s">
        <v>1319</v>
      </c>
      <c r="BK891" t="s">
        <v>264</v>
      </c>
      <c r="BL891" t="s">
        <v>1320</v>
      </c>
      <c r="BM891" t="s">
        <v>16680</v>
      </c>
      <c r="BN891" t="s">
        <v>74</v>
      </c>
      <c r="BO891" t="s">
        <v>5581</v>
      </c>
      <c r="BP891" t="s">
        <v>74</v>
      </c>
      <c r="BQ891" t="s">
        <v>74</v>
      </c>
      <c r="BR891" t="s">
        <v>100</v>
      </c>
      <c r="BS891" t="s">
        <v>16681</v>
      </c>
      <c r="BT891" t="str">
        <f>HYPERLINK("https%3A%2F%2Fwww.webofscience.com%2Fwos%2Fwoscc%2Ffull-record%2FWOS:000369778500006","View Full Record in Web of Science")</f>
        <v>View Full Record in Web of Science</v>
      </c>
    </row>
    <row r="892" spans="1:72" x14ac:dyDescent="0.15">
      <c r="A892" t="s">
        <v>72</v>
      </c>
      <c r="B892" t="s">
        <v>16682</v>
      </c>
      <c r="C892" t="s">
        <v>74</v>
      </c>
      <c r="D892" t="s">
        <v>74</v>
      </c>
      <c r="E892" t="s">
        <v>74</v>
      </c>
      <c r="F892" t="s">
        <v>16683</v>
      </c>
      <c r="G892" t="s">
        <v>74</v>
      </c>
      <c r="H892" t="s">
        <v>74</v>
      </c>
      <c r="I892" t="s">
        <v>16684</v>
      </c>
      <c r="J892" t="s">
        <v>16685</v>
      </c>
      <c r="K892" t="s">
        <v>74</v>
      </c>
      <c r="L892" t="s">
        <v>74</v>
      </c>
      <c r="M892" t="s">
        <v>200</v>
      </c>
      <c r="N892" t="s">
        <v>79</v>
      </c>
      <c r="O892" t="s">
        <v>74</v>
      </c>
      <c r="P892" t="s">
        <v>74</v>
      </c>
      <c r="Q892" t="s">
        <v>74</v>
      </c>
      <c r="R892" t="s">
        <v>74</v>
      </c>
      <c r="S892" t="s">
        <v>74</v>
      </c>
      <c r="T892" t="s">
        <v>74</v>
      </c>
      <c r="U892" t="s">
        <v>16686</v>
      </c>
      <c r="V892" t="s">
        <v>16687</v>
      </c>
      <c r="W892" t="s">
        <v>16688</v>
      </c>
      <c r="X892" t="s">
        <v>16689</v>
      </c>
      <c r="Y892" t="s">
        <v>16690</v>
      </c>
      <c r="Z892" t="s">
        <v>16691</v>
      </c>
      <c r="AA892" t="s">
        <v>16692</v>
      </c>
      <c r="AB892" t="s">
        <v>16693</v>
      </c>
      <c r="AC892" t="s">
        <v>16694</v>
      </c>
      <c r="AD892" t="s">
        <v>16695</v>
      </c>
      <c r="AE892" t="s">
        <v>16696</v>
      </c>
      <c r="AF892" t="s">
        <v>74</v>
      </c>
      <c r="AG892">
        <v>85</v>
      </c>
      <c r="AH892">
        <v>16</v>
      </c>
      <c r="AI892">
        <v>16</v>
      </c>
      <c r="AJ892">
        <v>1</v>
      </c>
      <c r="AK892">
        <v>49</v>
      </c>
      <c r="AL892" t="s">
        <v>2410</v>
      </c>
      <c r="AM892" t="s">
        <v>1559</v>
      </c>
      <c r="AN892" t="s">
        <v>2411</v>
      </c>
      <c r="AO892" t="s">
        <v>16697</v>
      </c>
      <c r="AP892" t="s">
        <v>16698</v>
      </c>
      <c r="AQ892" t="s">
        <v>74</v>
      </c>
      <c r="AR892" t="s">
        <v>16699</v>
      </c>
      <c r="AS892" t="s">
        <v>16700</v>
      </c>
      <c r="AT892" t="s">
        <v>16633</v>
      </c>
      <c r="AU892">
        <v>2015</v>
      </c>
      <c r="AV892">
        <v>29</v>
      </c>
      <c r="AW892">
        <v>11</v>
      </c>
      <c r="AX892" t="s">
        <v>74</v>
      </c>
      <c r="AY892" t="s">
        <v>74</v>
      </c>
      <c r="AZ892" t="s">
        <v>74</v>
      </c>
      <c r="BA892" t="s">
        <v>74</v>
      </c>
      <c r="BB892">
        <v>1929</v>
      </c>
      <c r="BC892">
        <v>1943</v>
      </c>
      <c r="BD892" t="s">
        <v>74</v>
      </c>
      <c r="BE892" t="s">
        <v>16701</v>
      </c>
      <c r="BF892" t="str">
        <f>HYPERLINK("http://dx.doi.org/10.1002/2014GB005051","http://dx.doi.org/10.1002/2014GB005051")</f>
        <v>http://dx.doi.org/10.1002/2014GB005051</v>
      </c>
      <c r="BG892" t="s">
        <v>74</v>
      </c>
      <c r="BH892" t="s">
        <v>74</v>
      </c>
      <c r="BI892">
        <v>15</v>
      </c>
      <c r="BJ892" t="s">
        <v>16702</v>
      </c>
      <c r="BK892" t="s">
        <v>264</v>
      </c>
      <c r="BL892" t="s">
        <v>16703</v>
      </c>
      <c r="BM892" t="s">
        <v>16704</v>
      </c>
      <c r="BN892" t="s">
        <v>74</v>
      </c>
      <c r="BO892" t="s">
        <v>16705</v>
      </c>
      <c r="BP892" t="s">
        <v>74</v>
      </c>
      <c r="BQ892" t="s">
        <v>74</v>
      </c>
      <c r="BR892" t="s">
        <v>100</v>
      </c>
      <c r="BS892" t="s">
        <v>16706</v>
      </c>
      <c r="BT892" t="str">
        <f>HYPERLINK("https%3A%2F%2Fwww.webofscience.com%2Fwos%2Fwoscc%2Ffull-record%2FWOS:000368907500005","View Full Record in Web of Science")</f>
        <v>View Full Record in Web of Science</v>
      </c>
    </row>
    <row r="893" spans="1:72" x14ac:dyDescent="0.15">
      <c r="A893" t="s">
        <v>72</v>
      </c>
      <c r="B893" t="s">
        <v>16707</v>
      </c>
      <c r="C893" t="s">
        <v>74</v>
      </c>
      <c r="D893" t="s">
        <v>74</v>
      </c>
      <c r="E893" t="s">
        <v>74</v>
      </c>
      <c r="F893" t="s">
        <v>16708</v>
      </c>
      <c r="G893" t="s">
        <v>74</v>
      </c>
      <c r="H893" t="s">
        <v>74</v>
      </c>
      <c r="I893" t="s">
        <v>16709</v>
      </c>
      <c r="J893" t="s">
        <v>16710</v>
      </c>
      <c r="K893" t="s">
        <v>74</v>
      </c>
      <c r="L893" t="s">
        <v>74</v>
      </c>
      <c r="M893" t="s">
        <v>200</v>
      </c>
      <c r="N893" t="s">
        <v>1639</v>
      </c>
      <c r="O893" t="s">
        <v>16711</v>
      </c>
      <c r="P893" t="s">
        <v>16712</v>
      </c>
      <c r="Q893" t="s">
        <v>1330</v>
      </c>
      <c r="R893" t="s">
        <v>74</v>
      </c>
      <c r="S893" t="s">
        <v>74</v>
      </c>
      <c r="T893" t="s">
        <v>74</v>
      </c>
      <c r="U893" t="s">
        <v>16713</v>
      </c>
      <c r="V893" t="s">
        <v>16714</v>
      </c>
      <c r="W893" t="s">
        <v>16715</v>
      </c>
      <c r="X893" t="s">
        <v>16716</v>
      </c>
      <c r="Y893" t="s">
        <v>16717</v>
      </c>
      <c r="Z893" t="s">
        <v>16718</v>
      </c>
      <c r="AA893" t="s">
        <v>16719</v>
      </c>
      <c r="AB893" t="s">
        <v>16720</v>
      </c>
      <c r="AC893" t="s">
        <v>16721</v>
      </c>
      <c r="AD893" t="s">
        <v>16722</v>
      </c>
      <c r="AE893" t="s">
        <v>16723</v>
      </c>
      <c r="AF893" t="s">
        <v>74</v>
      </c>
      <c r="AG893">
        <v>105</v>
      </c>
      <c r="AH893">
        <v>37</v>
      </c>
      <c r="AI893">
        <v>41</v>
      </c>
      <c r="AJ893">
        <v>2</v>
      </c>
      <c r="AK893">
        <v>41</v>
      </c>
      <c r="AL893" t="s">
        <v>2410</v>
      </c>
      <c r="AM893" t="s">
        <v>1559</v>
      </c>
      <c r="AN893" t="s">
        <v>2411</v>
      </c>
      <c r="AO893" t="s">
        <v>16724</v>
      </c>
      <c r="AP893" t="s">
        <v>16725</v>
      </c>
      <c r="AQ893" t="s">
        <v>74</v>
      </c>
      <c r="AR893" t="s">
        <v>16726</v>
      </c>
      <c r="AS893" t="s">
        <v>16727</v>
      </c>
      <c r="AT893" t="s">
        <v>16633</v>
      </c>
      <c r="AU893">
        <v>2015</v>
      </c>
      <c r="AV893">
        <v>120</v>
      </c>
      <c r="AW893">
        <v>11</v>
      </c>
      <c r="AX893" t="s">
        <v>74</v>
      </c>
      <c r="AY893" t="s">
        <v>74</v>
      </c>
      <c r="AZ893" t="s">
        <v>74</v>
      </c>
      <c r="BA893" t="s">
        <v>74</v>
      </c>
      <c r="BB893">
        <v>2158</v>
      </c>
      <c r="BC893">
        <v>2177</v>
      </c>
      <c r="BD893" t="s">
        <v>74</v>
      </c>
      <c r="BE893" t="s">
        <v>16728</v>
      </c>
      <c r="BF893" t="str">
        <f>HYPERLINK("http://dx.doi.org/10.1002/2015JG003017","http://dx.doi.org/10.1002/2015JG003017")</f>
        <v>http://dx.doi.org/10.1002/2015JG003017</v>
      </c>
      <c r="BG893" t="s">
        <v>74</v>
      </c>
      <c r="BH893" t="s">
        <v>74</v>
      </c>
      <c r="BI893">
        <v>20</v>
      </c>
      <c r="BJ893" t="s">
        <v>16729</v>
      </c>
      <c r="BK893" t="s">
        <v>1661</v>
      </c>
      <c r="BL893" t="s">
        <v>2840</v>
      </c>
      <c r="BM893" t="s">
        <v>16730</v>
      </c>
      <c r="BN893" t="s">
        <v>74</v>
      </c>
      <c r="BO893" t="s">
        <v>6737</v>
      </c>
      <c r="BP893" t="s">
        <v>74</v>
      </c>
      <c r="BQ893" t="s">
        <v>74</v>
      </c>
      <c r="BR893" t="s">
        <v>100</v>
      </c>
      <c r="BS893" t="s">
        <v>16731</v>
      </c>
      <c r="BT893" t="str">
        <f>HYPERLINK("https%3A%2F%2Fwww.webofscience.com%2Fwos%2Fwoscc%2Ffull-record%2FWOS:000368908700004","View Full Record in Web of Science")</f>
        <v>View Full Record in Web of Science</v>
      </c>
    </row>
    <row r="894" spans="1:72" x14ac:dyDescent="0.15">
      <c r="A894" t="s">
        <v>72</v>
      </c>
      <c r="B894" t="s">
        <v>16732</v>
      </c>
      <c r="C894" t="s">
        <v>74</v>
      </c>
      <c r="D894" t="s">
        <v>74</v>
      </c>
      <c r="E894" t="s">
        <v>74</v>
      </c>
      <c r="F894" t="s">
        <v>16733</v>
      </c>
      <c r="G894" t="s">
        <v>74</v>
      </c>
      <c r="H894" t="s">
        <v>74</v>
      </c>
      <c r="I894" t="s">
        <v>16734</v>
      </c>
      <c r="J894" t="s">
        <v>9714</v>
      </c>
      <c r="K894" t="s">
        <v>74</v>
      </c>
      <c r="L894" t="s">
        <v>74</v>
      </c>
      <c r="M894" t="s">
        <v>200</v>
      </c>
      <c r="N894" t="s">
        <v>79</v>
      </c>
      <c r="O894" t="s">
        <v>74</v>
      </c>
      <c r="P894" t="s">
        <v>74</v>
      </c>
      <c r="Q894" t="s">
        <v>74</v>
      </c>
      <c r="R894" t="s">
        <v>74</v>
      </c>
      <c r="S894" t="s">
        <v>74</v>
      </c>
      <c r="T894" t="s">
        <v>16735</v>
      </c>
      <c r="U894" t="s">
        <v>16736</v>
      </c>
      <c r="V894" t="s">
        <v>16737</v>
      </c>
      <c r="W894" t="s">
        <v>16738</v>
      </c>
      <c r="X894" t="s">
        <v>228</v>
      </c>
      <c r="Y894" t="s">
        <v>16739</v>
      </c>
      <c r="Z894" t="s">
        <v>16740</v>
      </c>
      <c r="AA894" t="s">
        <v>16741</v>
      </c>
      <c r="AB894" t="s">
        <v>16742</v>
      </c>
      <c r="AC894" t="s">
        <v>16743</v>
      </c>
      <c r="AD894" t="s">
        <v>16744</v>
      </c>
      <c r="AE894" t="s">
        <v>16745</v>
      </c>
      <c r="AF894" t="s">
        <v>74</v>
      </c>
      <c r="AG894">
        <v>81</v>
      </c>
      <c r="AH894">
        <v>7</v>
      </c>
      <c r="AI894">
        <v>7</v>
      </c>
      <c r="AJ894">
        <v>0</v>
      </c>
      <c r="AK894">
        <v>9</v>
      </c>
      <c r="AL894" t="s">
        <v>1385</v>
      </c>
      <c r="AM894" t="s">
        <v>1386</v>
      </c>
      <c r="AN894" t="s">
        <v>1387</v>
      </c>
      <c r="AO894" t="s">
        <v>9726</v>
      </c>
      <c r="AP894" t="s">
        <v>9727</v>
      </c>
      <c r="AQ894" t="s">
        <v>74</v>
      </c>
      <c r="AR894" t="s">
        <v>9728</v>
      </c>
      <c r="AS894" t="s">
        <v>9729</v>
      </c>
      <c r="AT894" t="s">
        <v>16746</v>
      </c>
      <c r="AU894">
        <v>2015</v>
      </c>
      <c r="AV894">
        <v>72</v>
      </c>
      <c r="AW894">
        <v>9</v>
      </c>
      <c r="AX894" t="s">
        <v>74</v>
      </c>
      <c r="AY894" t="s">
        <v>74</v>
      </c>
      <c r="AZ894" t="s">
        <v>74</v>
      </c>
      <c r="BA894" t="s">
        <v>74</v>
      </c>
      <c r="BB894">
        <v>2650</v>
      </c>
      <c r="BC894">
        <v>2662</v>
      </c>
      <c r="BD894" t="s">
        <v>74</v>
      </c>
      <c r="BE894" t="s">
        <v>16747</v>
      </c>
      <c r="BF894" t="str">
        <f>HYPERLINK("http://dx.doi.org/10.1093/icesjms/fsv148","http://dx.doi.org/10.1093/icesjms/fsv148")</f>
        <v>http://dx.doi.org/10.1093/icesjms/fsv148</v>
      </c>
      <c r="BG894" t="s">
        <v>74</v>
      </c>
      <c r="BH894" t="s">
        <v>74</v>
      </c>
      <c r="BI894">
        <v>13</v>
      </c>
      <c r="BJ894" t="s">
        <v>3061</v>
      </c>
      <c r="BK894" t="s">
        <v>710</v>
      </c>
      <c r="BL894" t="s">
        <v>3061</v>
      </c>
      <c r="BM894" t="s">
        <v>16748</v>
      </c>
      <c r="BN894" t="s">
        <v>74</v>
      </c>
      <c r="BO894" t="s">
        <v>486</v>
      </c>
      <c r="BP894" t="s">
        <v>74</v>
      </c>
      <c r="BQ894" t="s">
        <v>74</v>
      </c>
      <c r="BR894" t="s">
        <v>100</v>
      </c>
      <c r="BS894" t="s">
        <v>16749</v>
      </c>
      <c r="BT894" t="str">
        <f>HYPERLINK("https%3A%2F%2Fwww.webofscience.com%2Fwos%2Fwoscc%2Ffull-record%2FWOS:000368252700013","View Full Record in Web of Science")</f>
        <v>View Full Record in Web of Science</v>
      </c>
    </row>
    <row r="895" spans="1:72" x14ac:dyDescent="0.15">
      <c r="A895" t="s">
        <v>72</v>
      </c>
      <c r="B895" t="s">
        <v>16750</v>
      </c>
      <c r="C895" t="s">
        <v>74</v>
      </c>
      <c r="D895" t="s">
        <v>74</v>
      </c>
      <c r="E895" t="s">
        <v>74</v>
      </c>
      <c r="F895" t="s">
        <v>16751</v>
      </c>
      <c r="G895" t="s">
        <v>74</v>
      </c>
      <c r="H895" t="s">
        <v>74</v>
      </c>
      <c r="I895" t="s">
        <v>16752</v>
      </c>
      <c r="J895" t="s">
        <v>5787</v>
      </c>
      <c r="K895" t="s">
        <v>74</v>
      </c>
      <c r="L895" t="s">
        <v>74</v>
      </c>
      <c r="M895" t="s">
        <v>200</v>
      </c>
      <c r="N895" t="s">
        <v>79</v>
      </c>
      <c r="O895" t="s">
        <v>74</v>
      </c>
      <c r="P895" t="s">
        <v>74</v>
      </c>
      <c r="Q895" t="s">
        <v>74</v>
      </c>
      <c r="R895" t="s">
        <v>74</v>
      </c>
      <c r="S895" t="s">
        <v>74</v>
      </c>
      <c r="T895" t="s">
        <v>74</v>
      </c>
      <c r="U895" t="s">
        <v>16753</v>
      </c>
      <c r="V895" t="s">
        <v>16754</v>
      </c>
      <c r="W895" t="s">
        <v>16755</v>
      </c>
      <c r="X895" t="s">
        <v>5433</v>
      </c>
      <c r="Y895" t="s">
        <v>16756</v>
      </c>
      <c r="Z895" t="s">
        <v>6099</v>
      </c>
      <c r="AA895" t="s">
        <v>16757</v>
      </c>
      <c r="AB895" t="s">
        <v>16758</v>
      </c>
      <c r="AC895" t="s">
        <v>16759</v>
      </c>
      <c r="AD895" t="s">
        <v>16760</v>
      </c>
      <c r="AE895" t="s">
        <v>16761</v>
      </c>
      <c r="AF895" t="s">
        <v>74</v>
      </c>
      <c r="AG895">
        <v>50</v>
      </c>
      <c r="AH895">
        <v>47</v>
      </c>
      <c r="AI895">
        <v>47</v>
      </c>
      <c r="AJ895">
        <v>0</v>
      </c>
      <c r="AK895">
        <v>29</v>
      </c>
      <c r="AL895" t="s">
        <v>2410</v>
      </c>
      <c r="AM895" t="s">
        <v>1559</v>
      </c>
      <c r="AN895" t="s">
        <v>2411</v>
      </c>
      <c r="AO895" t="s">
        <v>5798</v>
      </c>
      <c r="AP895" t="s">
        <v>5799</v>
      </c>
      <c r="AQ895" t="s">
        <v>74</v>
      </c>
      <c r="AR895" t="s">
        <v>5800</v>
      </c>
      <c r="AS895" t="s">
        <v>5801</v>
      </c>
      <c r="AT895" t="s">
        <v>16633</v>
      </c>
      <c r="AU895">
        <v>2015</v>
      </c>
      <c r="AV895">
        <v>120</v>
      </c>
      <c r="AW895">
        <v>11</v>
      </c>
      <c r="AX895" t="s">
        <v>74</v>
      </c>
      <c r="AY895" t="s">
        <v>74</v>
      </c>
      <c r="AZ895" t="s">
        <v>74</v>
      </c>
      <c r="BA895" t="s">
        <v>74</v>
      </c>
      <c r="BB895">
        <v>7150</v>
      </c>
      <c r="BC895">
        <v>7165</v>
      </c>
      <c r="BD895" t="s">
        <v>74</v>
      </c>
      <c r="BE895" t="s">
        <v>16762</v>
      </c>
      <c r="BF895" t="str">
        <f>HYPERLINK("http://dx.doi.org/10.1002/2015JC010993","http://dx.doi.org/10.1002/2015JC010993")</f>
        <v>http://dx.doi.org/10.1002/2015JC010993</v>
      </c>
      <c r="BG895" t="s">
        <v>74</v>
      </c>
      <c r="BH895" t="s">
        <v>74</v>
      </c>
      <c r="BI895">
        <v>16</v>
      </c>
      <c r="BJ895" t="s">
        <v>5339</v>
      </c>
      <c r="BK895" t="s">
        <v>264</v>
      </c>
      <c r="BL895" t="s">
        <v>5339</v>
      </c>
      <c r="BM895" t="s">
        <v>16763</v>
      </c>
      <c r="BN895" t="s">
        <v>74</v>
      </c>
      <c r="BO895" t="s">
        <v>13287</v>
      </c>
      <c r="BP895" t="s">
        <v>74</v>
      </c>
      <c r="BQ895" t="s">
        <v>74</v>
      </c>
      <c r="BR895" t="s">
        <v>100</v>
      </c>
      <c r="BS895" t="s">
        <v>16764</v>
      </c>
      <c r="BT895" t="str">
        <f>HYPERLINK("https%3A%2F%2Fwww.webofscience.com%2Fwos%2Fwoscc%2Ffull-record%2FWOS:000367686500002","View Full Record in Web of Science")</f>
        <v>View Full Record in Web of Science</v>
      </c>
    </row>
    <row r="896" spans="1:72" x14ac:dyDescent="0.15">
      <c r="A896" t="s">
        <v>72</v>
      </c>
      <c r="B896" t="s">
        <v>16765</v>
      </c>
      <c r="C896" t="s">
        <v>74</v>
      </c>
      <c r="D896" t="s">
        <v>74</v>
      </c>
      <c r="E896" t="s">
        <v>74</v>
      </c>
      <c r="F896" t="s">
        <v>16766</v>
      </c>
      <c r="G896" t="s">
        <v>74</v>
      </c>
      <c r="H896" t="s">
        <v>74</v>
      </c>
      <c r="I896" t="s">
        <v>16767</v>
      </c>
      <c r="J896" t="s">
        <v>5787</v>
      </c>
      <c r="K896" t="s">
        <v>74</v>
      </c>
      <c r="L896" t="s">
        <v>74</v>
      </c>
      <c r="M896" t="s">
        <v>200</v>
      </c>
      <c r="N896" t="s">
        <v>79</v>
      </c>
      <c r="O896" t="s">
        <v>74</v>
      </c>
      <c r="P896" t="s">
        <v>74</v>
      </c>
      <c r="Q896" t="s">
        <v>74</v>
      </c>
      <c r="R896" t="s">
        <v>74</v>
      </c>
      <c r="S896" t="s">
        <v>74</v>
      </c>
      <c r="T896" t="s">
        <v>74</v>
      </c>
      <c r="U896" t="s">
        <v>16768</v>
      </c>
      <c r="V896" t="s">
        <v>16769</v>
      </c>
      <c r="W896" t="s">
        <v>16770</v>
      </c>
      <c r="X896" t="s">
        <v>16771</v>
      </c>
      <c r="Y896" t="s">
        <v>16772</v>
      </c>
      <c r="Z896" t="s">
        <v>16773</v>
      </c>
      <c r="AA896" t="s">
        <v>16774</v>
      </c>
      <c r="AB896" t="s">
        <v>16775</v>
      </c>
      <c r="AC896" t="s">
        <v>16776</v>
      </c>
      <c r="AD896" t="s">
        <v>16777</v>
      </c>
      <c r="AE896" t="s">
        <v>16778</v>
      </c>
      <c r="AF896" t="s">
        <v>74</v>
      </c>
      <c r="AG896">
        <v>58</v>
      </c>
      <c r="AH896">
        <v>18</v>
      </c>
      <c r="AI896">
        <v>21</v>
      </c>
      <c r="AJ896">
        <v>0</v>
      </c>
      <c r="AK896">
        <v>41</v>
      </c>
      <c r="AL896" t="s">
        <v>2410</v>
      </c>
      <c r="AM896" t="s">
        <v>1559</v>
      </c>
      <c r="AN896" t="s">
        <v>2411</v>
      </c>
      <c r="AO896" t="s">
        <v>5798</v>
      </c>
      <c r="AP896" t="s">
        <v>5799</v>
      </c>
      <c r="AQ896" t="s">
        <v>74</v>
      </c>
      <c r="AR896" t="s">
        <v>5800</v>
      </c>
      <c r="AS896" t="s">
        <v>5801</v>
      </c>
      <c r="AT896" t="s">
        <v>16633</v>
      </c>
      <c r="AU896">
        <v>2015</v>
      </c>
      <c r="AV896">
        <v>120</v>
      </c>
      <c r="AW896">
        <v>11</v>
      </c>
      <c r="AX896" t="s">
        <v>74</v>
      </c>
      <c r="AY896" t="s">
        <v>74</v>
      </c>
      <c r="AZ896" t="s">
        <v>74</v>
      </c>
      <c r="BA896" t="s">
        <v>74</v>
      </c>
      <c r="BB896">
        <v>7316</v>
      </c>
      <c r="BC896">
        <v>7328</v>
      </c>
      <c r="BD896" t="s">
        <v>74</v>
      </c>
      <c r="BE896" t="s">
        <v>16779</v>
      </c>
      <c r="BF896" t="str">
        <f>HYPERLINK("http://dx.doi.org/10.1002/2015JC011244","http://dx.doi.org/10.1002/2015JC011244")</f>
        <v>http://dx.doi.org/10.1002/2015JC011244</v>
      </c>
      <c r="BG896" t="s">
        <v>74</v>
      </c>
      <c r="BH896" t="s">
        <v>74</v>
      </c>
      <c r="BI896">
        <v>13</v>
      </c>
      <c r="BJ896" t="s">
        <v>5339</v>
      </c>
      <c r="BK896" t="s">
        <v>264</v>
      </c>
      <c r="BL896" t="s">
        <v>5339</v>
      </c>
      <c r="BM896" t="s">
        <v>16763</v>
      </c>
      <c r="BN896" t="s">
        <v>74</v>
      </c>
      <c r="BO896" t="s">
        <v>7618</v>
      </c>
      <c r="BP896" t="s">
        <v>74</v>
      </c>
      <c r="BQ896" t="s">
        <v>74</v>
      </c>
      <c r="BR896" t="s">
        <v>100</v>
      </c>
      <c r="BS896" t="s">
        <v>16780</v>
      </c>
      <c r="BT896" t="str">
        <f>HYPERLINK("https%3A%2F%2Fwww.webofscience.com%2Fwos%2Fwoscc%2Ffull-record%2FWOS:000367686500013","View Full Record in Web of Science")</f>
        <v>View Full Record in Web of Science</v>
      </c>
    </row>
    <row r="897" spans="1:72" x14ac:dyDescent="0.15">
      <c r="A897" t="s">
        <v>72</v>
      </c>
      <c r="B897" t="s">
        <v>16781</v>
      </c>
      <c r="C897" t="s">
        <v>74</v>
      </c>
      <c r="D897" t="s">
        <v>74</v>
      </c>
      <c r="E897" t="s">
        <v>74</v>
      </c>
      <c r="F897" t="s">
        <v>16782</v>
      </c>
      <c r="G897" t="s">
        <v>74</v>
      </c>
      <c r="H897" t="s">
        <v>74</v>
      </c>
      <c r="I897" t="s">
        <v>16783</v>
      </c>
      <c r="J897" t="s">
        <v>5787</v>
      </c>
      <c r="K897" t="s">
        <v>74</v>
      </c>
      <c r="L897" t="s">
        <v>74</v>
      </c>
      <c r="M897" t="s">
        <v>200</v>
      </c>
      <c r="N897" t="s">
        <v>79</v>
      </c>
      <c r="O897" t="s">
        <v>74</v>
      </c>
      <c r="P897" t="s">
        <v>74</v>
      </c>
      <c r="Q897" t="s">
        <v>74</v>
      </c>
      <c r="R897" t="s">
        <v>74</v>
      </c>
      <c r="S897" t="s">
        <v>74</v>
      </c>
      <c r="T897" t="s">
        <v>74</v>
      </c>
      <c r="U897" t="s">
        <v>16784</v>
      </c>
      <c r="V897" t="s">
        <v>16785</v>
      </c>
      <c r="W897" t="s">
        <v>16786</v>
      </c>
      <c r="X897" t="s">
        <v>16787</v>
      </c>
      <c r="Y897" t="s">
        <v>16788</v>
      </c>
      <c r="Z897" t="s">
        <v>16789</v>
      </c>
      <c r="AA897" t="s">
        <v>74</v>
      </c>
      <c r="AB897" t="s">
        <v>74</v>
      </c>
      <c r="AC897" t="s">
        <v>16790</v>
      </c>
      <c r="AD897" t="s">
        <v>16791</v>
      </c>
      <c r="AE897" t="s">
        <v>16792</v>
      </c>
      <c r="AF897" t="s">
        <v>74</v>
      </c>
      <c r="AG897">
        <v>46</v>
      </c>
      <c r="AH897">
        <v>14</v>
      </c>
      <c r="AI897">
        <v>16</v>
      </c>
      <c r="AJ897">
        <v>0</v>
      </c>
      <c r="AK897">
        <v>24</v>
      </c>
      <c r="AL897" t="s">
        <v>2410</v>
      </c>
      <c r="AM897" t="s">
        <v>1559</v>
      </c>
      <c r="AN897" t="s">
        <v>2411</v>
      </c>
      <c r="AO897" t="s">
        <v>5798</v>
      </c>
      <c r="AP897" t="s">
        <v>5799</v>
      </c>
      <c r="AQ897" t="s">
        <v>74</v>
      </c>
      <c r="AR897" t="s">
        <v>5800</v>
      </c>
      <c r="AS897" t="s">
        <v>5801</v>
      </c>
      <c r="AT897" t="s">
        <v>16633</v>
      </c>
      <c r="AU897">
        <v>2015</v>
      </c>
      <c r="AV897">
        <v>120</v>
      </c>
      <c r="AW897">
        <v>11</v>
      </c>
      <c r="AX897" t="s">
        <v>74</v>
      </c>
      <c r="AY897" t="s">
        <v>74</v>
      </c>
      <c r="AZ897" t="s">
        <v>74</v>
      </c>
      <c r="BA897" t="s">
        <v>74</v>
      </c>
      <c r="BB897">
        <v>7400</v>
      </c>
      <c r="BC897">
        <v>7412</v>
      </c>
      <c r="BD897" t="s">
        <v>74</v>
      </c>
      <c r="BE897" t="s">
        <v>16793</v>
      </c>
      <c r="BF897" t="str">
        <f>HYPERLINK("http://dx.doi.org/10.1002/2015JC011119","http://dx.doi.org/10.1002/2015JC011119")</f>
        <v>http://dx.doi.org/10.1002/2015JC011119</v>
      </c>
      <c r="BG897" t="s">
        <v>74</v>
      </c>
      <c r="BH897" t="s">
        <v>74</v>
      </c>
      <c r="BI897">
        <v>13</v>
      </c>
      <c r="BJ897" t="s">
        <v>5339</v>
      </c>
      <c r="BK897" t="s">
        <v>264</v>
      </c>
      <c r="BL897" t="s">
        <v>5339</v>
      </c>
      <c r="BM897" t="s">
        <v>16763</v>
      </c>
      <c r="BN897" t="s">
        <v>74</v>
      </c>
      <c r="BO897" t="s">
        <v>486</v>
      </c>
      <c r="BP897" t="s">
        <v>74</v>
      </c>
      <c r="BQ897" t="s">
        <v>74</v>
      </c>
      <c r="BR897" t="s">
        <v>100</v>
      </c>
      <c r="BS897" t="s">
        <v>16794</v>
      </c>
      <c r="BT897" t="str">
        <f>HYPERLINK("https%3A%2F%2Fwww.webofscience.com%2Fwos%2Fwoscc%2Ffull-record%2FWOS:000367686500018","View Full Record in Web of Science")</f>
        <v>View Full Record in Web of Science</v>
      </c>
    </row>
    <row r="898" spans="1:72" x14ac:dyDescent="0.15">
      <c r="A898" t="s">
        <v>72</v>
      </c>
      <c r="B898" t="s">
        <v>16795</v>
      </c>
      <c r="C898" t="s">
        <v>74</v>
      </c>
      <c r="D898" t="s">
        <v>74</v>
      </c>
      <c r="E898" t="s">
        <v>74</v>
      </c>
      <c r="F898" t="s">
        <v>16796</v>
      </c>
      <c r="G898" t="s">
        <v>74</v>
      </c>
      <c r="H898" t="s">
        <v>74</v>
      </c>
      <c r="I898" t="s">
        <v>16797</v>
      </c>
      <c r="J898" t="s">
        <v>16798</v>
      </c>
      <c r="K898" t="s">
        <v>74</v>
      </c>
      <c r="L898" t="s">
        <v>74</v>
      </c>
      <c r="M898" t="s">
        <v>200</v>
      </c>
      <c r="N898" t="s">
        <v>79</v>
      </c>
      <c r="O898" t="s">
        <v>74</v>
      </c>
      <c r="P898" t="s">
        <v>74</v>
      </c>
      <c r="Q898" t="s">
        <v>74</v>
      </c>
      <c r="R898" t="s">
        <v>74</v>
      </c>
      <c r="S898" t="s">
        <v>74</v>
      </c>
      <c r="T898" t="s">
        <v>74</v>
      </c>
      <c r="U898" t="s">
        <v>16799</v>
      </c>
      <c r="V898" t="s">
        <v>16800</v>
      </c>
      <c r="W898" t="s">
        <v>16801</v>
      </c>
      <c r="X898" t="s">
        <v>16802</v>
      </c>
      <c r="Y898" t="s">
        <v>16803</v>
      </c>
      <c r="Z898" t="s">
        <v>16804</v>
      </c>
      <c r="AA898" t="s">
        <v>74</v>
      </c>
      <c r="AB898" t="s">
        <v>74</v>
      </c>
      <c r="AC898" t="s">
        <v>74</v>
      </c>
      <c r="AD898" t="s">
        <v>74</v>
      </c>
      <c r="AE898" t="s">
        <v>74</v>
      </c>
      <c r="AF898" t="s">
        <v>74</v>
      </c>
      <c r="AG898">
        <v>47</v>
      </c>
      <c r="AH898">
        <v>5</v>
      </c>
      <c r="AI898">
        <v>5</v>
      </c>
      <c r="AJ898">
        <v>0</v>
      </c>
      <c r="AK898">
        <v>2</v>
      </c>
      <c r="AL898" t="s">
        <v>1385</v>
      </c>
      <c r="AM898" t="s">
        <v>1386</v>
      </c>
      <c r="AN898" t="s">
        <v>1387</v>
      </c>
      <c r="AO898" t="s">
        <v>16805</v>
      </c>
      <c r="AP898" t="s">
        <v>16806</v>
      </c>
      <c r="AQ898" t="s">
        <v>74</v>
      </c>
      <c r="AR898" t="s">
        <v>16807</v>
      </c>
      <c r="AS898" t="s">
        <v>16808</v>
      </c>
      <c r="AT898" t="s">
        <v>16633</v>
      </c>
      <c r="AU898">
        <v>2015</v>
      </c>
      <c r="AV898">
        <v>6</v>
      </c>
      <c r="AW898">
        <v>3</v>
      </c>
      <c r="AX898" t="s">
        <v>74</v>
      </c>
      <c r="AY898" t="s">
        <v>74</v>
      </c>
      <c r="AZ898" t="s">
        <v>74</v>
      </c>
      <c r="BA898" t="s">
        <v>74</v>
      </c>
      <c r="BB898">
        <v>546</v>
      </c>
      <c r="BC898">
        <v>567</v>
      </c>
      <c r="BD898" t="s">
        <v>74</v>
      </c>
      <c r="BE898" t="s">
        <v>16809</v>
      </c>
      <c r="BF898" t="str">
        <f>HYPERLINK("http://dx.doi.org/10.1093/jnlids/idv019","http://dx.doi.org/10.1093/jnlids/idv019")</f>
        <v>http://dx.doi.org/10.1093/jnlids/idv019</v>
      </c>
      <c r="BG898" t="s">
        <v>74</v>
      </c>
      <c r="BH898" t="s">
        <v>74</v>
      </c>
      <c r="BI898">
        <v>22</v>
      </c>
      <c r="BJ898" t="s">
        <v>334</v>
      </c>
      <c r="BK898" t="s">
        <v>96</v>
      </c>
      <c r="BL898" t="s">
        <v>335</v>
      </c>
      <c r="BM898" t="s">
        <v>16810</v>
      </c>
      <c r="BN898" t="s">
        <v>74</v>
      </c>
      <c r="BO898" t="s">
        <v>74</v>
      </c>
      <c r="BP898" t="s">
        <v>74</v>
      </c>
      <c r="BQ898" t="s">
        <v>74</v>
      </c>
      <c r="BR898" t="s">
        <v>100</v>
      </c>
      <c r="BS898" t="s">
        <v>16811</v>
      </c>
      <c r="BT898" t="str">
        <f>HYPERLINK("https%3A%2F%2Fwww.webofscience.com%2Fwos%2Fwoscc%2Ffull-record%2FWOS:000367745800005","View Full Record in Web of Science")</f>
        <v>View Full Record in Web of Science</v>
      </c>
    </row>
    <row r="899" spans="1:72" x14ac:dyDescent="0.15">
      <c r="A899" t="s">
        <v>72</v>
      </c>
      <c r="B899" t="s">
        <v>16812</v>
      </c>
      <c r="C899" t="s">
        <v>74</v>
      </c>
      <c r="D899" t="s">
        <v>74</v>
      </c>
      <c r="E899" t="s">
        <v>74</v>
      </c>
      <c r="F899" t="s">
        <v>16813</v>
      </c>
      <c r="G899" t="s">
        <v>74</v>
      </c>
      <c r="H899" t="s">
        <v>74</v>
      </c>
      <c r="I899" t="s">
        <v>16814</v>
      </c>
      <c r="J899" t="s">
        <v>16798</v>
      </c>
      <c r="K899" t="s">
        <v>74</v>
      </c>
      <c r="L899" t="s">
        <v>74</v>
      </c>
      <c r="M899" t="s">
        <v>200</v>
      </c>
      <c r="N899" t="s">
        <v>79</v>
      </c>
      <c r="O899" t="s">
        <v>74</v>
      </c>
      <c r="P899" t="s">
        <v>74</v>
      </c>
      <c r="Q899" t="s">
        <v>74</v>
      </c>
      <c r="R899" t="s">
        <v>74</v>
      </c>
      <c r="S899" t="s">
        <v>74</v>
      </c>
      <c r="T899" t="s">
        <v>74</v>
      </c>
      <c r="U899" t="s">
        <v>16815</v>
      </c>
      <c r="V899" t="s">
        <v>16816</v>
      </c>
      <c r="W899" t="s">
        <v>16817</v>
      </c>
      <c r="X899" t="s">
        <v>16818</v>
      </c>
      <c r="Y899" t="s">
        <v>16819</v>
      </c>
      <c r="Z899" t="s">
        <v>16820</v>
      </c>
      <c r="AA899" t="s">
        <v>74</v>
      </c>
      <c r="AB899" t="s">
        <v>74</v>
      </c>
      <c r="AC899" t="s">
        <v>74</v>
      </c>
      <c r="AD899" t="s">
        <v>74</v>
      </c>
      <c r="AE899" t="s">
        <v>74</v>
      </c>
      <c r="AF899" t="s">
        <v>74</v>
      </c>
      <c r="AG899">
        <v>76</v>
      </c>
      <c r="AH899">
        <v>5</v>
      </c>
      <c r="AI899">
        <v>5</v>
      </c>
      <c r="AJ899">
        <v>0</v>
      </c>
      <c r="AK899">
        <v>8</v>
      </c>
      <c r="AL899" t="s">
        <v>1385</v>
      </c>
      <c r="AM899" t="s">
        <v>1386</v>
      </c>
      <c r="AN899" t="s">
        <v>1387</v>
      </c>
      <c r="AO899" t="s">
        <v>16805</v>
      </c>
      <c r="AP899" t="s">
        <v>16806</v>
      </c>
      <c r="AQ899" t="s">
        <v>74</v>
      </c>
      <c r="AR899" t="s">
        <v>16807</v>
      </c>
      <c r="AS899" t="s">
        <v>16808</v>
      </c>
      <c r="AT899" t="s">
        <v>16633</v>
      </c>
      <c r="AU899">
        <v>2015</v>
      </c>
      <c r="AV899">
        <v>6</v>
      </c>
      <c r="AW899">
        <v>3</v>
      </c>
      <c r="AX899" t="s">
        <v>74</v>
      </c>
      <c r="AY899" t="s">
        <v>74</v>
      </c>
      <c r="AZ899" t="s">
        <v>74</v>
      </c>
      <c r="BA899" t="s">
        <v>74</v>
      </c>
      <c r="BB899">
        <v>578</v>
      </c>
      <c r="BC899">
        <v>620</v>
      </c>
      <c r="BD899" t="s">
        <v>74</v>
      </c>
      <c r="BE899" t="s">
        <v>16821</v>
      </c>
      <c r="BF899" t="str">
        <f>HYPERLINK("http://dx.doi.org/10.1093/jnlids/idv024","http://dx.doi.org/10.1093/jnlids/idv024")</f>
        <v>http://dx.doi.org/10.1093/jnlids/idv024</v>
      </c>
      <c r="BG899" t="s">
        <v>74</v>
      </c>
      <c r="BH899" t="s">
        <v>74</v>
      </c>
      <c r="BI899">
        <v>43</v>
      </c>
      <c r="BJ899" t="s">
        <v>334</v>
      </c>
      <c r="BK899" t="s">
        <v>96</v>
      </c>
      <c r="BL899" t="s">
        <v>335</v>
      </c>
      <c r="BM899" t="s">
        <v>16810</v>
      </c>
      <c r="BN899" t="s">
        <v>74</v>
      </c>
      <c r="BO899" t="s">
        <v>74</v>
      </c>
      <c r="BP899" t="s">
        <v>74</v>
      </c>
      <c r="BQ899" t="s">
        <v>74</v>
      </c>
      <c r="BR899" t="s">
        <v>100</v>
      </c>
      <c r="BS899" t="s">
        <v>16822</v>
      </c>
      <c r="BT899" t="str">
        <f>HYPERLINK("https%3A%2F%2Fwww.webofscience.com%2Fwos%2Fwoscc%2Ffull-record%2FWOS:000367745800007","View Full Record in Web of Science")</f>
        <v>View Full Record in Web of Science</v>
      </c>
    </row>
    <row r="900" spans="1:72" x14ac:dyDescent="0.15">
      <c r="A900" t="s">
        <v>72</v>
      </c>
      <c r="B900" t="s">
        <v>16823</v>
      </c>
      <c r="C900" t="s">
        <v>74</v>
      </c>
      <c r="D900" t="s">
        <v>74</v>
      </c>
      <c r="E900" t="s">
        <v>74</v>
      </c>
      <c r="F900" t="s">
        <v>16824</v>
      </c>
      <c r="G900" t="s">
        <v>74</v>
      </c>
      <c r="H900" t="s">
        <v>74</v>
      </c>
      <c r="I900" t="s">
        <v>16825</v>
      </c>
      <c r="J900" t="s">
        <v>16798</v>
      </c>
      <c r="K900" t="s">
        <v>74</v>
      </c>
      <c r="L900" t="s">
        <v>74</v>
      </c>
      <c r="M900" t="s">
        <v>200</v>
      </c>
      <c r="N900" t="s">
        <v>79</v>
      </c>
      <c r="O900" t="s">
        <v>74</v>
      </c>
      <c r="P900" t="s">
        <v>74</v>
      </c>
      <c r="Q900" t="s">
        <v>74</v>
      </c>
      <c r="R900" t="s">
        <v>74</v>
      </c>
      <c r="S900" t="s">
        <v>74</v>
      </c>
      <c r="T900" t="s">
        <v>74</v>
      </c>
      <c r="U900" t="s">
        <v>16815</v>
      </c>
      <c r="V900" t="s">
        <v>16826</v>
      </c>
      <c r="W900" t="s">
        <v>16827</v>
      </c>
      <c r="X900" t="s">
        <v>16828</v>
      </c>
      <c r="Y900" t="s">
        <v>16829</v>
      </c>
      <c r="Z900" t="s">
        <v>74</v>
      </c>
      <c r="AA900" t="s">
        <v>74</v>
      </c>
      <c r="AB900" t="s">
        <v>16830</v>
      </c>
      <c r="AC900" t="s">
        <v>74</v>
      </c>
      <c r="AD900" t="s">
        <v>74</v>
      </c>
      <c r="AE900" t="s">
        <v>74</v>
      </c>
      <c r="AF900" t="s">
        <v>74</v>
      </c>
      <c r="AG900">
        <v>51</v>
      </c>
      <c r="AH900">
        <v>7</v>
      </c>
      <c r="AI900">
        <v>7</v>
      </c>
      <c r="AJ900">
        <v>0</v>
      </c>
      <c r="AK900">
        <v>1</v>
      </c>
      <c r="AL900" t="s">
        <v>1385</v>
      </c>
      <c r="AM900" t="s">
        <v>1386</v>
      </c>
      <c r="AN900" t="s">
        <v>1387</v>
      </c>
      <c r="AO900" t="s">
        <v>16805</v>
      </c>
      <c r="AP900" t="s">
        <v>16806</v>
      </c>
      <c r="AQ900" t="s">
        <v>74</v>
      </c>
      <c r="AR900" t="s">
        <v>16807</v>
      </c>
      <c r="AS900" t="s">
        <v>16808</v>
      </c>
      <c r="AT900" t="s">
        <v>16633</v>
      </c>
      <c r="AU900">
        <v>2015</v>
      </c>
      <c r="AV900">
        <v>6</v>
      </c>
      <c r="AW900">
        <v>3</v>
      </c>
      <c r="AX900" t="s">
        <v>74</v>
      </c>
      <c r="AY900" t="s">
        <v>74</v>
      </c>
      <c r="AZ900" t="s">
        <v>74</v>
      </c>
      <c r="BA900" t="s">
        <v>74</v>
      </c>
      <c r="BB900">
        <v>621</v>
      </c>
      <c r="BC900">
        <v>635</v>
      </c>
      <c r="BD900" t="s">
        <v>74</v>
      </c>
      <c r="BE900" t="s">
        <v>16831</v>
      </c>
      <c r="BF900" t="str">
        <f>HYPERLINK("http://dx.doi.org/10.1093/jnlids/idv022","http://dx.doi.org/10.1093/jnlids/idv022")</f>
        <v>http://dx.doi.org/10.1093/jnlids/idv022</v>
      </c>
      <c r="BG900" t="s">
        <v>74</v>
      </c>
      <c r="BH900" t="s">
        <v>74</v>
      </c>
      <c r="BI900">
        <v>15</v>
      </c>
      <c r="BJ900" t="s">
        <v>334</v>
      </c>
      <c r="BK900" t="s">
        <v>96</v>
      </c>
      <c r="BL900" t="s">
        <v>335</v>
      </c>
      <c r="BM900" t="s">
        <v>16810</v>
      </c>
      <c r="BN900" t="s">
        <v>74</v>
      </c>
      <c r="BO900" t="s">
        <v>74</v>
      </c>
      <c r="BP900" t="s">
        <v>74</v>
      </c>
      <c r="BQ900" t="s">
        <v>74</v>
      </c>
      <c r="BR900" t="s">
        <v>100</v>
      </c>
      <c r="BS900" t="s">
        <v>16832</v>
      </c>
      <c r="BT900" t="str">
        <f>HYPERLINK("https%3A%2F%2Fwww.webofscience.com%2Fwos%2Fwoscc%2Ffull-record%2FWOS:000367745800008","View Full Record in Web of Science")</f>
        <v>View Full Record in Web of Science</v>
      </c>
    </row>
    <row r="901" spans="1:72" x14ac:dyDescent="0.15">
      <c r="A901" t="s">
        <v>72</v>
      </c>
      <c r="B901" t="s">
        <v>16833</v>
      </c>
      <c r="C901" t="s">
        <v>74</v>
      </c>
      <c r="D901" t="s">
        <v>74</v>
      </c>
      <c r="E901" t="s">
        <v>74</v>
      </c>
      <c r="F901" t="s">
        <v>16834</v>
      </c>
      <c r="G901" t="s">
        <v>74</v>
      </c>
      <c r="H901" t="s">
        <v>74</v>
      </c>
      <c r="I901" t="s">
        <v>16835</v>
      </c>
      <c r="J901" t="s">
        <v>13130</v>
      </c>
      <c r="K901" t="s">
        <v>74</v>
      </c>
      <c r="L901" t="s">
        <v>74</v>
      </c>
      <c r="M901" t="s">
        <v>200</v>
      </c>
      <c r="N901" t="s">
        <v>79</v>
      </c>
      <c r="O901" t="s">
        <v>74</v>
      </c>
      <c r="P901" t="s">
        <v>74</v>
      </c>
      <c r="Q901" t="s">
        <v>74</v>
      </c>
      <c r="R901" t="s">
        <v>74</v>
      </c>
      <c r="S901" t="s">
        <v>74</v>
      </c>
      <c r="T901" t="s">
        <v>16836</v>
      </c>
      <c r="U901" t="s">
        <v>74</v>
      </c>
      <c r="V901" t="s">
        <v>16837</v>
      </c>
      <c r="W901" t="s">
        <v>16838</v>
      </c>
      <c r="X901" t="s">
        <v>16839</v>
      </c>
      <c r="Y901" t="s">
        <v>16840</v>
      </c>
      <c r="Z901" t="s">
        <v>16841</v>
      </c>
      <c r="AA901" t="s">
        <v>16842</v>
      </c>
      <c r="AB901" t="s">
        <v>16843</v>
      </c>
      <c r="AC901" t="s">
        <v>16844</v>
      </c>
      <c r="AD901" t="s">
        <v>16845</v>
      </c>
      <c r="AE901" t="s">
        <v>16846</v>
      </c>
      <c r="AF901" t="s">
        <v>74</v>
      </c>
      <c r="AG901">
        <v>17</v>
      </c>
      <c r="AH901">
        <v>2</v>
      </c>
      <c r="AI901">
        <v>2</v>
      </c>
      <c r="AJ901">
        <v>1</v>
      </c>
      <c r="AK901">
        <v>4</v>
      </c>
      <c r="AL901" t="s">
        <v>13141</v>
      </c>
      <c r="AM901" t="s">
        <v>88</v>
      </c>
      <c r="AN901" t="s">
        <v>13142</v>
      </c>
      <c r="AO901" t="s">
        <v>13143</v>
      </c>
      <c r="AP901" t="s">
        <v>13144</v>
      </c>
      <c r="AQ901" t="s">
        <v>74</v>
      </c>
      <c r="AR901" t="s">
        <v>13145</v>
      </c>
      <c r="AS901" t="s">
        <v>13146</v>
      </c>
      <c r="AT901" t="s">
        <v>16633</v>
      </c>
      <c r="AU901">
        <v>2015</v>
      </c>
      <c r="AV901">
        <v>40</v>
      </c>
      <c r="AW901">
        <v>11</v>
      </c>
      <c r="AX901" t="s">
        <v>74</v>
      </c>
      <c r="AY901" t="s">
        <v>74</v>
      </c>
      <c r="AZ901" t="s">
        <v>74</v>
      </c>
      <c r="BA901" t="s">
        <v>74</v>
      </c>
      <c r="BB901">
        <v>731</v>
      </c>
      <c r="BC901">
        <v>740</v>
      </c>
      <c r="BD901" t="s">
        <v>74</v>
      </c>
      <c r="BE901" t="s">
        <v>16847</v>
      </c>
      <c r="BF901" t="str">
        <f>HYPERLINK("http://dx.doi.org/10.3103/S1068373915110035","http://dx.doi.org/10.3103/S1068373915110035")</f>
        <v>http://dx.doi.org/10.3103/S1068373915110035</v>
      </c>
      <c r="BG901" t="s">
        <v>74</v>
      </c>
      <c r="BH901" t="s">
        <v>74</v>
      </c>
      <c r="BI901">
        <v>10</v>
      </c>
      <c r="BJ901" t="s">
        <v>1721</v>
      </c>
      <c r="BK901" t="s">
        <v>264</v>
      </c>
      <c r="BL901" t="s">
        <v>1721</v>
      </c>
      <c r="BM901" t="s">
        <v>16848</v>
      </c>
      <c r="BN901" t="s">
        <v>74</v>
      </c>
      <c r="BO901" t="s">
        <v>74</v>
      </c>
      <c r="BP901" t="s">
        <v>74</v>
      </c>
      <c r="BQ901" t="s">
        <v>74</v>
      </c>
      <c r="BR901" t="s">
        <v>100</v>
      </c>
      <c r="BS901" t="s">
        <v>16849</v>
      </c>
      <c r="BT901" t="str">
        <f>HYPERLINK("https%3A%2F%2Fwww.webofscience.com%2Fwos%2Fwoscc%2Ffull-record%2FWOS:000367544100003","View Full Record in Web of Science")</f>
        <v>View Full Record in Web of Science</v>
      </c>
    </row>
    <row r="902" spans="1:72" x14ac:dyDescent="0.15">
      <c r="A902" t="s">
        <v>72</v>
      </c>
      <c r="B902" t="s">
        <v>16850</v>
      </c>
      <c r="C902" t="s">
        <v>74</v>
      </c>
      <c r="D902" t="s">
        <v>74</v>
      </c>
      <c r="E902" t="s">
        <v>74</v>
      </c>
      <c r="F902" t="s">
        <v>16851</v>
      </c>
      <c r="G902" t="s">
        <v>74</v>
      </c>
      <c r="H902" t="s">
        <v>74</v>
      </c>
      <c r="I902" t="s">
        <v>16852</v>
      </c>
      <c r="J902" t="s">
        <v>16853</v>
      </c>
      <c r="K902" t="s">
        <v>74</v>
      </c>
      <c r="L902" t="s">
        <v>74</v>
      </c>
      <c r="M902" t="s">
        <v>200</v>
      </c>
      <c r="N902" t="s">
        <v>79</v>
      </c>
      <c r="O902" t="s">
        <v>74</v>
      </c>
      <c r="P902" t="s">
        <v>74</v>
      </c>
      <c r="Q902" t="s">
        <v>74</v>
      </c>
      <c r="R902" t="s">
        <v>74</v>
      </c>
      <c r="S902" t="s">
        <v>74</v>
      </c>
      <c r="T902" t="s">
        <v>74</v>
      </c>
      <c r="U902" t="s">
        <v>74</v>
      </c>
      <c r="V902" t="s">
        <v>16854</v>
      </c>
      <c r="W902" t="s">
        <v>16855</v>
      </c>
      <c r="X902" t="s">
        <v>16856</v>
      </c>
      <c r="Y902" t="s">
        <v>16857</v>
      </c>
      <c r="Z902" t="s">
        <v>16858</v>
      </c>
      <c r="AA902" t="s">
        <v>74</v>
      </c>
      <c r="AB902" t="s">
        <v>16859</v>
      </c>
      <c r="AC902" t="s">
        <v>16860</v>
      </c>
      <c r="AD902" t="s">
        <v>16861</v>
      </c>
      <c r="AE902" t="s">
        <v>16862</v>
      </c>
      <c r="AF902" t="s">
        <v>74</v>
      </c>
      <c r="AG902">
        <v>8</v>
      </c>
      <c r="AH902">
        <v>0</v>
      </c>
      <c r="AI902">
        <v>0</v>
      </c>
      <c r="AJ902">
        <v>0</v>
      </c>
      <c r="AK902">
        <v>4</v>
      </c>
      <c r="AL902" t="s">
        <v>5110</v>
      </c>
      <c r="AM902" t="s">
        <v>289</v>
      </c>
      <c r="AN902" t="s">
        <v>5111</v>
      </c>
      <c r="AO902" t="s">
        <v>16863</v>
      </c>
      <c r="AP902" t="s">
        <v>16864</v>
      </c>
      <c r="AQ902" t="s">
        <v>74</v>
      </c>
      <c r="AR902" t="s">
        <v>16865</v>
      </c>
      <c r="AS902" t="s">
        <v>16866</v>
      </c>
      <c r="AT902" t="s">
        <v>16633</v>
      </c>
      <c r="AU902">
        <v>2015</v>
      </c>
      <c r="AV902">
        <v>465</v>
      </c>
      <c r="AW902">
        <v>1</v>
      </c>
      <c r="AX902" t="s">
        <v>74</v>
      </c>
      <c r="AY902" t="s">
        <v>74</v>
      </c>
      <c r="AZ902" t="s">
        <v>74</v>
      </c>
      <c r="BA902" t="s">
        <v>74</v>
      </c>
      <c r="BB902">
        <v>1177</v>
      </c>
      <c r="BC902">
        <v>1181</v>
      </c>
      <c r="BD902" t="s">
        <v>74</v>
      </c>
      <c r="BE902" t="s">
        <v>16867</v>
      </c>
      <c r="BF902" t="str">
        <f>HYPERLINK("http://dx.doi.org/10.1134/S1028334X15110100","http://dx.doi.org/10.1134/S1028334X15110100")</f>
        <v>http://dx.doi.org/10.1134/S1028334X15110100</v>
      </c>
      <c r="BG902" t="s">
        <v>74</v>
      </c>
      <c r="BH902" t="s">
        <v>74</v>
      </c>
      <c r="BI902">
        <v>5</v>
      </c>
      <c r="BJ902" t="s">
        <v>95</v>
      </c>
      <c r="BK902" t="s">
        <v>264</v>
      </c>
      <c r="BL902" t="s">
        <v>97</v>
      </c>
      <c r="BM902" t="s">
        <v>16868</v>
      </c>
      <c r="BN902" t="s">
        <v>74</v>
      </c>
      <c r="BO902" t="s">
        <v>74</v>
      </c>
      <c r="BP902" t="s">
        <v>74</v>
      </c>
      <c r="BQ902" t="s">
        <v>74</v>
      </c>
      <c r="BR902" t="s">
        <v>100</v>
      </c>
      <c r="BS902" t="s">
        <v>16869</v>
      </c>
      <c r="BT902" t="str">
        <f>HYPERLINK("https%3A%2F%2Fwww.webofscience.com%2Fwos%2Fwoscc%2Ffull-record%2FWOS:000367273100016","View Full Record in Web of Science")</f>
        <v>View Full Record in Web of Science</v>
      </c>
    </row>
    <row r="903" spans="1:72" x14ac:dyDescent="0.15">
      <c r="A903" t="s">
        <v>72</v>
      </c>
      <c r="B903" t="s">
        <v>16870</v>
      </c>
      <c r="C903" t="s">
        <v>74</v>
      </c>
      <c r="D903" t="s">
        <v>74</v>
      </c>
      <c r="E903" t="s">
        <v>74</v>
      </c>
      <c r="F903" t="s">
        <v>16871</v>
      </c>
      <c r="G903" t="s">
        <v>74</v>
      </c>
      <c r="H903" t="s">
        <v>74</v>
      </c>
      <c r="I903" t="s">
        <v>16872</v>
      </c>
      <c r="J903" t="s">
        <v>5322</v>
      </c>
      <c r="K903" t="s">
        <v>74</v>
      </c>
      <c r="L903" t="s">
        <v>74</v>
      </c>
      <c r="M903" t="s">
        <v>200</v>
      </c>
      <c r="N903" t="s">
        <v>79</v>
      </c>
      <c r="O903" t="s">
        <v>74</v>
      </c>
      <c r="P903" t="s">
        <v>74</v>
      </c>
      <c r="Q903" t="s">
        <v>74</v>
      </c>
      <c r="R903" t="s">
        <v>74</v>
      </c>
      <c r="S903" t="s">
        <v>74</v>
      </c>
      <c r="T903" t="s">
        <v>74</v>
      </c>
      <c r="U903" t="s">
        <v>16873</v>
      </c>
      <c r="V903" t="s">
        <v>16874</v>
      </c>
      <c r="W903" t="s">
        <v>16875</v>
      </c>
      <c r="X903" t="s">
        <v>16876</v>
      </c>
      <c r="Y903" t="s">
        <v>16877</v>
      </c>
      <c r="Z903" t="s">
        <v>16878</v>
      </c>
      <c r="AA903" t="s">
        <v>16879</v>
      </c>
      <c r="AB903" t="s">
        <v>16880</v>
      </c>
      <c r="AC903" t="s">
        <v>16881</v>
      </c>
      <c r="AD903" t="s">
        <v>16845</v>
      </c>
      <c r="AE903" t="s">
        <v>16882</v>
      </c>
      <c r="AF903" t="s">
        <v>74</v>
      </c>
      <c r="AG903">
        <v>11</v>
      </c>
      <c r="AH903">
        <v>10</v>
      </c>
      <c r="AI903">
        <v>10</v>
      </c>
      <c r="AJ903">
        <v>0</v>
      </c>
      <c r="AK903">
        <v>4</v>
      </c>
      <c r="AL903" t="s">
        <v>5110</v>
      </c>
      <c r="AM903" t="s">
        <v>289</v>
      </c>
      <c r="AN903" t="s">
        <v>5111</v>
      </c>
      <c r="AO903" t="s">
        <v>5334</v>
      </c>
      <c r="AP903" t="s">
        <v>5335</v>
      </c>
      <c r="AQ903" t="s">
        <v>74</v>
      </c>
      <c r="AR903" t="s">
        <v>5336</v>
      </c>
      <c r="AS903" t="s">
        <v>5337</v>
      </c>
      <c r="AT903" t="s">
        <v>16633</v>
      </c>
      <c r="AU903">
        <v>2015</v>
      </c>
      <c r="AV903">
        <v>55</v>
      </c>
      <c r="AW903">
        <v>6</v>
      </c>
      <c r="AX903" t="s">
        <v>74</v>
      </c>
      <c r="AY903" t="s">
        <v>74</v>
      </c>
      <c r="AZ903" t="s">
        <v>74</v>
      </c>
      <c r="BA903" t="s">
        <v>74</v>
      </c>
      <c r="BB903">
        <v>796</v>
      </c>
      <c r="BC903">
        <v>800</v>
      </c>
      <c r="BD903" t="s">
        <v>74</v>
      </c>
      <c r="BE903" t="s">
        <v>16883</v>
      </c>
      <c r="BF903" t="str">
        <f>HYPERLINK("http://dx.doi.org/10.1134/S0001437015060120","http://dx.doi.org/10.1134/S0001437015060120")</f>
        <v>http://dx.doi.org/10.1134/S0001437015060120</v>
      </c>
      <c r="BG903" t="s">
        <v>74</v>
      </c>
      <c r="BH903" t="s">
        <v>74</v>
      </c>
      <c r="BI903">
        <v>5</v>
      </c>
      <c r="BJ903" t="s">
        <v>5339</v>
      </c>
      <c r="BK903" t="s">
        <v>264</v>
      </c>
      <c r="BL903" t="s">
        <v>5339</v>
      </c>
      <c r="BM903" t="s">
        <v>16884</v>
      </c>
      <c r="BN903" t="s">
        <v>74</v>
      </c>
      <c r="BO903" t="s">
        <v>74</v>
      </c>
      <c r="BP903" t="s">
        <v>74</v>
      </c>
      <c r="BQ903" t="s">
        <v>74</v>
      </c>
      <c r="BR903" t="s">
        <v>100</v>
      </c>
      <c r="BS903" t="s">
        <v>16885</v>
      </c>
      <c r="BT903" t="str">
        <f>HYPERLINK("https%3A%2F%2Fwww.webofscience.com%2Fwos%2Fwoscc%2Ffull-record%2FWOS:000367306600002","View Full Record in Web of Science")</f>
        <v>View Full Record in Web of Science</v>
      </c>
    </row>
    <row r="904" spans="1:72" x14ac:dyDescent="0.15">
      <c r="A904" t="s">
        <v>72</v>
      </c>
      <c r="B904" t="s">
        <v>16886</v>
      </c>
      <c r="C904" t="s">
        <v>74</v>
      </c>
      <c r="D904" t="s">
        <v>74</v>
      </c>
      <c r="E904" t="s">
        <v>74</v>
      </c>
      <c r="F904" t="s">
        <v>16887</v>
      </c>
      <c r="G904" t="s">
        <v>74</v>
      </c>
      <c r="H904" t="s">
        <v>74</v>
      </c>
      <c r="I904" t="s">
        <v>16888</v>
      </c>
      <c r="J904" t="s">
        <v>10577</v>
      </c>
      <c r="K904" t="s">
        <v>74</v>
      </c>
      <c r="L904" t="s">
        <v>74</v>
      </c>
      <c r="M904" t="s">
        <v>200</v>
      </c>
      <c r="N904" t="s">
        <v>5662</v>
      </c>
      <c r="O904" t="s">
        <v>74</v>
      </c>
      <c r="P904" t="s">
        <v>74</v>
      </c>
      <c r="Q904" t="s">
        <v>74</v>
      </c>
      <c r="R904" t="s">
        <v>74</v>
      </c>
      <c r="S904" t="s">
        <v>74</v>
      </c>
      <c r="T904" t="s">
        <v>74</v>
      </c>
      <c r="U904" t="s">
        <v>16889</v>
      </c>
      <c r="V904" t="s">
        <v>74</v>
      </c>
      <c r="W904" t="s">
        <v>16890</v>
      </c>
      <c r="X904" t="s">
        <v>16891</v>
      </c>
      <c r="Y904" t="s">
        <v>16892</v>
      </c>
      <c r="Z904" t="s">
        <v>16893</v>
      </c>
      <c r="AA904" t="s">
        <v>16894</v>
      </c>
      <c r="AB904" t="s">
        <v>16895</v>
      </c>
      <c r="AC904" t="s">
        <v>74</v>
      </c>
      <c r="AD904" t="s">
        <v>74</v>
      </c>
      <c r="AE904" t="s">
        <v>74</v>
      </c>
      <c r="AF904" t="s">
        <v>74</v>
      </c>
      <c r="AG904">
        <v>8</v>
      </c>
      <c r="AH904">
        <v>0</v>
      </c>
      <c r="AI904">
        <v>0</v>
      </c>
      <c r="AJ904">
        <v>0</v>
      </c>
      <c r="AK904">
        <v>7</v>
      </c>
      <c r="AL904" t="s">
        <v>7256</v>
      </c>
      <c r="AM904" t="s">
        <v>289</v>
      </c>
      <c r="AN904" t="s">
        <v>10589</v>
      </c>
      <c r="AO904" t="s">
        <v>10590</v>
      </c>
      <c r="AP904" t="s">
        <v>10591</v>
      </c>
      <c r="AQ904" t="s">
        <v>74</v>
      </c>
      <c r="AR904" t="s">
        <v>10592</v>
      </c>
      <c r="AS904" t="s">
        <v>10593</v>
      </c>
      <c r="AT904" t="s">
        <v>16633</v>
      </c>
      <c r="AU904">
        <v>2015</v>
      </c>
      <c r="AV904">
        <v>8</v>
      </c>
      <c r="AW904">
        <v>11</v>
      </c>
      <c r="AX904" t="s">
        <v>74</v>
      </c>
      <c r="AY904" t="s">
        <v>74</v>
      </c>
      <c r="AZ904" t="s">
        <v>74</v>
      </c>
      <c r="BA904" t="s">
        <v>74</v>
      </c>
      <c r="BB904">
        <v>822</v>
      </c>
      <c r="BC904">
        <v>822</v>
      </c>
      <c r="BD904" t="s">
        <v>74</v>
      </c>
      <c r="BE904" t="s">
        <v>16896</v>
      </c>
      <c r="BF904" t="str">
        <f>HYPERLINK("http://dx.doi.org/10.1038/ngeo2536","http://dx.doi.org/10.1038/ngeo2536")</f>
        <v>http://dx.doi.org/10.1038/ngeo2536</v>
      </c>
      <c r="BG904" t="s">
        <v>74</v>
      </c>
      <c r="BH904" t="s">
        <v>74</v>
      </c>
      <c r="BI904">
        <v>1</v>
      </c>
      <c r="BJ904" t="s">
        <v>95</v>
      </c>
      <c r="BK904" t="s">
        <v>264</v>
      </c>
      <c r="BL904" t="s">
        <v>97</v>
      </c>
      <c r="BM904" t="s">
        <v>16897</v>
      </c>
      <c r="BN904" t="s">
        <v>74</v>
      </c>
      <c r="BO904" t="s">
        <v>486</v>
      </c>
      <c r="BP904" t="s">
        <v>74</v>
      </c>
      <c r="BQ904" t="s">
        <v>74</v>
      </c>
      <c r="BR904" t="s">
        <v>100</v>
      </c>
      <c r="BS904" t="s">
        <v>16898</v>
      </c>
      <c r="BT904" t="str">
        <f>HYPERLINK("https%3A%2F%2Fwww.webofscience.com%2Fwos%2Fwoscc%2Ffull-record%2FWOS:000367200000007","View Full Record in Web of Science")</f>
        <v>View Full Record in Web of Science</v>
      </c>
    </row>
    <row r="905" spans="1:72" x14ac:dyDescent="0.15">
      <c r="A905" t="s">
        <v>72</v>
      </c>
      <c r="B905" t="s">
        <v>16899</v>
      </c>
      <c r="C905" t="s">
        <v>74</v>
      </c>
      <c r="D905" t="s">
        <v>74</v>
      </c>
      <c r="E905" t="s">
        <v>74</v>
      </c>
      <c r="F905" t="s">
        <v>16900</v>
      </c>
      <c r="G905" t="s">
        <v>74</v>
      </c>
      <c r="H905" t="s">
        <v>74</v>
      </c>
      <c r="I905" t="s">
        <v>16901</v>
      </c>
      <c r="J905" t="s">
        <v>10577</v>
      </c>
      <c r="K905" t="s">
        <v>74</v>
      </c>
      <c r="L905" t="s">
        <v>74</v>
      </c>
      <c r="M905" t="s">
        <v>200</v>
      </c>
      <c r="N905" t="s">
        <v>79</v>
      </c>
      <c r="O905" t="s">
        <v>74</v>
      </c>
      <c r="P905" t="s">
        <v>74</v>
      </c>
      <c r="Q905" t="s">
        <v>74</v>
      </c>
      <c r="R905" t="s">
        <v>74</v>
      </c>
      <c r="S905" t="s">
        <v>74</v>
      </c>
      <c r="T905" t="s">
        <v>74</v>
      </c>
      <c r="U905" t="s">
        <v>16902</v>
      </c>
      <c r="V905" t="s">
        <v>16903</v>
      </c>
      <c r="W905" t="s">
        <v>16904</v>
      </c>
      <c r="X905" t="s">
        <v>16905</v>
      </c>
      <c r="Y905" t="s">
        <v>16906</v>
      </c>
      <c r="Z905" t="s">
        <v>16907</v>
      </c>
      <c r="AA905" t="s">
        <v>74</v>
      </c>
      <c r="AB905" t="s">
        <v>16908</v>
      </c>
      <c r="AC905" t="s">
        <v>74</v>
      </c>
      <c r="AD905" t="s">
        <v>74</v>
      </c>
      <c r="AE905" t="s">
        <v>74</v>
      </c>
      <c r="AF905" t="s">
        <v>74</v>
      </c>
      <c r="AG905">
        <v>38</v>
      </c>
      <c r="AH905">
        <v>12</v>
      </c>
      <c r="AI905">
        <v>12</v>
      </c>
      <c r="AJ905">
        <v>0</v>
      </c>
      <c r="AK905">
        <v>15</v>
      </c>
      <c r="AL905" t="s">
        <v>7256</v>
      </c>
      <c r="AM905" t="s">
        <v>289</v>
      </c>
      <c r="AN905" t="s">
        <v>10589</v>
      </c>
      <c r="AO905" t="s">
        <v>10590</v>
      </c>
      <c r="AP905" t="s">
        <v>10591</v>
      </c>
      <c r="AQ905" t="s">
        <v>74</v>
      </c>
      <c r="AR905" t="s">
        <v>10592</v>
      </c>
      <c r="AS905" t="s">
        <v>10593</v>
      </c>
      <c r="AT905" t="s">
        <v>16633</v>
      </c>
      <c r="AU905">
        <v>2015</v>
      </c>
      <c r="AV905">
        <v>8</v>
      </c>
      <c r="AW905">
        <v>11</v>
      </c>
      <c r="AX905" t="s">
        <v>74</v>
      </c>
      <c r="AY905" t="s">
        <v>74</v>
      </c>
      <c r="AZ905" t="s">
        <v>74</v>
      </c>
      <c r="BA905" t="s">
        <v>74</v>
      </c>
      <c r="BB905">
        <v>847</v>
      </c>
      <c r="BC905" t="s">
        <v>7262</v>
      </c>
      <c r="BD905" t="s">
        <v>74</v>
      </c>
      <c r="BE905" t="s">
        <v>16909</v>
      </c>
      <c r="BF905" t="str">
        <f>HYPERLINK("http://dx.doi.org/10.1038/NGEO2532","http://dx.doi.org/10.1038/NGEO2532")</f>
        <v>http://dx.doi.org/10.1038/NGEO2532</v>
      </c>
      <c r="BG905" t="s">
        <v>74</v>
      </c>
      <c r="BH905" t="s">
        <v>74</v>
      </c>
      <c r="BI905">
        <v>6</v>
      </c>
      <c r="BJ905" t="s">
        <v>95</v>
      </c>
      <c r="BK905" t="s">
        <v>264</v>
      </c>
      <c r="BL905" t="s">
        <v>97</v>
      </c>
      <c r="BM905" t="s">
        <v>16897</v>
      </c>
      <c r="BN905" t="s">
        <v>74</v>
      </c>
      <c r="BO905" t="s">
        <v>431</v>
      </c>
      <c r="BP905" t="s">
        <v>74</v>
      </c>
      <c r="BQ905" t="s">
        <v>74</v>
      </c>
      <c r="BR905" t="s">
        <v>100</v>
      </c>
      <c r="BS905" t="s">
        <v>16910</v>
      </c>
      <c r="BT905" t="str">
        <f>HYPERLINK("https%3A%2F%2Fwww.webofscience.com%2Fwos%2Fwoscc%2Ffull-record%2FWOS:000367200000016","View Full Record in Web of Science")</f>
        <v>View Full Record in Web of Science</v>
      </c>
    </row>
    <row r="906" spans="1:72" x14ac:dyDescent="0.15">
      <c r="A906" t="s">
        <v>72</v>
      </c>
      <c r="B906" t="s">
        <v>16911</v>
      </c>
      <c r="C906" t="s">
        <v>74</v>
      </c>
      <c r="D906" t="s">
        <v>74</v>
      </c>
      <c r="E906" t="s">
        <v>74</v>
      </c>
      <c r="F906" t="s">
        <v>16912</v>
      </c>
      <c r="G906" t="s">
        <v>74</v>
      </c>
      <c r="H906" t="s">
        <v>74</v>
      </c>
      <c r="I906" t="s">
        <v>16913</v>
      </c>
      <c r="J906" t="s">
        <v>16914</v>
      </c>
      <c r="K906" t="s">
        <v>74</v>
      </c>
      <c r="L906" t="s">
        <v>74</v>
      </c>
      <c r="M906" t="s">
        <v>200</v>
      </c>
      <c r="N906" t="s">
        <v>717</v>
      </c>
      <c r="O906" t="s">
        <v>74</v>
      </c>
      <c r="P906" t="s">
        <v>74</v>
      </c>
      <c r="Q906" t="s">
        <v>74</v>
      </c>
      <c r="R906" t="s">
        <v>74</v>
      </c>
      <c r="S906" t="s">
        <v>74</v>
      </c>
      <c r="T906" t="s">
        <v>74</v>
      </c>
      <c r="U906" t="s">
        <v>16915</v>
      </c>
      <c r="V906" t="s">
        <v>16916</v>
      </c>
      <c r="W906" t="s">
        <v>16917</v>
      </c>
      <c r="X906" t="s">
        <v>16918</v>
      </c>
      <c r="Y906" t="s">
        <v>16919</v>
      </c>
      <c r="Z906" t="s">
        <v>16920</v>
      </c>
      <c r="AA906" t="s">
        <v>16921</v>
      </c>
      <c r="AB906" t="s">
        <v>16922</v>
      </c>
      <c r="AC906" t="s">
        <v>16923</v>
      </c>
      <c r="AD906" t="s">
        <v>16924</v>
      </c>
      <c r="AE906" t="s">
        <v>16925</v>
      </c>
      <c r="AF906" t="s">
        <v>74</v>
      </c>
      <c r="AG906">
        <v>80</v>
      </c>
      <c r="AH906">
        <v>19</v>
      </c>
      <c r="AI906">
        <v>27</v>
      </c>
      <c r="AJ906">
        <v>1</v>
      </c>
      <c r="AK906">
        <v>56</v>
      </c>
      <c r="AL906" t="s">
        <v>5888</v>
      </c>
      <c r="AM906" t="s">
        <v>1386</v>
      </c>
      <c r="AN906" t="s">
        <v>5889</v>
      </c>
      <c r="AO906" t="s">
        <v>16926</v>
      </c>
      <c r="AP906" t="s">
        <v>74</v>
      </c>
      <c r="AQ906" t="s">
        <v>74</v>
      </c>
      <c r="AR906" t="s">
        <v>16927</v>
      </c>
      <c r="AS906" t="s">
        <v>16928</v>
      </c>
      <c r="AT906" t="s">
        <v>16633</v>
      </c>
      <c r="AU906">
        <v>2015</v>
      </c>
      <c r="AV906">
        <v>138</v>
      </c>
      <c r="AW906" t="s">
        <v>74</v>
      </c>
      <c r="AX906" t="s">
        <v>6314</v>
      </c>
      <c r="AY906" t="s">
        <v>74</v>
      </c>
      <c r="AZ906" t="s">
        <v>74</v>
      </c>
      <c r="BA906" t="s">
        <v>74</v>
      </c>
      <c r="BB906">
        <v>238</v>
      </c>
      <c r="BC906">
        <v>248</v>
      </c>
      <c r="BD906" t="s">
        <v>74</v>
      </c>
      <c r="BE906" t="s">
        <v>16929</v>
      </c>
      <c r="BF906" t="str">
        <f>HYPERLINK("http://dx.doi.org/10.1016/j.pocean.2015.06.008","http://dx.doi.org/10.1016/j.pocean.2015.06.008")</f>
        <v>http://dx.doi.org/10.1016/j.pocean.2015.06.008</v>
      </c>
      <c r="BG906" t="s">
        <v>74</v>
      </c>
      <c r="BH906" t="s">
        <v>74</v>
      </c>
      <c r="BI906">
        <v>11</v>
      </c>
      <c r="BJ906" t="s">
        <v>5339</v>
      </c>
      <c r="BK906" t="s">
        <v>264</v>
      </c>
      <c r="BL906" t="s">
        <v>5339</v>
      </c>
      <c r="BM906" t="s">
        <v>16930</v>
      </c>
      <c r="BN906" t="s">
        <v>74</v>
      </c>
      <c r="BO906" t="s">
        <v>74</v>
      </c>
      <c r="BP906" t="s">
        <v>74</v>
      </c>
      <c r="BQ906" t="s">
        <v>74</v>
      </c>
      <c r="BR906" t="s">
        <v>100</v>
      </c>
      <c r="BS906" t="s">
        <v>16931</v>
      </c>
      <c r="BT906" t="str">
        <f>HYPERLINK("https%3A%2F%2Fwww.webofscience.com%2Fwos%2Fwoscc%2Ffull-record%2FWOS:000367106900015","View Full Record in Web of Science")</f>
        <v>View Full Record in Web of Science</v>
      </c>
    </row>
    <row r="907" spans="1:72" x14ac:dyDescent="0.15">
      <c r="A907" t="s">
        <v>72</v>
      </c>
      <c r="B907" t="s">
        <v>16932</v>
      </c>
      <c r="C907" t="s">
        <v>74</v>
      </c>
      <c r="D907" t="s">
        <v>74</v>
      </c>
      <c r="E907" t="s">
        <v>74</v>
      </c>
      <c r="F907" t="s">
        <v>16933</v>
      </c>
      <c r="G907" t="s">
        <v>74</v>
      </c>
      <c r="H907" t="s">
        <v>74</v>
      </c>
      <c r="I907" t="s">
        <v>16934</v>
      </c>
      <c r="J907" t="s">
        <v>16914</v>
      </c>
      <c r="K907" t="s">
        <v>74</v>
      </c>
      <c r="L907" t="s">
        <v>74</v>
      </c>
      <c r="M907" t="s">
        <v>200</v>
      </c>
      <c r="N907" t="s">
        <v>717</v>
      </c>
      <c r="O907" t="s">
        <v>74</v>
      </c>
      <c r="P907" t="s">
        <v>74</v>
      </c>
      <c r="Q907" t="s">
        <v>74</v>
      </c>
      <c r="R907" t="s">
        <v>74</v>
      </c>
      <c r="S907" t="s">
        <v>74</v>
      </c>
      <c r="T907" t="s">
        <v>74</v>
      </c>
      <c r="U907" t="s">
        <v>16935</v>
      </c>
      <c r="V907" t="s">
        <v>16936</v>
      </c>
      <c r="W907" t="s">
        <v>16937</v>
      </c>
      <c r="X907" t="s">
        <v>16938</v>
      </c>
      <c r="Y907" t="s">
        <v>16939</v>
      </c>
      <c r="Z907" t="s">
        <v>16940</v>
      </c>
      <c r="AA907" t="s">
        <v>16941</v>
      </c>
      <c r="AB907" t="s">
        <v>74</v>
      </c>
      <c r="AC907" t="s">
        <v>16942</v>
      </c>
      <c r="AD907" t="s">
        <v>16943</v>
      </c>
      <c r="AE907" t="s">
        <v>16944</v>
      </c>
      <c r="AF907" t="s">
        <v>74</v>
      </c>
      <c r="AG907">
        <v>73</v>
      </c>
      <c r="AH907">
        <v>13</v>
      </c>
      <c r="AI907">
        <v>14</v>
      </c>
      <c r="AJ907">
        <v>0</v>
      </c>
      <c r="AK907">
        <v>22</v>
      </c>
      <c r="AL907" t="s">
        <v>5888</v>
      </c>
      <c r="AM907" t="s">
        <v>1386</v>
      </c>
      <c r="AN907" t="s">
        <v>5889</v>
      </c>
      <c r="AO907" t="s">
        <v>16926</v>
      </c>
      <c r="AP907" t="s">
        <v>16945</v>
      </c>
      <c r="AQ907" t="s">
        <v>74</v>
      </c>
      <c r="AR907" t="s">
        <v>16927</v>
      </c>
      <c r="AS907" t="s">
        <v>16928</v>
      </c>
      <c r="AT907" t="s">
        <v>16633</v>
      </c>
      <c r="AU907">
        <v>2015</v>
      </c>
      <c r="AV907">
        <v>138</v>
      </c>
      <c r="AW907" t="s">
        <v>74</v>
      </c>
      <c r="AX907" t="s">
        <v>219</v>
      </c>
      <c r="AY907" t="s">
        <v>74</v>
      </c>
      <c r="AZ907" t="s">
        <v>2540</v>
      </c>
      <c r="BA907" t="s">
        <v>74</v>
      </c>
      <c r="BB907">
        <v>504</v>
      </c>
      <c r="BC907">
        <v>520</v>
      </c>
      <c r="BD907" t="s">
        <v>74</v>
      </c>
      <c r="BE907" t="s">
        <v>16946</v>
      </c>
      <c r="BF907" t="str">
        <f>HYPERLINK("http://dx.doi.org/10.1016/j.pocean.2015.02.006","http://dx.doi.org/10.1016/j.pocean.2015.02.006")</f>
        <v>http://dx.doi.org/10.1016/j.pocean.2015.02.006</v>
      </c>
      <c r="BG907" t="s">
        <v>74</v>
      </c>
      <c r="BH907" t="s">
        <v>74</v>
      </c>
      <c r="BI907">
        <v>17</v>
      </c>
      <c r="BJ907" t="s">
        <v>5339</v>
      </c>
      <c r="BK907" t="s">
        <v>264</v>
      </c>
      <c r="BL907" t="s">
        <v>5339</v>
      </c>
      <c r="BM907" t="s">
        <v>16947</v>
      </c>
      <c r="BN907" t="s">
        <v>74</v>
      </c>
      <c r="BO907" t="s">
        <v>74</v>
      </c>
      <c r="BP907" t="s">
        <v>74</v>
      </c>
      <c r="BQ907" t="s">
        <v>74</v>
      </c>
      <c r="BR907" t="s">
        <v>100</v>
      </c>
      <c r="BS907" t="s">
        <v>16948</v>
      </c>
      <c r="BT907" t="str">
        <f>HYPERLINK("https%3A%2F%2Fwww.webofscience.com%2Fwos%2Fwoscc%2Ffull-record%2FWOS:000367107000013","View Full Record in Web of Science")</f>
        <v>View Full Record in Web of Science</v>
      </c>
    </row>
    <row r="908" spans="1:72" x14ac:dyDescent="0.15">
      <c r="A908" t="s">
        <v>72</v>
      </c>
      <c r="B908" t="s">
        <v>16949</v>
      </c>
      <c r="C908" t="s">
        <v>74</v>
      </c>
      <c r="D908" t="s">
        <v>74</v>
      </c>
      <c r="E908" t="s">
        <v>74</v>
      </c>
      <c r="F908" t="s">
        <v>16950</v>
      </c>
      <c r="G908" t="s">
        <v>74</v>
      </c>
      <c r="H908" t="s">
        <v>74</v>
      </c>
      <c r="I908" t="s">
        <v>16951</v>
      </c>
      <c r="J908" t="s">
        <v>16914</v>
      </c>
      <c r="K908" t="s">
        <v>74</v>
      </c>
      <c r="L908" t="s">
        <v>74</v>
      </c>
      <c r="M908" t="s">
        <v>200</v>
      </c>
      <c r="N908" t="s">
        <v>717</v>
      </c>
      <c r="O908" t="s">
        <v>74</v>
      </c>
      <c r="P908" t="s">
        <v>74</v>
      </c>
      <c r="Q908" t="s">
        <v>74</v>
      </c>
      <c r="R908" t="s">
        <v>74</v>
      </c>
      <c r="S908" t="s">
        <v>74</v>
      </c>
      <c r="T908" t="s">
        <v>74</v>
      </c>
      <c r="U908" t="s">
        <v>16952</v>
      </c>
      <c r="V908" t="s">
        <v>16953</v>
      </c>
      <c r="W908" t="s">
        <v>16954</v>
      </c>
      <c r="X908" t="s">
        <v>16955</v>
      </c>
      <c r="Y908" t="s">
        <v>16956</v>
      </c>
      <c r="Z908" t="s">
        <v>74</v>
      </c>
      <c r="AA908" t="s">
        <v>16308</v>
      </c>
      <c r="AB908" t="s">
        <v>16957</v>
      </c>
      <c r="AC908" t="s">
        <v>16958</v>
      </c>
      <c r="AD908" t="s">
        <v>16958</v>
      </c>
      <c r="AE908" t="s">
        <v>16959</v>
      </c>
      <c r="AF908" t="s">
        <v>74</v>
      </c>
      <c r="AG908">
        <v>69</v>
      </c>
      <c r="AH908">
        <v>21</v>
      </c>
      <c r="AI908">
        <v>24</v>
      </c>
      <c r="AJ908">
        <v>0</v>
      </c>
      <c r="AK908">
        <v>26</v>
      </c>
      <c r="AL908" t="s">
        <v>5888</v>
      </c>
      <c r="AM908" t="s">
        <v>1386</v>
      </c>
      <c r="AN908" t="s">
        <v>5889</v>
      </c>
      <c r="AO908" t="s">
        <v>16926</v>
      </c>
      <c r="AP908" t="s">
        <v>74</v>
      </c>
      <c r="AQ908" t="s">
        <v>74</v>
      </c>
      <c r="AR908" t="s">
        <v>16927</v>
      </c>
      <c r="AS908" t="s">
        <v>16928</v>
      </c>
      <c r="AT908" t="s">
        <v>16633</v>
      </c>
      <c r="AU908">
        <v>2015</v>
      </c>
      <c r="AV908">
        <v>138</v>
      </c>
      <c r="AW908" t="s">
        <v>74</v>
      </c>
      <c r="AX908" t="s">
        <v>219</v>
      </c>
      <c r="AY908" t="s">
        <v>74</v>
      </c>
      <c r="AZ908" t="s">
        <v>2540</v>
      </c>
      <c r="BA908" t="s">
        <v>74</v>
      </c>
      <c r="BB908">
        <v>533</v>
      </c>
      <c r="BC908">
        <v>545</v>
      </c>
      <c r="BD908" t="s">
        <v>74</v>
      </c>
      <c r="BE908" t="s">
        <v>16960</v>
      </c>
      <c r="BF908" t="str">
        <f>HYPERLINK("http://dx.doi.org/10.1016/j.pocean.2015.04.004","http://dx.doi.org/10.1016/j.pocean.2015.04.004")</f>
        <v>http://dx.doi.org/10.1016/j.pocean.2015.04.004</v>
      </c>
      <c r="BG908" t="s">
        <v>74</v>
      </c>
      <c r="BH908" t="s">
        <v>74</v>
      </c>
      <c r="BI908">
        <v>13</v>
      </c>
      <c r="BJ908" t="s">
        <v>5339</v>
      </c>
      <c r="BK908" t="s">
        <v>264</v>
      </c>
      <c r="BL908" t="s">
        <v>5339</v>
      </c>
      <c r="BM908" t="s">
        <v>16947</v>
      </c>
      <c r="BN908" t="s">
        <v>74</v>
      </c>
      <c r="BO908" t="s">
        <v>74</v>
      </c>
      <c r="BP908" t="s">
        <v>74</v>
      </c>
      <c r="BQ908" t="s">
        <v>74</v>
      </c>
      <c r="BR908" t="s">
        <v>100</v>
      </c>
      <c r="BS908" t="s">
        <v>16961</v>
      </c>
      <c r="BT908" t="str">
        <f>HYPERLINK("https%3A%2F%2Fwww.webofscience.com%2Fwos%2Fwoscc%2Ffull-record%2FWOS:000367107000015","View Full Record in Web of Science")</f>
        <v>View Full Record in Web of Science</v>
      </c>
    </row>
    <row r="909" spans="1:72" x14ac:dyDescent="0.15">
      <c r="A909" t="s">
        <v>72</v>
      </c>
      <c r="B909" t="s">
        <v>16962</v>
      </c>
      <c r="C909" t="s">
        <v>74</v>
      </c>
      <c r="D909" t="s">
        <v>74</v>
      </c>
      <c r="E909" t="s">
        <v>74</v>
      </c>
      <c r="F909" t="s">
        <v>16963</v>
      </c>
      <c r="G909" t="s">
        <v>74</v>
      </c>
      <c r="H909" t="s">
        <v>74</v>
      </c>
      <c r="I909" t="s">
        <v>16964</v>
      </c>
      <c r="J909" t="s">
        <v>16965</v>
      </c>
      <c r="K909" t="s">
        <v>74</v>
      </c>
      <c r="L909" t="s">
        <v>74</v>
      </c>
      <c r="M909" t="s">
        <v>200</v>
      </c>
      <c r="N909" t="s">
        <v>79</v>
      </c>
      <c r="O909" t="s">
        <v>74</v>
      </c>
      <c r="P909" t="s">
        <v>74</v>
      </c>
      <c r="Q909" t="s">
        <v>74</v>
      </c>
      <c r="R909" t="s">
        <v>74</v>
      </c>
      <c r="S909" t="s">
        <v>74</v>
      </c>
      <c r="T909" t="s">
        <v>74</v>
      </c>
      <c r="U909" t="s">
        <v>16966</v>
      </c>
      <c r="V909" t="s">
        <v>16967</v>
      </c>
      <c r="W909" t="s">
        <v>16968</v>
      </c>
      <c r="X909" t="s">
        <v>16969</v>
      </c>
      <c r="Y909" t="s">
        <v>16970</v>
      </c>
      <c r="Z909" t="s">
        <v>16971</v>
      </c>
      <c r="AA909" t="s">
        <v>16972</v>
      </c>
      <c r="AB909" t="s">
        <v>16973</v>
      </c>
      <c r="AC909" t="s">
        <v>74</v>
      </c>
      <c r="AD909" t="s">
        <v>74</v>
      </c>
      <c r="AE909" t="s">
        <v>74</v>
      </c>
      <c r="AF909" t="s">
        <v>74</v>
      </c>
      <c r="AG909">
        <v>42</v>
      </c>
      <c r="AH909">
        <v>23</v>
      </c>
      <c r="AI909">
        <v>23</v>
      </c>
      <c r="AJ909">
        <v>0</v>
      </c>
      <c r="AK909">
        <v>26</v>
      </c>
      <c r="AL909" t="s">
        <v>16974</v>
      </c>
      <c r="AM909" t="s">
        <v>11397</v>
      </c>
      <c r="AN909" t="s">
        <v>16975</v>
      </c>
      <c r="AO909" t="s">
        <v>16976</v>
      </c>
      <c r="AP909" t="s">
        <v>16977</v>
      </c>
      <c r="AQ909" t="s">
        <v>74</v>
      </c>
      <c r="AR909" t="s">
        <v>16978</v>
      </c>
      <c r="AS909" t="s">
        <v>16979</v>
      </c>
      <c r="AT909" t="s">
        <v>16633</v>
      </c>
      <c r="AU909">
        <v>2015</v>
      </c>
      <c r="AV909">
        <v>138</v>
      </c>
      <c r="AW909">
        <v>5</v>
      </c>
      <c r="AX909" t="s">
        <v>74</v>
      </c>
      <c r="AY909" t="s">
        <v>74</v>
      </c>
      <c r="AZ909" t="s">
        <v>74</v>
      </c>
      <c r="BA909" t="s">
        <v>74</v>
      </c>
      <c r="BB909">
        <v>3105</v>
      </c>
      <c r="BC909">
        <v>3117</v>
      </c>
      <c r="BD909" t="s">
        <v>74</v>
      </c>
      <c r="BE909" t="s">
        <v>16980</v>
      </c>
      <c r="BF909" t="str">
        <f>HYPERLINK("http://dx.doi.org/10.1121/1.4934271","http://dx.doi.org/10.1121/1.4934271")</f>
        <v>http://dx.doi.org/10.1121/1.4934271</v>
      </c>
      <c r="BG909" t="s">
        <v>74</v>
      </c>
      <c r="BH909" t="s">
        <v>74</v>
      </c>
      <c r="BI909">
        <v>13</v>
      </c>
      <c r="BJ909" t="s">
        <v>16981</v>
      </c>
      <c r="BK909" t="s">
        <v>264</v>
      </c>
      <c r="BL909" t="s">
        <v>16981</v>
      </c>
      <c r="BM909" t="s">
        <v>16982</v>
      </c>
      <c r="BN909">
        <v>26627784</v>
      </c>
      <c r="BO909" t="s">
        <v>74</v>
      </c>
      <c r="BP909" t="s">
        <v>74</v>
      </c>
      <c r="BQ909" t="s">
        <v>74</v>
      </c>
      <c r="BR909" t="s">
        <v>100</v>
      </c>
      <c r="BS909" t="s">
        <v>16983</v>
      </c>
      <c r="BT909" t="str">
        <f>HYPERLINK("https%3A%2F%2Fwww.webofscience.com%2Fwos%2Fwoscc%2Ffull-record%2FWOS:000366319200051","View Full Record in Web of Science")</f>
        <v>View Full Record in Web of Science</v>
      </c>
    </row>
    <row r="910" spans="1:72" x14ac:dyDescent="0.15">
      <c r="A910" t="s">
        <v>72</v>
      </c>
      <c r="B910" t="s">
        <v>16984</v>
      </c>
      <c r="C910" t="s">
        <v>74</v>
      </c>
      <c r="D910" t="s">
        <v>74</v>
      </c>
      <c r="E910" t="s">
        <v>74</v>
      </c>
      <c r="F910" t="s">
        <v>16985</v>
      </c>
      <c r="G910" t="s">
        <v>74</v>
      </c>
      <c r="H910" t="s">
        <v>74</v>
      </c>
      <c r="I910" t="s">
        <v>16986</v>
      </c>
      <c r="J910" t="s">
        <v>16987</v>
      </c>
      <c r="K910" t="s">
        <v>74</v>
      </c>
      <c r="L910" t="s">
        <v>74</v>
      </c>
      <c r="M910" t="s">
        <v>200</v>
      </c>
      <c r="N910" t="s">
        <v>79</v>
      </c>
      <c r="O910" t="s">
        <v>74</v>
      </c>
      <c r="P910" t="s">
        <v>74</v>
      </c>
      <c r="Q910" t="s">
        <v>74</v>
      </c>
      <c r="R910" t="s">
        <v>74</v>
      </c>
      <c r="S910" t="s">
        <v>74</v>
      </c>
      <c r="T910" t="s">
        <v>16988</v>
      </c>
      <c r="U910" t="s">
        <v>16989</v>
      </c>
      <c r="V910" t="s">
        <v>16990</v>
      </c>
      <c r="W910" t="s">
        <v>16991</v>
      </c>
      <c r="X910" t="s">
        <v>16992</v>
      </c>
      <c r="Y910" t="s">
        <v>16993</v>
      </c>
      <c r="Z910" t="s">
        <v>16994</v>
      </c>
      <c r="AA910" t="s">
        <v>16995</v>
      </c>
      <c r="AB910" t="s">
        <v>16996</v>
      </c>
      <c r="AC910" t="s">
        <v>16997</v>
      </c>
      <c r="AD910" t="s">
        <v>16998</v>
      </c>
      <c r="AE910" t="s">
        <v>16999</v>
      </c>
      <c r="AF910" t="s">
        <v>74</v>
      </c>
      <c r="AG910">
        <v>50</v>
      </c>
      <c r="AH910">
        <v>19</v>
      </c>
      <c r="AI910">
        <v>21</v>
      </c>
      <c r="AJ910">
        <v>3</v>
      </c>
      <c r="AK910">
        <v>94</v>
      </c>
      <c r="AL910" t="s">
        <v>7218</v>
      </c>
      <c r="AM910" t="s">
        <v>1386</v>
      </c>
      <c r="AN910" t="s">
        <v>7219</v>
      </c>
      <c r="AO910" t="s">
        <v>17000</v>
      </c>
      <c r="AP910" t="s">
        <v>17001</v>
      </c>
      <c r="AQ910" t="s">
        <v>74</v>
      </c>
      <c r="AR910" t="s">
        <v>17002</v>
      </c>
      <c r="AS910" t="s">
        <v>17003</v>
      </c>
      <c r="AT910" t="s">
        <v>16633</v>
      </c>
      <c r="AU910">
        <v>2015</v>
      </c>
      <c r="AV910">
        <v>206</v>
      </c>
      <c r="AW910" t="s">
        <v>74</v>
      </c>
      <c r="AX910" t="s">
        <v>74</v>
      </c>
      <c r="AY910" t="s">
        <v>74</v>
      </c>
      <c r="AZ910" t="s">
        <v>74</v>
      </c>
      <c r="BA910" t="s">
        <v>74</v>
      </c>
      <c r="BB910">
        <v>611</v>
      </c>
      <c r="BC910">
        <v>618</v>
      </c>
      <c r="BD910" t="s">
        <v>74</v>
      </c>
      <c r="BE910" t="s">
        <v>17004</v>
      </c>
      <c r="BF910" t="str">
        <f>HYPERLINK("http://dx.doi.org/10.1016/j.envpol.2015.08.024","http://dx.doi.org/10.1016/j.envpol.2015.08.024")</f>
        <v>http://dx.doi.org/10.1016/j.envpol.2015.08.024</v>
      </c>
      <c r="BG910" t="s">
        <v>74</v>
      </c>
      <c r="BH910" t="s">
        <v>74</v>
      </c>
      <c r="BI910">
        <v>8</v>
      </c>
      <c r="BJ910" t="s">
        <v>5155</v>
      </c>
      <c r="BK910" t="s">
        <v>264</v>
      </c>
      <c r="BL910" t="s">
        <v>2887</v>
      </c>
      <c r="BM910" t="s">
        <v>17005</v>
      </c>
      <c r="BN910">
        <v>26312743</v>
      </c>
      <c r="BO910" t="s">
        <v>74</v>
      </c>
      <c r="BP910" t="s">
        <v>74</v>
      </c>
      <c r="BQ910" t="s">
        <v>74</v>
      </c>
      <c r="BR910" t="s">
        <v>100</v>
      </c>
      <c r="BS910" t="s">
        <v>17006</v>
      </c>
      <c r="BT910" t="str">
        <f>HYPERLINK("https%3A%2F%2Fwww.webofscience.com%2Fwos%2Fwoscc%2Ffull-record%2FWOS:000366235700075","View Full Record in Web of Science")</f>
        <v>View Full Record in Web of Science</v>
      </c>
    </row>
    <row r="911" spans="1:72" x14ac:dyDescent="0.15">
      <c r="A911" t="s">
        <v>72</v>
      </c>
      <c r="B911" t="s">
        <v>17007</v>
      </c>
      <c r="C911" t="s">
        <v>74</v>
      </c>
      <c r="D911" t="s">
        <v>74</v>
      </c>
      <c r="E911" t="s">
        <v>74</v>
      </c>
      <c r="F911" t="s">
        <v>17008</v>
      </c>
      <c r="G911" t="s">
        <v>74</v>
      </c>
      <c r="H911" t="s">
        <v>74</v>
      </c>
      <c r="I911" t="s">
        <v>17009</v>
      </c>
      <c r="J911" t="s">
        <v>10556</v>
      </c>
      <c r="K911" t="s">
        <v>74</v>
      </c>
      <c r="L911" t="s">
        <v>74</v>
      </c>
      <c r="M911" t="s">
        <v>200</v>
      </c>
      <c r="N911" t="s">
        <v>79</v>
      </c>
      <c r="O911" t="s">
        <v>74</v>
      </c>
      <c r="P911" t="s">
        <v>74</v>
      </c>
      <c r="Q911" t="s">
        <v>74</v>
      </c>
      <c r="R911" t="s">
        <v>74</v>
      </c>
      <c r="S911" t="s">
        <v>74</v>
      </c>
      <c r="T911" t="s">
        <v>74</v>
      </c>
      <c r="U911" t="s">
        <v>17010</v>
      </c>
      <c r="V911" t="s">
        <v>17011</v>
      </c>
      <c r="W911" t="s">
        <v>17012</v>
      </c>
      <c r="X911" t="s">
        <v>17013</v>
      </c>
      <c r="Y911" t="s">
        <v>17014</v>
      </c>
      <c r="Z911" t="s">
        <v>17015</v>
      </c>
      <c r="AA911" t="s">
        <v>17016</v>
      </c>
      <c r="AB911" t="s">
        <v>17017</v>
      </c>
      <c r="AC911" t="s">
        <v>17018</v>
      </c>
      <c r="AD911" t="s">
        <v>17019</v>
      </c>
      <c r="AE911" t="s">
        <v>17020</v>
      </c>
      <c r="AF911" t="s">
        <v>74</v>
      </c>
      <c r="AG911">
        <v>37</v>
      </c>
      <c r="AH911">
        <v>73</v>
      </c>
      <c r="AI911">
        <v>75</v>
      </c>
      <c r="AJ911">
        <v>0</v>
      </c>
      <c r="AK911">
        <v>29</v>
      </c>
      <c r="AL911" t="s">
        <v>11845</v>
      </c>
      <c r="AM911" t="s">
        <v>2354</v>
      </c>
      <c r="AN911" t="s">
        <v>11846</v>
      </c>
      <c r="AO911" t="s">
        <v>74</v>
      </c>
      <c r="AP911" t="s">
        <v>10568</v>
      </c>
      <c r="AQ911" t="s">
        <v>74</v>
      </c>
      <c r="AR911" t="s">
        <v>10569</v>
      </c>
      <c r="AS911" t="s">
        <v>10570</v>
      </c>
      <c r="AT911" t="s">
        <v>16633</v>
      </c>
      <c r="AU911">
        <v>2015</v>
      </c>
      <c r="AV911">
        <v>6</v>
      </c>
      <c r="AW911" t="s">
        <v>74</v>
      </c>
      <c r="AX911" t="s">
        <v>74</v>
      </c>
      <c r="AY911" t="s">
        <v>74</v>
      </c>
      <c r="AZ911" t="s">
        <v>74</v>
      </c>
      <c r="BA911" t="s">
        <v>74</v>
      </c>
      <c r="BB911" t="s">
        <v>74</v>
      </c>
      <c r="BC911" t="s">
        <v>74</v>
      </c>
      <c r="BD911">
        <v>8798</v>
      </c>
      <c r="BE911" t="s">
        <v>17021</v>
      </c>
      <c r="BF911" t="str">
        <f>HYPERLINK("http://dx.doi.org/10.1038/ncomms9798","http://dx.doi.org/10.1038/ncomms9798")</f>
        <v>http://dx.doi.org/10.1038/ncomms9798</v>
      </c>
      <c r="BG911" t="s">
        <v>74</v>
      </c>
      <c r="BH911" t="s">
        <v>74</v>
      </c>
      <c r="BI911">
        <v>8</v>
      </c>
      <c r="BJ911" t="s">
        <v>3540</v>
      </c>
      <c r="BK911" t="s">
        <v>264</v>
      </c>
      <c r="BL911" t="s">
        <v>3541</v>
      </c>
      <c r="BM911" t="s">
        <v>17022</v>
      </c>
      <c r="BN911">
        <v>26554381</v>
      </c>
      <c r="BO911" t="s">
        <v>523</v>
      </c>
      <c r="BP911" t="s">
        <v>74</v>
      </c>
      <c r="BQ911" t="s">
        <v>74</v>
      </c>
      <c r="BR911" t="s">
        <v>100</v>
      </c>
      <c r="BS911" t="s">
        <v>17023</v>
      </c>
      <c r="BT911" t="str">
        <f>HYPERLINK("https%3A%2F%2Fwww.webofscience.com%2Fwos%2Fwoscc%2Ffull-record%2FWOS:000366295000002","View Full Record in Web of Science")</f>
        <v>View Full Record in Web of Science</v>
      </c>
    </row>
    <row r="912" spans="1:72" x14ac:dyDescent="0.15">
      <c r="A912" t="s">
        <v>72</v>
      </c>
      <c r="B912" t="s">
        <v>17024</v>
      </c>
      <c r="C912" t="s">
        <v>74</v>
      </c>
      <c r="D912" t="s">
        <v>74</v>
      </c>
      <c r="E912" t="s">
        <v>74</v>
      </c>
      <c r="F912" t="s">
        <v>17025</v>
      </c>
      <c r="G912" t="s">
        <v>74</v>
      </c>
      <c r="H912" t="s">
        <v>74</v>
      </c>
      <c r="I912" t="s">
        <v>17026</v>
      </c>
      <c r="J912" t="s">
        <v>10556</v>
      </c>
      <c r="K912" t="s">
        <v>74</v>
      </c>
      <c r="L912" t="s">
        <v>74</v>
      </c>
      <c r="M912" t="s">
        <v>200</v>
      </c>
      <c r="N912" t="s">
        <v>79</v>
      </c>
      <c r="O912" t="s">
        <v>74</v>
      </c>
      <c r="P912" t="s">
        <v>74</v>
      </c>
      <c r="Q912" t="s">
        <v>74</v>
      </c>
      <c r="R912" t="s">
        <v>74</v>
      </c>
      <c r="S912" t="s">
        <v>74</v>
      </c>
      <c r="T912" t="s">
        <v>74</v>
      </c>
      <c r="U912" t="s">
        <v>17027</v>
      </c>
      <c r="V912" t="s">
        <v>17028</v>
      </c>
      <c r="W912" t="s">
        <v>17029</v>
      </c>
      <c r="X912" t="s">
        <v>17030</v>
      </c>
      <c r="Y912" t="s">
        <v>17031</v>
      </c>
      <c r="Z912" t="s">
        <v>17032</v>
      </c>
      <c r="AA912" t="s">
        <v>17033</v>
      </c>
      <c r="AB912" t="s">
        <v>17034</v>
      </c>
      <c r="AC912" t="s">
        <v>17035</v>
      </c>
      <c r="AD912" t="s">
        <v>17036</v>
      </c>
      <c r="AE912" t="s">
        <v>17037</v>
      </c>
      <c r="AF912" t="s">
        <v>74</v>
      </c>
      <c r="AG912">
        <v>70</v>
      </c>
      <c r="AH912">
        <v>59</v>
      </c>
      <c r="AI912">
        <v>73</v>
      </c>
      <c r="AJ912">
        <v>1</v>
      </c>
      <c r="AK912">
        <v>34</v>
      </c>
      <c r="AL912" t="s">
        <v>7256</v>
      </c>
      <c r="AM912" t="s">
        <v>2100</v>
      </c>
      <c r="AN912" t="s">
        <v>7257</v>
      </c>
      <c r="AO912" t="s">
        <v>10568</v>
      </c>
      <c r="AP912" t="s">
        <v>74</v>
      </c>
      <c r="AQ912" t="s">
        <v>74</v>
      </c>
      <c r="AR912" t="s">
        <v>10569</v>
      </c>
      <c r="AS912" t="s">
        <v>10570</v>
      </c>
      <c r="AT912" t="s">
        <v>16633</v>
      </c>
      <c r="AU912">
        <v>2015</v>
      </c>
      <c r="AV912">
        <v>6</v>
      </c>
      <c r="AW912" t="s">
        <v>74</v>
      </c>
      <c r="AX912" t="s">
        <v>74</v>
      </c>
      <c r="AY912" t="s">
        <v>74</v>
      </c>
      <c r="AZ912" t="s">
        <v>74</v>
      </c>
      <c r="BA912" t="s">
        <v>74</v>
      </c>
      <c r="BB912" t="s">
        <v>74</v>
      </c>
      <c r="BC912" t="s">
        <v>74</v>
      </c>
      <c r="BD912">
        <v>8910</v>
      </c>
      <c r="BE912" t="s">
        <v>17038</v>
      </c>
      <c r="BF912" t="str">
        <f>HYPERLINK("http://dx.doi.org/10.1038/ncomms9910","http://dx.doi.org/10.1038/ncomms9910")</f>
        <v>http://dx.doi.org/10.1038/ncomms9910</v>
      </c>
      <c r="BG912" t="s">
        <v>74</v>
      </c>
      <c r="BH912" t="s">
        <v>74</v>
      </c>
      <c r="BI912">
        <v>9</v>
      </c>
      <c r="BJ912" t="s">
        <v>3540</v>
      </c>
      <c r="BK912" t="s">
        <v>264</v>
      </c>
      <c r="BL912" t="s">
        <v>3541</v>
      </c>
      <c r="BM912" t="s">
        <v>17039</v>
      </c>
      <c r="BN912">
        <v>26608558</v>
      </c>
      <c r="BO912" t="s">
        <v>9145</v>
      </c>
      <c r="BP912" t="s">
        <v>74</v>
      </c>
      <c r="BQ912" t="s">
        <v>74</v>
      </c>
      <c r="BR912" t="s">
        <v>100</v>
      </c>
      <c r="BS912" t="s">
        <v>17040</v>
      </c>
      <c r="BT912" t="str">
        <f>HYPERLINK("https%3A%2F%2Fwww.webofscience.com%2Fwos%2Fwoscc%2Ffull-record%2FWOS:000366378900012","View Full Record in Web of Science")</f>
        <v>View Full Record in Web of Science</v>
      </c>
    </row>
    <row r="913" spans="1:72" x14ac:dyDescent="0.15">
      <c r="A913" t="s">
        <v>72</v>
      </c>
      <c r="B913" t="s">
        <v>17041</v>
      </c>
      <c r="C913" t="s">
        <v>74</v>
      </c>
      <c r="D913" t="s">
        <v>74</v>
      </c>
      <c r="E913" t="s">
        <v>74</v>
      </c>
      <c r="F913" t="s">
        <v>17042</v>
      </c>
      <c r="G913" t="s">
        <v>74</v>
      </c>
      <c r="H913" t="s">
        <v>74</v>
      </c>
      <c r="I913" t="s">
        <v>17043</v>
      </c>
      <c r="J913" t="s">
        <v>13317</v>
      </c>
      <c r="K913" t="s">
        <v>74</v>
      </c>
      <c r="L913" t="s">
        <v>74</v>
      </c>
      <c r="M913" t="s">
        <v>200</v>
      </c>
      <c r="N913" t="s">
        <v>79</v>
      </c>
      <c r="O913" t="s">
        <v>74</v>
      </c>
      <c r="P913" t="s">
        <v>74</v>
      </c>
      <c r="Q913" t="s">
        <v>74</v>
      </c>
      <c r="R913" t="s">
        <v>74</v>
      </c>
      <c r="S913" t="s">
        <v>74</v>
      </c>
      <c r="T913" t="s">
        <v>17044</v>
      </c>
      <c r="U913" t="s">
        <v>17045</v>
      </c>
      <c r="V913" t="s">
        <v>17046</v>
      </c>
      <c r="W913" t="s">
        <v>17047</v>
      </c>
      <c r="X913" t="s">
        <v>17048</v>
      </c>
      <c r="Y913" t="s">
        <v>17049</v>
      </c>
      <c r="Z913" t="s">
        <v>17050</v>
      </c>
      <c r="AA913" t="s">
        <v>74</v>
      </c>
      <c r="AB913" t="s">
        <v>7591</v>
      </c>
      <c r="AC913" t="s">
        <v>17051</v>
      </c>
      <c r="AD913" t="s">
        <v>17051</v>
      </c>
      <c r="AE913" t="s">
        <v>17052</v>
      </c>
      <c r="AF913" t="s">
        <v>74</v>
      </c>
      <c r="AG913">
        <v>34</v>
      </c>
      <c r="AH913">
        <v>37</v>
      </c>
      <c r="AI913">
        <v>39</v>
      </c>
      <c r="AJ913">
        <v>0</v>
      </c>
      <c r="AK913">
        <v>24</v>
      </c>
      <c r="AL913" t="s">
        <v>6662</v>
      </c>
      <c r="AM913" t="s">
        <v>6663</v>
      </c>
      <c r="AN913" t="s">
        <v>6664</v>
      </c>
      <c r="AO913" t="s">
        <v>13328</v>
      </c>
      <c r="AP913" t="s">
        <v>13329</v>
      </c>
      <c r="AQ913" t="s">
        <v>74</v>
      </c>
      <c r="AR913" t="s">
        <v>13330</v>
      </c>
      <c r="AS913" t="s">
        <v>13331</v>
      </c>
      <c r="AT913" t="s">
        <v>16633</v>
      </c>
      <c r="AU913">
        <v>2015</v>
      </c>
      <c r="AV913">
        <v>32</v>
      </c>
      <c r="AW913">
        <v>11</v>
      </c>
      <c r="AX913" t="s">
        <v>74</v>
      </c>
      <c r="AY913" t="s">
        <v>74</v>
      </c>
      <c r="AZ913" t="s">
        <v>74</v>
      </c>
      <c r="BA913" t="s">
        <v>74</v>
      </c>
      <c r="BB913">
        <v>2173</v>
      </c>
      <c r="BC913">
        <v>2186</v>
      </c>
      <c r="BD913" t="s">
        <v>74</v>
      </c>
      <c r="BE913" t="s">
        <v>17053</v>
      </c>
      <c r="BF913" t="str">
        <f>HYPERLINK("http://dx.doi.org/10.1175/JTECH-D-15-0035.1","http://dx.doi.org/10.1175/JTECH-D-15-0035.1")</f>
        <v>http://dx.doi.org/10.1175/JTECH-D-15-0035.1</v>
      </c>
      <c r="BG913" t="s">
        <v>74</v>
      </c>
      <c r="BH913" t="s">
        <v>74</v>
      </c>
      <c r="BI913">
        <v>14</v>
      </c>
      <c r="BJ913" t="s">
        <v>13333</v>
      </c>
      <c r="BK913" t="s">
        <v>264</v>
      </c>
      <c r="BL913" t="s">
        <v>13334</v>
      </c>
      <c r="BM913" t="s">
        <v>17054</v>
      </c>
      <c r="BN913" t="s">
        <v>74</v>
      </c>
      <c r="BO913" t="s">
        <v>486</v>
      </c>
      <c r="BP913" t="s">
        <v>74</v>
      </c>
      <c r="BQ913" t="s">
        <v>74</v>
      </c>
      <c r="BR913" t="s">
        <v>100</v>
      </c>
      <c r="BS913" t="s">
        <v>17055</v>
      </c>
      <c r="BT913" t="str">
        <f>HYPERLINK("https%3A%2F%2Fwww.webofscience.com%2Fwos%2Fwoscc%2Ffull-record%2FWOS:000365603300014","View Full Record in Web of Science")</f>
        <v>View Full Record in Web of Science</v>
      </c>
    </row>
    <row r="914" spans="1:72" x14ac:dyDescent="0.15">
      <c r="A914" t="s">
        <v>72</v>
      </c>
      <c r="B914" t="s">
        <v>17056</v>
      </c>
      <c r="C914" t="s">
        <v>74</v>
      </c>
      <c r="D914" t="s">
        <v>74</v>
      </c>
      <c r="E914" t="s">
        <v>74</v>
      </c>
      <c r="F914" t="s">
        <v>17057</v>
      </c>
      <c r="G914" t="s">
        <v>74</v>
      </c>
      <c r="H914" t="s">
        <v>74</v>
      </c>
      <c r="I914" t="s">
        <v>17058</v>
      </c>
      <c r="J914" t="s">
        <v>5098</v>
      </c>
      <c r="K914" t="s">
        <v>74</v>
      </c>
      <c r="L914" t="s">
        <v>74</v>
      </c>
      <c r="M914" t="s">
        <v>200</v>
      </c>
      <c r="N914" t="s">
        <v>79</v>
      </c>
      <c r="O914" t="s">
        <v>74</v>
      </c>
      <c r="P914" t="s">
        <v>74</v>
      </c>
      <c r="Q914" t="s">
        <v>74</v>
      </c>
      <c r="R914" t="s">
        <v>74</v>
      </c>
      <c r="S914" t="s">
        <v>74</v>
      </c>
      <c r="T914" t="s">
        <v>74</v>
      </c>
      <c r="U914" t="s">
        <v>17059</v>
      </c>
      <c r="V914" t="s">
        <v>17060</v>
      </c>
      <c r="W914" t="s">
        <v>17061</v>
      </c>
      <c r="X914" t="s">
        <v>74</v>
      </c>
      <c r="Y914" t="s">
        <v>17062</v>
      </c>
      <c r="Z914" t="s">
        <v>17063</v>
      </c>
      <c r="AA914" t="s">
        <v>17064</v>
      </c>
      <c r="AB914" t="s">
        <v>17065</v>
      </c>
      <c r="AC914" t="s">
        <v>17066</v>
      </c>
      <c r="AD914" t="s">
        <v>17067</v>
      </c>
      <c r="AE914" t="s">
        <v>17068</v>
      </c>
      <c r="AF914" t="s">
        <v>74</v>
      </c>
      <c r="AG914">
        <v>39</v>
      </c>
      <c r="AH914">
        <v>13</v>
      </c>
      <c r="AI914">
        <v>13</v>
      </c>
      <c r="AJ914">
        <v>0</v>
      </c>
      <c r="AK914">
        <v>8</v>
      </c>
      <c r="AL914" t="s">
        <v>5110</v>
      </c>
      <c r="AM914" t="s">
        <v>289</v>
      </c>
      <c r="AN914" t="s">
        <v>5111</v>
      </c>
      <c r="AO914" t="s">
        <v>5112</v>
      </c>
      <c r="AP914" t="s">
        <v>5113</v>
      </c>
      <c r="AQ914" t="s">
        <v>74</v>
      </c>
      <c r="AR914" t="s">
        <v>5114</v>
      </c>
      <c r="AS914" t="s">
        <v>5115</v>
      </c>
      <c r="AT914" t="s">
        <v>16633</v>
      </c>
      <c r="AU914">
        <v>2015</v>
      </c>
      <c r="AV914">
        <v>55</v>
      </c>
      <c r="AW914">
        <v>6</v>
      </c>
      <c r="AX914" t="s">
        <v>74</v>
      </c>
      <c r="AY914" t="s">
        <v>74</v>
      </c>
      <c r="AZ914" t="s">
        <v>74</v>
      </c>
      <c r="BA914" t="s">
        <v>74</v>
      </c>
      <c r="BB914">
        <v>780</v>
      </c>
      <c r="BC914">
        <v>800</v>
      </c>
      <c r="BD914" t="s">
        <v>74</v>
      </c>
      <c r="BE914" t="s">
        <v>17069</v>
      </c>
      <c r="BF914" t="str">
        <f>HYPERLINK("http://dx.doi.org/10.1134/S0016793215060067","http://dx.doi.org/10.1134/S0016793215060067")</f>
        <v>http://dx.doi.org/10.1134/S0016793215060067</v>
      </c>
      <c r="BG914" t="s">
        <v>74</v>
      </c>
      <c r="BH914" t="s">
        <v>74</v>
      </c>
      <c r="BI914">
        <v>21</v>
      </c>
      <c r="BJ914" t="s">
        <v>4474</v>
      </c>
      <c r="BK914" t="s">
        <v>264</v>
      </c>
      <c r="BL914" t="s">
        <v>4474</v>
      </c>
      <c r="BM914" t="s">
        <v>17070</v>
      </c>
      <c r="BN914" t="s">
        <v>74</v>
      </c>
      <c r="BO914" t="s">
        <v>74</v>
      </c>
      <c r="BP914" t="s">
        <v>74</v>
      </c>
      <c r="BQ914" t="s">
        <v>74</v>
      </c>
      <c r="BR914" t="s">
        <v>100</v>
      </c>
      <c r="BS914" t="s">
        <v>17071</v>
      </c>
      <c r="BT914" t="str">
        <f>HYPERLINK("https%3A%2F%2Fwww.webofscience.com%2Fwos%2Fwoscc%2Ffull-record%2FWOS:000365273700009","View Full Record in Web of Science")</f>
        <v>View Full Record in Web of Science</v>
      </c>
    </row>
    <row r="915" spans="1:72" x14ac:dyDescent="0.15">
      <c r="A915" t="s">
        <v>72</v>
      </c>
      <c r="B915" t="s">
        <v>17072</v>
      </c>
      <c r="C915" t="s">
        <v>74</v>
      </c>
      <c r="D915" t="s">
        <v>74</v>
      </c>
      <c r="E915" t="s">
        <v>74</v>
      </c>
      <c r="F915" t="s">
        <v>17073</v>
      </c>
      <c r="G915" t="s">
        <v>74</v>
      </c>
      <c r="H915" t="s">
        <v>74</v>
      </c>
      <c r="I915" t="s">
        <v>17074</v>
      </c>
      <c r="J915" t="s">
        <v>17075</v>
      </c>
      <c r="K915" t="s">
        <v>74</v>
      </c>
      <c r="L915" t="s">
        <v>74</v>
      </c>
      <c r="M915" t="s">
        <v>200</v>
      </c>
      <c r="N915" t="s">
        <v>79</v>
      </c>
      <c r="O915" t="s">
        <v>74</v>
      </c>
      <c r="P915" t="s">
        <v>74</v>
      </c>
      <c r="Q915" t="s">
        <v>74</v>
      </c>
      <c r="R915" t="s">
        <v>74</v>
      </c>
      <c r="S915" t="s">
        <v>74</v>
      </c>
      <c r="T915" t="s">
        <v>17076</v>
      </c>
      <c r="U915" t="s">
        <v>17077</v>
      </c>
      <c r="V915" t="s">
        <v>17078</v>
      </c>
      <c r="W915" t="s">
        <v>17079</v>
      </c>
      <c r="X915" t="s">
        <v>17080</v>
      </c>
      <c r="Y915" t="s">
        <v>17081</v>
      </c>
      <c r="Z915" t="s">
        <v>17082</v>
      </c>
      <c r="AA915" t="s">
        <v>17083</v>
      </c>
      <c r="AB915" t="s">
        <v>17084</v>
      </c>
      <c r="AC915" t="s">
        <v>17085</v>
      </c>
      <c r="AD915" t="s">
        <v>17085</v>
      </c>
      <c r="AE915" t="s">
        <v>17086</v>
      </c>
      <c r="AF915" t="s">
        <v>74</v>
      </c>
      <c r="AG915">
        <v>13</v>
      </c>
      <c r="AH915">
        <v>5</v>
      </c>
      <c r="AI915">
        <v>7</v>
      </c>
      <c r="AJ915">
        <v>0</v>
      </c>
      <c r="AK915">
        <v>9</v>
      </c>
      <c r="AL915" t="s">
        <v>17087</v>
      </c>
      <c r="AM915" t="s">
        <v>16627</v>
      </c>
      <c r="AN915" t="s">
        <v>17088</v>
      </c>
      <c r="AO915" t="s">
        <v>17089</v>
      </c>
      <c r="AP915" t="s">
        <v>17090</v>
      </c>
      <c r="AQ915" t="s">
        <v>74</v>
      </c>
      <c r="AR915" t="s">
        <v>17091</v>
      </c>
      <c r="AS915" t="s">
        <v>17092</v>
      </c>
      <c r="AT915" t="s">
        <v>16633</v>
      </c>
      <c r="AU915">
        <v>2015</v>
      </c>
      <c r="AV915">
        <v>86</v>
      </c>
      <c r="AW915">
        <v>5</v>
      </c>
      <c r="AX915" t="s">
        <v>74</v>
      </c>
      <c r="AY915" t="s">
        <v>74</v>
      </c>
      <c r="AZ915" t="s">
        <v>74</v>
      </c>
      <c r="BA915" t="s">
        <v>74</v>
      </c>
      <c r="BB915">
        <v>613</v>
      </c>
      <c r="BC915">
        <v>619</v>
      </c>
      <c r="BD915" t="s">
        <v>74</v>
      </c>
      <c r="BE915" t="s">
        <v>17093</v>
      </c>
      <c r="BF915" t="str">
        <f>HYPERLINK("http://dx.doi.org/10.1007/s12594-015-0352-y","http://dx.doi.org/10.1007/s12594-015-0352-y")</f>
        <v>http://dx.doi.org/10.1007/s12594-015-0352-y</v>
      </c>
      <c r="BG915" t="s">
        <v>74</v>
      </c>
      <c r="BH915" t="s">
        <v>74</v>
      </c>
      <c r="BI915">
        <v>7</v>
      </c>
      <c r="BJ915" t="s">
        <v>95</v>
      </c>
      <c r="BK915" t="s">
        <v>264</v>
      </c>
      <c r="BL915" t="s">
        <v>97</v>
      </c>
      <c r="BM915" t="s">
        <v>17094</v>
      </c>
      <c r="BN915" t="s">
        <v>74</v>
      </c>
      <c r="BO915" t="s">
        <v>74</v>
      </c>
      <c r="BP915" t="s">
        <v>74</v>
      </c>
      <c r="BQ915" t="s">
        <v>74</v>
      </c>
      <c r="BR915" t="s">
        <v>100</v>
      </c>
      <c r="BS915" t="s">
        <v>17095</v>
      </c>
      <c r="BT915" t="str">
        <f>HYPERLINK("https%3A%2F%2Fwww.webofscience.com%2Fwos%2Fwoscc%2Ffull-record%2FWOS:000365270900013","View Full Record in Web of Science")</f>
        <v>View Full Record in Web of Science</v>
      </c>
    </row>
    <row r="916" spans="1:72" x14ac:dyDescent="0.15">
      <c r="A916" t="s">
        <v>72</v>
      </c>
      <c r="B916" t="s">
        <v>17096</v>
      </c>
      <c r="C916" t="s">
        <v>74</v>
      </c>
      <c r="D916" t="s">
        <v>74</v>
      </c>
      <c r="E916" t="s">
        <v>74</v>
      </c>
      <c r="F916" t="s">
        <v>17097</v>
      </c>
      <c r="G916" t="s">
        <v>74</v>
      </c>
      <c r="H916" t="s">
        <v>74</v>
      </c>
      <c r="I916" t="s">
        <v>17098</v>
      </c>
      <c r="J916" t="s">
        <v>17099</v>
      </c>
      <c r="K916" t="s">
        <v>74</v>
      </c>
      <c r="L916" t="s">
        <v>74</v>
      </c>
      <c r="M916" t="s">
        <v>200</v>
      </c>
      <c r="N916" t="s">
        <v>1639</v>
      </c>
      <c r="O916" t="s">
        <v>17100</v>
      </c>
      <c r="P916" t="s">
        <v>17101</v>
      </c>
      <c r="Q916" t="s">
        <v>17102</v>
      </c>
      <c r="R916" t="s">
        <v>74</v>
      </c>
      <c r="S916" t="s">
        <v>74</v>
      </c>
      <c r="T916" t="s">
        <v>74</v>
      </c>
      <c r="U916" t="s">
        <v>17103</v>
      </c>
      <c r="V916" t="s">
        <v>17104</v>
      </c>
      <c r="W916" t="s">
        <v>17105</v>
      </c>
      <c r="X916" t="s">
        <v>17106</v>
      </c>
      <c r="Y916" t="s">
        <v>17107</v>
      </c>
      <c r="Z916" t="s">
        <v>17108</v>
      </c>
      <c r="AA916" t="s">
        <v>74</v>
      </c>
      <c r="AB916" t="s">
        <v>17109</v>
      </c>
      <c r="AC916" t="s">
        <v>17110</v>
      </c>
      <c r="AD916" t="s">
        <v>17111</v>
      </c>
      <c r="AE916" t="s">
        <v>17112</v>
      </c>
      <c r="AF916" t="s">
        <v>74</v>
      </c>
      <c r="AG916">
        <v>25</v>
      </c>
      <c r="AH916">
        <v>0</v>
      </c>
      <c r="AI916">
        <v>0</v>
      </c>
      <c r="AJ916">
        <v>0</v>
      </c>
      <c r="AK916">
        <v>6</v>
      </c>
      <c r="AL916" t="s">
        <v>6855</v>
      </c>
      <c r="AM916" t="s">
        <v>5465</v>
      </c>
      <c r="AN916" t="s">
        <v>5466</v>
      </c>
      <c r="AO916" t="s">
        <v>17113</v>
      </c>
      <c r="AP916" t="s">
        <v>17114</v>
      </c>
      <c r="AQ916" t="s">
        <v>74</v>
      </c>
      <c r="AR916" t="s">
        <v>17115</v>
      </c>
      <c r="AS916" t="s">
        <v>17116</v>
      </c>
      <c r="AT916" t="s">
        <v>16633</v>
      </c>
      <c r="AU916">
        <v>2015</v>
      </c>
      <c r="AV916">
        <v>31</v>
      </c>
      <c r="AW916" t="s">
        <v>74</v>
      </c>
      <c r="AX916" t="s">
        <v>74</v>
      </c>
      <c r="AY916">
        <v>2</v>
      </c>
      <c r="AZ916" t="s">
        <v>2540</v>
      </c>
      <c r="BA916" t="s">
        <v>74</v>
      </c>
      <c r="BB916">
        <v>64</v>
      </c>
      <c r="BC916">
        <v>70</v>
      </c>
      <c r="BD916" t="s">
        <v>74</v>
      </c>
      <c r="BE916" t="s">
        <v>17117</v>
      </c>
      <c r="BF916" t="str">
        <f>HYPERLINK("http://dx.doi.org/10.1111/jai.12897","http://dx.doi.org/10.1111/jai.12897")</f>
        <v>http://dx.doi.org/10.1111/jai.12897</v>
      </c>
      <c r="BG916" t="s">
        <v>74</v>
      </c>
      <c r="BH916" t="s">
        <v>74</v>
      </c>
      <c r="BI916">
        <v>7</v>
      </c>
      <c r="BJ916" t="s">
        <v>215</v>
      </c>
      <c r="BK916" t="s">
        <v>8871</v>
      </c>
      <c r="BL916" t="s">
        <v>215</v>
      </c>
      <c r="BM916" t="s">
        <v>17118</v>
      </c>
      <c r="BN916" t="s">
        <v>74</v>
      </c>
      <c r="BO916" t="s">
        <v>99</v>
      </c>
      <c r="BP916" t="s">
        <v>74</v>
      </c>
      <c r="BQ916" t="s">
        <v>74</v>
      </c>
      <c r="BR916" t="s">
        <v>100</v>
      </c>
      <c r="BS916" t="s">
        <v>17119</v>
      </c>
      <c r="BT916" t="str">
        <f>HYPERLINK("https%3A%2F%2Fwww.webofscience.com%2Fwos%2Fwoscc%2Ffull-record%2FWOS:000364592800011","View Full Record in Web of Science")</f>
        <v>View Full Record in Web of Science</v>
      </c>
    </row>
    <row r="917" spans="1:72" x14ac:dyDescent="0.15">
      <c r="A917" t="s">
        <v>72</v>
      </c>
      <c r="B917" t="s">
        <v>17120</v>
      </c>
      <c r="C917" t="s">
        <v>74</v>
      </c>
      <c r="D917" t="s">
        <v>74</v>
      </c>
      <c r="E917" t="s">
        <v>74</v>
      </c>
      <c r="F917" t="s">
        <v>17121</v>
      </c>
      <c r="G917" t="s">
        <v>74</v>
      </c>
      <c r="H917" t="s">
        <v>74</v>
      </c>
      <c r="I917" t="s">
        <v>17122</v>
      </c>
      <c r="J917" t="s">
        <v>6650</v>
      </c>
      <c r="K917" t="s">
        <v>74</v>
      </c>
      <c r="L917" t="s">
        <v>74</v>
      </c>
      <c r="M917" t="s">
        <v>200</v>
      </c>
      <c r="N917" t="s">
        <v>79</v>
      </c>
      <c r="O917" t="s">
        <v>74</v>
      </c>
      <c r="P917" t="s">
        <v>74</v>
      </c>
      <c r="Q917" t="s">
        <v>74</v>
      </c>
      <c r="R917" t="s">
        <v>74</v>
      </c>
      <c r="S917" t="s">
        <v>74</v>
      </c>
      <c r="T917" t="s">
        <v>17123</v>
      </c>
      <c r="U917" t="s">
        <v>17124</v>
      </c>
      <c r="V917" t="s">
        <v>17125</v>
      </c>
      <c r="W917" t="s">
        <v>17126</v>
      </c>
      <c r="X917" t="s">
        <v>17127</v>
      </c>
      <c r="Y917" t="s">
        <v>17128</v>
      </c>
      <c r="Z917" t="s">
        <v>17129</v>
      </c>
      <c r="AA917" t="s">
        <v>17130</v>
      </c>
      <c r="AB917" t="s">
        <v>17131</v>
      </c>
      <c r="AC917" t="s">
        <v>17132</v>
      </c>
      <c r="AD917" t="s">
        <v>17133</v>
      </c>
      <c r="AE917" t="s">
        <v>17134</v>
      </c>
      <c r="AF917" t="s">
        <v>74</v>
      </c>
      <c r="AG917">
        <v>54</v>
      </c>
      <c r="AH917">
        <v>22</v>
      </c>
      <c r="AI917">
        <v>25</v>
      </c>
      <c r="AJ917">
        <v>1</v>
      </c>
      <c r="AK917">
        <v>19</v>
      </c>
      <c r="AL917" t="s">
        <v>6662</v>
      </c>
      <c r="AM917" t="s">
        <v>6663</v>
      </c>
      <c r="AN917" t="s">
        <v>14811</v>
      </c>
      <c r="AO917" t="s">
        <v>6665</v>
      </c>
      <c r="AP917" t="s">
        <v>6666</v>
      </c>
      <c r="AQ917" t="s">
        <v>74</v>
      </c>
      <c r="AR917" t="s">
        <v>6667</v>
      </c>
      <c r="AS917" t="s">
        <v>6668</v>
      </c>
      <c r="AT917" t="s">
        <v>16633</v>
      </c>
      <c r="AU917">
        <v>2015</v>
      </c>
      <c r="AV917">
        <v>28</v>
      </c>
      <c r="AW917">
        <v>22</v>
      </c>
      <c r="AX917" t="s">
        <v>74</v>
      </c>
      <c r="AY917" t="s">
        <v>74</v>
      </c>
      <c r="AZ917" t="s">
        <v>74</v>
      </c>
      <c r="BA917" t="s">
        <v>74</v>
      </c>
      <c r="BB917">
        <v>8695</v>
      </c>
      <c r="BC917">
        <v>8709</v>
      </c>
      <c r="BD917" t="s">
        <v>74</v>
      </c>
      <c r="BE917" t="s">
        <v>17135</v>
      </c>
      <c r="BF917" t="str">
        <f>HYPERLINK("http://dx.doi.org/10.1175/JCLI-D-15-0201.1","http://dx.doi.org/10.1175/JCLI-D-15-0201.1")</f>
        <v>http://dx.doi.org/10.1175/JCLI-D-15-0201.1</v>
      </c>
      <c r="BG917" t="s">
        <v>74</v>
      </c>
      <c r="BH917" t="s">
        <v>74</v>
      </c>
      <c r="BI917">
        <v>15</v>
      </c>
      <c r="BJ917" t="s">
        <v>1721</v>
      </c>
      <c r="BK917" t="s">
        <v>264</v>
      </c>
      <c r="BL917" t="s">
        <v>1721</v>
      </c>
      <c r="BM917" t="s">
        <v>17136</v>
      </c>
      <c r="BN917" t="s">
        <v>74</v>
      </c>
      <c r="BO917" t="s">
        <v>5581</v>
      </c>
      <c r="BP917" t="s">
        <v>74</v>
      </c>
      <c r="BQ917" t="s">
        <v>74</v>
      </c>
      <c r="BR917" t="s">
        <v>100</v>
      </c>
      <c r="BS917" t="s">
        <v>17137</v>
      </c>
      <c r="BT917" t="str">
        <f>HYPERLINK("https%3A%2F%2Fwww.webofscience.com%2Fwos%2Fwoscc%2Ffull-record%2FWOS:000364629500003","View Full Record in Web of Science")</f>
        <v>View Full Record in Web of Science</v>
      </c>
    </row>
    <row r="918" spans="1:72" x14ac:dyDescent="0.15">
      <c r="A918" t="s">
        <v>72</v>
      </c>
      <c r="B918" t="s">
        <v>17138</v>
      </c>
      <c r="C918" t="s">
        <v>74</v>
      </c>
      <c r="D918" t="s">
        <v>74</v>
      </c>
      <c r="E918" t="s">
        <v>74</v>
      </c>
      <c r="F918" t="s">
        <v>17139</v>
      </c>
      <c r="G918" t="s">
        <v>74</v>
      </c>
      <c r="H918" t="s">
        <v>74</v>
      </c>
      <c r="I918" t="s">
        <v>17140</v>
      </c>
      <c r="J918" t="s">
        <v>6719</v>
      </c>
      <c r="K918" t="s">
        <v>74</v>
      </c>
      <c r="L918" t="s">
        <v>74</v>
      </c>
      <c r="M918" t="s">
        <v>200</v>
      </c>
      <c r="N918" t="s">
        <v>79</v>
      </c>
      <c r="O918" t="s">
        <v>74</v>
      </c>
      <c r="P918" t="s">
        <v>74</v>
      </c>
      <c r="Q918" t="s">
        <v>74</v>
      </c>
      <c r="R918" t="s">
        <v>74</v>
      </c>
      <c r="S918" t="s">
        <v>74</v>
      </c>
      <c r="T918" t="s">
        <v>74</v>
      </c>
      <c r="U918" t="s">
        <v>17141</v>
      </c>
      <c r="V918" t="s">
        <v>17142</v>
      </c>
      <c r="W918" t="s">
        <v>17143</v>
      </c>
      <c r="X918" t="s">
        <v>17144</v>
      </c>
      <c r="Y918" t="s">
        <v>17145</v>
      </c>
      <c r="Z918" t="s">
        <v>17146</v>
      </c>
      <c r="AA918" t="s">
        <v>17147</v>
      </c>
      <c r="AB918" t="s">
        <v>17148</v>
      </c>
      <c r="AC918" t="s">
        <v>74</v>
      </c>
      <c r="AD918" t="s">
        <v>74</v>
      </c>
      <c r="AE918" t="s">
        <v>74</v>
      </c>
      <c r="AF918" t="s">
        <v>74</v>
      </c>
      <c r="AG918">
        <v>34</v>
      </c>
      <c r="AH918">
        <v>8</v>
      </c>
      <c r="AI918">
        <v>9</v>
      </c>
      <c r="AJ918">
        <v>0</v>
      </c>
      <c r="AK918">
        <v>8</v>
      </c>
      <c r="AL918" t="s">
        <v>6662</v>
      </c>
      <c r="AM918" t="s">
        <v>6663</v>
      </c>
      <c r="AN918" t="s">
        <v>6664</v>
      </c>
      <c r="AO918" t="s">
        <v>6731</v>
      </c>
      <c r="AP918" t="s">
        <v>6732</v>
      </c>
      <c r="AQ918" t="s">
        <v>74</v>
      </c>
      <c r="AR918" t="s">
        <v>6733</v>
      </c>
      <c r="AS918" t="s">
        <v>6734</v>
      </c>
      <c r="AT918" t="s">
        <v>16633</v>
      </c>
      <c r="AU918">
        <v>2015</v>
      </c>
      <c r="AV918">
        <v>45</v>
      </c>
      <c r="AW918">
        <v>11</v>
      </c>
      <c r="AX918" t="s">
        <v>74</v>
      </c>
      <c r="AY918" t="s">
        <v>74</v>
      </c>
      <c r="AZ918" t="s">
        <v>74</v>
      </c>
      <c r="BA918" t="s">
        <v>74</v>
      </c>
      <c r="BB918">
        <v>2738</v>
      </c>
      <c r="BC918">
        <v>2754</v>
      </c>
      <c r="BD918" t="s">
        <v>74</v>
      </c>
      <c r="BE918" t="s">
        <v>17149</v>
      </c>
      <c r="BF918" t="str">
        <f>HYPERLINK("http://dx.doi.org/10.1175/JPO-D-15-0084.1","http://dx.doi.org/10.1175/JPO-D-15-0084.1")</f>
        <v>http://dx.doi.org/10.1175/JPO-D-15-0084.1</v>
      </c>
      <c r="BG918" t="s">
        <v>74</v>
      </c>
      <c r="BH918" t="s">
        <v>74</v>
      </c>
      <c r="BI918">
        <v>17</v>
      </c>
      <c r="BJ918" t="s">
        <v>5339</v>
      </c>
      <c r="BK918" t="s">
        <v>264</v>
      </c>
      <c r="BL918" t="s">
        <v>5339</v>
      </c>
      <c r="BM918" t="s">
        <v>17150</v>
      </c>
      <c r="BN918" t="s">
        <v>74</v>
      </c>
      <c r="BO918" t="s">
        <v>486</v>
      </c>
      <c r="BP918" t="s">
        <v>74</v>
      </c>
      <c r="BQ918" t="s">
        <v>74</v>
      </c>
      <c r="BR918" t="s">
        <v>100</v>
      </c>
      <c r="BS918" t="s">
        <v>17151</v>
      </c>
      <c r="BT918" t="str">
        <f>HYPERLINK("https%3A%2F%2Fwww.webofscience.com%2Fwos%2Fwoscc%2Ffull-record%2FWOS:000364412100003","View Full Record in Web of Science")</f>
        <v>View Full Record in Web of Science</v>
      </c>
    </row>
    <row r="919" spans="1:72" x14ac:dyDescent="0.15">
      <c r="A919" t="s">
        <v>72</v>
      </c>
      <c r="B919" t="s">
        <v>17152</v>
      </c>
      <c r="C919" t="s">
        <v>74</v>
      </c>
      <c r="D919" t="s">
        <v>74</v>
      </c>
      <c r="E919" t="s">
        <v>74</v>
      </c>
      <c r="F919" t="s">
        <v>17153</v>
      </c>
      <c r="G919" t="s">
        <v>74</v>
      </c>
      <c r="H919" t="s">
        <v>74</v>
      </c>
      <c r="I919" t="s">
        <v>17154</v>
      </c>
      <c r="J919" t="s">
        <v>6719</v>
      </c>
      <c r="K919" t="s">
        <v>74</v>
      </c>
      <c r="L919" t="s">
        <v>74</v>
      </c>
      <c r="M919" t="s">
        <v>200</v>
      </c>
      <c r="N919" t="s">
        <v>79</v>
      </c>
      <c r="O919" t="s">
        <v>74</v>
      </c>
      <c r="P919" t="s">
        <v>74</v>
      </c>
      <c r="Q919" t="s">
        <v>74</v>
      </c>
      <c r="R919" t="s">
        <v>74</v>
      </c>
      <c r="S919" t="s">
        <v>74</v>
      </c>
      <c r="T919" t="s">
        <v>74</v>
      </c>
      <c r="U919" t="s">
        <v>17155</v>
      </c>
      <c r="V919" t="s">
        <v>17156</v>
      </c>
      <c r="W919" t="s">
        <v>17157</v>
      </c>
      <c r="X919" t="s">
        <v>17158</v>
      </c>
      <c r="Y919" t="s">
        <v>17159</v>
      </c>
      <c r="Z919" t="s">
        <v>17160</v>
      </c>
      <c r="AA919" t="s">
        <v>74</v>
      </c>
      <c r="AB919" t="s">
        <v>17161</v>
      </c>
      <c r="AC919" t="s">
        <v>17162</v>
      </c>
      <c r="AD919" t="s">
        <v>17163</v>
      </c>
      <c r="AE919" t="s">
        <v>17164</v>
      </c>
      <c r="AF919" t="s">
        <v>74</v>
      </c>
      <c r="AG919">
        <v>66</v>
      </c>
      <c r="AH919">
        <v>36</v>
      </c>
      <c r="AI919">
        <v>38</v>
      </c>
      <c r="AJ919">
        <v>0</v>
      </c>
      <c r="AK919">
        <v>23</v>
      </c>
      <c r="AL919" t="s">
        <v>6662</v>
      </c>
      <c r="AM919" t="s">
        <v>6663</v>
      </c>
      <c r="AN919" t="s">
        <v>6664</v>
      </c>
      <c r="AO919" t="s">
        <v>6731</v>
      </c>
      <c r="AP919" t="s">
        <v>6732</v>
      </c>
      <c r="AQ919" t="s">
        <v>74</v>
      </c>
      <c r="AR919" t="s">
        <v>6733</v>
      </c>
      <c r="AS919" t="s">
        <v>6734</v>
      </c>
      <c r="AT919" t="s">
        <v>16633</v>
      </c>
      <c r="AU919">
        <v>2015</v>
      </c>
      <c r="AV919">
        <v>45</v>
      </c>
      <c r="AW919">
        <v>11</v>
      </c>
      <c r="AX919" t="s">
        <v>74</v>
      </c>
      <c r="AY919" t="s">
        <v>74</v>
      </c>
      <c r="AZ919" t="s">
        <v>74</v>
      </c>
      <c r="BA919" t="s">
        <v>74</v>
      </c>
      <c r="BB919">
        <v>2755</v>
      </c>
      <c r="BC919">
        <v>2772</v>
      </c>
      <c r="BD919" t="s">
        <v>74</v>
      </c>
      <c r="BE919" t="s">
        <v>17165</v>
      </c>
      <c r="BF919" t="str">
        <f>HYPERLINK("http://dx.doi.org/10.1175/JPO-D-15-0109.1","http://dx.doi.org/10.1175/JPO-D-15-0109.1")</f>
        <v>http://dx.doi.org/10.1175/JPO-D-15-0109.1</v>
      </c>
      <c r="BG919" t="s">
        <v>74</v>
      </c>
      <c r="BH919" t="s">
        <v>74</v>
      </c>
      <c r="BI919">
        <v>18</v>
      </c>
      <c r="BJ919" t="s">
        <v>5339</v>
      </c>
      <c r="BK919" t="s">
        <v>264</v>
      </c>
      <c r="BL919" t="s">
        <v>5339</v>
      </c>
      <c r="BM919" t="s">
        <v>17150</v>
      </c>
      <c r="BN919" t="s">
        <v>74</v>
      </c>
      <c r="BO919" t="s">
        <v>486</v>
      </c>
      <c r="BP919" t="s">
        <v>74</v>
      </c>
      <c r="BQ919" t="s">
        <v>74</v>
      </c>
      <c r="BR919" t="s">
        <v>100</v>
      </c>
      <c r="BS919" t="s">
        <v>17166</v>
      </c>
      <c r="BT919" t="str">
        <f>HYPERLINK("https%3A%2F%2Fwww.webofscience.com%2Fwos%2Fwoscc%2Ffull-record%2FWOS:000364412100004","View Full Record in Web of Science")</f>
        <v>View Full Record in Web of Science</v>
      </c>
    </row>
    <row r="920" spans="1:72" x14ac:dyDescent="0.15">
      <c r="A920" t="s">
        <v>72</v>
      </c>
      <c r="B920" t="s">
        <v>17167</v>
      </c>
      <c r="C920" t="s">
        <v>74</v>
      </c>
      <c r="D920" t="s">
        <v>74</v>
      </c>
      <c r="E920" t="s">
        <v>74</v>
      </c>
      <c r="F920" t="s">
        <v>17168</v>
      </c>
      <c r="G920" t="s">
        <v>74</v>
      </c>
      <c r="H920" t="s">
        <v>74</v>
      </c>
      <c r="I920" t="s">
        <v>17169</v>
      </c>
      <c r="J920" t="s">
        <v>17170</v>
      </c>
      <c r="K920" t="s">
        <v>74</v>
      </c>
      <c r="L920" t="s">
        <v>74</v>
      </c>
      <c r="M920" t="s">
        <v>200</v>
      </c>
      <c r="N920" t="s">
        <v>79</v>
      </c>
      <c r="O920" t="s">
        <v>74</v>
      </c>
      <c r="P920" t="s">
        <v>74</v>
      </c>
      <c r="Q920" t="s">
        <v>74</v>
      </c>
      <c r="R920" t="s">
        <v>74</v>
      </c>
      <c r="S920" t="s">
        <v>74</v>
      </c>
      <c r="T920" t="s">
        <v>17171</v>
      </c>
      <c r="U920" t="s">
        <v>17172</v>
      </c>
      <c r="V920" t="s">
        <v>17173</v>
      </c>
      <c r="W920" t="s">
        <v>17174</v>
      </c>
      <c r="X920" t="s">
        <v>17175</v>
      </c>
      <c r="Y920" t="s">
        <v>17176</v>
      </c>
      <c r="Z920" t="s">
        <v>17177</v>
      </c>
      <c r="AA920" t="s">
        <v>17178</v>
      </c>
      <c r="AB920" t="s">
        <v>17179</v>
      </c>
      <c r="AC920" t="s">
        <v>17180</v>
      </c>
      <c r="AD920" t="s">
        <v>17180</v>
      </c>
      <c r="AE920" t="s">
        <v>17181</v>
      </c>
      <c r="AF920" t="s">
        <v>74</v>
      </c>
      <c r="AG920">
        <v>58</v>
      </c>
      <c r="AH920">
        <v>13</v>
      </c>
      <c r="AI920">
        <v>14</v>
      </c>
      <c r="AJ920">
        <v>0</v>
      </c>
      <c r="AK920">
        <v>45</v>
      </c>
      <c r="AL920" t="s">
        <v>7218</v>
      </c>
      <c r="AM920" t="s">
        <v>1386</v>
      </c>
      <c r="AN920" t="s">
        <v>7219</v>
      </c>
      <c r="AO920" t="s">
        <v>17182</v>
      </c>
      <c r="AP920" t="s">
        <v>17183</v>
      </c>
      <c r="AQ920" t="s">
        <v>74</v>
      </c>
      <c r="AR920" t="s">
        <v>17184</v>
      </c>
      <c r="AS920" t="s">
        <v>17185</v>
      </c>
      <c r="AT920" t="s">
        <v>16633</v>
      </c>
      <c r="AU920">
        <v>2015</v>
      </c>
      <c r="AV920">
        <v>116</v>
      </c>
      <c r="AW920" t="s">
        <v>74</v>
      </c>
      <c r="AX920" t="s">
        <v>74</v>
      </c>
      <c r="AY920" t="s">
        <v>74</v>
      </c>
      <c r="AZ920" t="s">
        <v>74</v>
      </c>
      <c r="BA920" t="s">
        <v>74</v>
      </c>
      <c r="BB920">
        <v>9</v>
      </c>
      <c r="BC920">
        <v>19</v>
      </c>
      <c r="BD920" t="s">
        <v>74</v>
      </c>
      <c r="BE920" t="s">
        <v>17186</v>
      </c>
      <c r="BF920" t="str">
        <f>HYPERLINK("http://dx.doi.org/10.1016/j.ocecoaman.2015.06.016","http://dx.doi.org/10.1016/j.ocecoaman.2015.06.016")</f>
        <v>http://dx.doi.org/10.1016/j.ocecoaman.2015.06.016</v>
      </c>
      <c r="BG920" t="s">
        <v>74</v>
      </c>
      <c r="BH920" t="s">
        <v>74</v>
      </c>
      <c r="BI920">
        <v>11</v>
      </c>
      <c r="BJ920" t="s">
        <v>17187</v>
      </c>
      <c r="BK920" t="s">
        <v>264</v>
      </c>
      <c r="BL920" t="s">
        <v>17187</v>
      </c>
      <c r="BM920" t="s">
        <v>17188</v>
      </c>
      <c r="BN920" t="s">
        <v>74</v>
      </c>
      <c r="BO920" t="s">
        <v>74</v>
      </c>
      <c r="BP920" t="s">
        <v>74</v>
      </c>
      <c r="BQ920" t="s">
        <v>74</v>
      </c>
      <c r="BR920" t="s">
        <v>100</v>
      </c>
      <c r="BS920" t="s">
        <v>17189</v>
      </c>
      <c r="BT920" t="str">
        <f>HYPERLINK("https%3A%2F%2Fwww.webofscience.com%2Fwos%2Fwoscc%2Ffull-record%2FWOS:000364436700002","View Full Record in Web of Science")</f>
        <v>View Full Record in Web of Science</v>
      </c>
    </row>
    <row r="921" spans="1:72" x14ac:dyDescent="0.15">
      <c r="A921" t="s">
        <v>72</v>
      </c>
      <c r="B921" t="s">
        <v>17190</v>
      </c>
      <c r="C921" t="s">
        <v>74</v>
      </c>
      <c r="D921" t="s">
        <v>74</v>
      </c>
      <c r="E921" t="s">
        <v>74</v>
      </c>
      <c r="F921" t="s">
        <v>17191</v>
      </c>
      <c r="G921" t="s">
        <v>74</v>
      </c>
      <c r="H921" t="s">
        <v>74</v>
      </c>
      <c r="I921" t="s">
        <v>17192</v>
      </c>
      <c r="J921" t="s">
        <v>17170</v>
      </c>
      <c r="K921" t="s">
        <v>74</v>
      </c>
      <c r="L921" t="s">
        <v>74</v>
      </c>
      <c r="M921" t="s">
        <v>200</v>
      </c>
      <c r="N921" t="s">
        <v>79</v>
      </c>
      <c r="O921" t="s">
        <v>74</v>
      </c>
      <c r="P921" t="s">
        <v>74</v>
      </c>
      <c r="Q921" t="s">
        <v>74</v>
      </c>
      <c r="R921" t="s">
        <v>74</v>
      </c>
      <c r="S921" t="s">
        <v>74</v>
      </c>
      <c r="T921" t="s">
        <v>17193</v>
      </c>
      <c r="U921" t="s">
        <v>17194</v>
      </c>
      <c r="V921" t="s">
        <v>17195</v>
      </c>
      <c r="W921" t="s">
        <v>17196</v>
      </c>
      <c r="X921" t="s">
        <v>17197</v>
      </c>
      <c r="Y921" t="s">
        <v>17198</v>
      </c>
      <c r="Z921" t="s">
        <v>17199</v>
      </c>
      <c r="AA921" t="s">
        <v>17200</v>
      </c>
      <c r="AB921" t="s">
        <v>17201</v>
      </c>
      <c r="AC921" t="s">
        <v>17202</v>
      </c>
      <c r="AD921" t="s">
        <v>17203</v>
      </c>
      <c r="AE921" t="s">
        <v>17204</v>
      </c>
      <c r="AF921" t="s">
        <v>74</v>
      </c>
      <c r="AG921">
        <v>39</v>
      </c>
      <c r="AH921">
        <v>5</v>
      </c>
      <c r="AI921">
        <v>7</v>
      </c>
      <c r="AJ921">
        <v>1</v>
      </c>
      <c r="AK921">
        <v>19</v>
      </c>
      <c r="AL921" t="s">
        <v>7218</v>
      </c>
      <c r="AM921" t="s">
        <v>1386</v>
      </c>
      <c r="AN921" t="s">
        <v>7219</v>
      </c>
      <c r="AO921" t="s">
        <v>17182</v>
      </c>
      <c r="AP921" t="s">
        <v>17183</v>
      </c>
      <c r="AQ921" t="s">
        <v>74</v>
      </c>
      <c r="AR921" t="s">
        <v>17184</v>
      </c>
      <c r="AS921" t="s">
        <v>17185</v>
      </c>
      <c r="AT921" t="s">
        <v>16633</v>
      </c>
      <c r="AU921">
        <v>2015</v>
      </c>
      <c r="AV921">
        <v>116</v>
      </c>
      <c r="AW921" t="s">
        <v>74</v>
      </c>
      <c r="AX921" t="s">
        <v>74</v>
      </c>
      <c r="AY921" t="s">
        <v>74</v>
      </c>
      <c r="AZ921" t="s">
        <v>74</v>
      </c>
      <c r="BA921" t="s">
        <v>74</v>
      </c>
      <c r="BB921">
        <v>311</v>
      </c>
      <c r="BC921">
        <v>317</v>
      </c>
      <c r="BD921" t="s">
        <v>74</v>
      </c>
      <c r="BE921" t="s">
        <v>17205</v>
      </c>
      <c r="BF921" t="str">
        <f>HYPERLINK("http://dx.doi.org/10.1016/j.ocecoaman.2015.08.012","http://dx.doi.org/10.1016/j.ocecoaman.2015.08.012")</f>
        <v>http://dx.doi.org/10.1016/j.ocecoaman.2015.08.012</v>
      </c>
      <c r="BG921" t="s">
        <v>74</v>
      </c>
      <c r="BH921" t="s">
        <v>74</v>
      </c>
      <c r="BI921">
        <v>7</v>
      </c>
      <c r="BJ921" t="s">
        <v>17187</v>
      </c>
      <c r="BK921" t="s">
        <v>710</v>
      </c>
      <c r="BL921" t="s">
        <v>17187</v>
      </c>
      <c r="BM921" t="s">
        <v>17188</v>
      </c>
      <c r="BN921" t="s">
        <v>74</v>
      </c>
      <c r="BO921" t="s">
        <v>74</v>
      </c>
      <c r="BP921" t="s">
        <v>74</v>
      </c>
      <c r="BQ921" t="s">
        <v>74</v>
      </c>
      <c r="BR921" t="s">
        <v>100</v>
      </c>
      <c r="BS921" t="s">
        <v>17206</v>
      </c>
      <c r="BT921" t="str">
        <f>HYPERLINK("https%3A%2F%2Fwww.webofscience.com%2Fwos%2Fwoscc%2Ffull-record%2FWOS:000364436700031","View Full Record in Web of Science")</f>
        <v>View Full Record in Web of Science</v>
      </c>
    </row>
    <row r="922" spans="1:72" x14ac:dyDescent="0.15">
      <c r="A922" t="s">
        <v>72</v>
      </c>
      <c r="B922" t="s">
        <v>17207</v>
      </c>
      <c r="C922" t="s">
        <v>74</v>
      </c>
      <c r="D922" t="s">
        <v>74</v>
      </c>
      <c r="E922" t="s">
        <v>74</v>
      </c>
      <c r="F922" t="s">
        <v>17208</v>
      </c>
      <c r="G922" t="s">
        <v>74</v>
      </c>
      <c r="H922" t="s">
        <v>74</v>
      </c>
      <c r="I922" t="s">
        <v>17209</v>
      </c>
      <c r="J922" t="s">
        <v>17210</v>
      </c>
      <c r="K922" t="s">
        <v>74</v>
      </c>
      <c r="L922" t="s">
        <v>74</v>
      </c>
      <c r="M922" t="s">
        <v>200</v>
      </c>
      <c r="N922" t="s">
        <v>79</v>
      </c>
      <c r="O922" t="s">
        <v>74</v>
      </c>
      <c r="P922" t="s">
        <v>74</v>
      </c>
      <c r="Q922" t="s">
        <v>74</v>
      </c>
      <c r="R922" t="s">
        <v>74</v>
      </c>
      <c r="S922" t="s">
        <v>74</v>
      </c>
      <c r="T922" t="s">
        <v>74</v>
      </c>
      <c r="U922" t="s">
        <v>17211</v>
      </c>
      <c r="V922" t="s">
        <v>74</v>
      </c>
      <c r="W922" t="s">
        <v>17212</v>
      </c>
      <c r="X922" t="s">
        <v>17213</v>
      </c>
      <c r="Y922" t="s">
        <v>17214</v>
      </c>
      <c r="Z922" t="s">
        <v>17215</v>
      </c>
      <c r="AA922" t="s">
        <v>74</v>
      </c>
      <c r="AB922" t="s">
        <v>17216</v>
      </c>
      <c r="AC922" t="s">
        <v>17217</v>
      </c>
      <c r="AD922" t="s">
        <v>17218</v>
      </c>
      <c r="AE922" t="s">
        <v>17219</v>
      </c>
      <c r="AF922" t="s">
        <v>74</v>
      </c>
      <c r="AG922">
        <v>37</v>
      </c>
      <c r="AH922">
        <v>13</v>
      </c>
      <c r="AI922">
        <v>17</v>
      </c>
      <c r="AJ922">
        <v>0</v>
      </c>
      <c r="AK922">
        <v>3</v>
      </c>
      <c r="AL922" t="s">
        <v>17220</v>
      </c>
      <c r="AM922" t="s">
        <v>17221</v>
      </c>
      <c r="AN922" t="s">
        <v>17222</v>
      </c>
      <c r="AO922" t="s">
        <v>17223</v>
      </c>
      <c r="AP922" t="s">
        <v>17224</v>
      </c>
      <c r="AQ922" t="s">
        <v>74</v>
      </c>
      <c r="AR922" t="s">
        <v>17225</v>
      </c>
      <c r="AS922" t="s">
        <v>17226</v>
      </c>
      <c r="AT922" t="s">
        <v>16746</v>
      </c>
      <c r="AU922">
        <v>2015</v>
      </c>
      <c r="AV922">
        <v>86</v>
      </c>
      <c r="AW922">
        <v>6</v>
      </c>
      <c r="AX922" t="s">
        <v>74</v>
      </c>
      <c r="AY922" t="s">
        <v>74</v>
      </c>
      <c r="AZ922" t="s">
        <v>74</v>
      </c>
      <c r="BA922" t="s">
        <v>74</v>
      </c>
      <c r="BB922">
        <v>1636</v>
      </c>
      <c r="BC922">
        <v>1644</v>
      </c>
      <c r="BD922" t="s">
        <v>74</v>
      </c>
      <c r="BE922" t="s">
        <v>17227</v>
      </c>
      <c r="BF922" t="str">
        <f>HYPERLINK("http://dx.doi.org/10.1785/0220150117","http://dx.doi.org/10.1785/0220150117")</f>
        <v>http://dx.doi.org/10.1785/0220150117</v>
      </c>
      <c r="BG922" t="s">
        <v>74</v>
      </c>
      <c r="BH922" t="s">
        <v>74</v>
      </c>
      <c r="BI922">
        <v>9</v>
      </c>
      <c r="BJ922" t="s">
        <v>4474</v>
      </c>
      <c r="BK922" t="s">
        <v>264</v>
      </c>
      <c r="BL922" t="s">
        <v>4474</v>
      </c>
      <c r="BM922" t="s">
        <v>17228</v>
      </c>
      <c r="BN922" t="s">
        <v>74</v>
      </c>
      <c r="BO922" t="s">
        <v>74</v>
      </c>
      <c r="BP922" t="s">
        <v>74</v>
      </c>
      <c r="BQ922" t="s">
        <v>74</v>
      </c>
      <c r="BR922" t="s">
        <v>100</v>
      </c>
      <c r="BS922" t="s">
        <v>17229</v>
      </c>
      <c r="BT922" t="str">
        <f>HYPERLINK("https%3A%2F%2Fwww.webofscience.com%2Fwos%2Fwoscc%2Ffull-record%2FWOS:000364610100017","View Full Record in Web of Science")</f>
        <v>View Full Record in Web of Science</v>
      </c>
    </row>
    <row r="923" spans="1:72" x14ac:dyDescent="0.15">
      <c r="A923" t="s">
        <v>72</v>
      </c>
      <c r="B923" t="s">
        <v>17230</v>
      </c>
      <c r="C923" t="s">
        <v>74</v>
      </c>
      <c r="D923" t="s">
        <v>74</v>
      </c>
      <c r="E923" t="s">
        <v>74</v>
      </c>
      <c r="F923" t="s">
        <v>17231</v>
      </c>
      <c r="G923" t="s">
        <v>74</v>
      </c>
      <c r="H923" t="s">
        <v>74</v>
      </c>
      <c r="I923" t="s">
        <v>17232</v>
      </c>
      <c r="J923" t="s">
        <v>17233</v>
      </c>
      <c r="K923" t="s">
        <v>74</v>
      </c>
      <c r="L923" t="s">
        <v>74</v>
      </c>
      <c r="M923" t="s">
        <v>200</v>
      </c>
      <c r="N923" t="s">
        <v>79</v>
      </c>
      <c r="O923" t="s">
        <v>74</v>
      </c>
      <c r="P923" t="s">
        <v>74</v>
      </c>
      <c r="Q923" t="s">
        <v>74</v>
      </c>
      <c r="R923" t="s">
        <v>74</v>
      </c>
      <c r="S923" t="s">
        <v>74</v>
      </c>
      <c r="T923" t="s">
        <v>74</v>
      </c>
      <c r="U923" t="s">
        <v>17234</v>
      </c>
      <c r="V923" t="s">
        <v>17235</v>
      </c>
      <c r="W923" t="s">
        <v>17236</v>
      </c>
      <c r="X923" t="s">
        <v>6365</v>
      </c>
      <c r="Y923" t="s">
        <v>17237</v>
      </c>
      <c r="Z923" t="s">
        <v>17238</v>
      </c>
      <c r="AA923" t="s">
        <v>17239</v>
      </c>
      <c r="AB923" t="s">
        <v>17240</v>
      </c>
      <c r="AC923" t="s">
        <v>17241</v>
      </c>
      <c r="AD923" t="s">
        <v>17242</v>
      </c>
      <c r="AE923" t="s">
        <v>17243</v>
      </c>
      <c r="AF923" t="s">
        <v>74</v>
      </c>
      <c r="AG923">
        <v>63</v>
      </c>
      <c r="AH923">
        <v>17</v>
      </c>
      <c r="AI923">
        <v>20</v>
      </c>
      <c r="AJ923">
        <v>3</v>
      </c>
      <c r="AK923">
        <v>32</v>
      </c>
      <c r="AL923" t="s">
        <v>17244</v>
      </c>
      <c r="AM923" t="s">
        <v>17245</v>
      </c>
      <c r="AN923" t="s">
        <v>17246</v>
      </c>
      <c r="AO923" t="s">
        <v>17247</v>
      </c>
      <c r="AP923" t="s">
        <v>17248</v>
      </c>
      <c r="AQ923" t="s">
        <v>74</v>
      </c>
      <c r="AR923" t="s">
        <v>17249</v>
      </c>
      <c r="AS923" t="s">
        <v>17250</v>
      </c>
      <c r="AT923" t="s">
        <v>16633</v>
      </c>
      <c r="AU923">
        <v>2015</v>
      </c>
      <c r="AV923">
        <v>72</v>
      </c>
      <c r="AW923">
        <v>11</v>
      </c>
      <c r="AX923" t="s">
        <v>74</v>
      </c>
      <c r="AY923" t="s">
        <v>74</v>
      </c>
      <c r="AZ923" t="s">
        <v>74</v>
      </c>
      <c r="BA923" t="s">
        <v>74</v>
      </c>
      <c r="BB923">
        <v>1609</v>
      </c>
      <c r="BC923">
        <v>1618</v>
      </c>
      <c r="BD923" t="s">
        <v>74</v>
      </c>
      <c r="BE923" t="s">
        <v>17251</v>
      </c>
      <c r="BF923" t="str">
        <f>HYPERLINK("http://dx.doi.org/10.1139/cjfas-2014-0559","http://dx.doi.org/10.1139/cjfas-2014-0559")</f>
        <v>http://dx.doi.org/10.1139/cjfas-2014-0559</v>
      </c>
      <c r="BG923" t="s">
        <v>74</v>
      </c>
      <c r="BH923" t="s">
        <v>74</v>
      </c>
      <c r="BI923">
        <v>10</v>
      </c>
      <c r="BJ923" t="s">
        <v>215</v>
      </c>
      <c r="BK923" t="s">
        <v>264</v>
      </c>
      <c r="BL923" t="s">
        <v>215</v>
      </c>
      <c r="BM923" t="s">
        <v>17252</v>
      </c>
      <c r="BN923" t="s">
        <v>74</v>
      </c>
      <c r="BO923" t="s">
        <v>74</v>
      </c>
      <c r="BP923" t="s">
        <v>74</v>
      </c>
      <c r="BQ923" t="s">
        <v>74</v>
      </c>
      <c r="BR923" t="s">
        <v>100</v>
      </c>
      <c r="BS923" t="s">
        <v>17253</v>
      </c>
      <c r="BT923" t="str">
        <f>HYPERLINK("https%3A%2F%2Fwww.webofscience.com%2Fwos%2Fwoscc%2Ffull-record%2FWOS:000364104300001","View Full Record in Web of Science")</f>
        <v>View Full Record in Web of Science</v>
      </c>
    </row>
    <row r="924" spans="1:72" x14ac:dyDescent="0.15">
      <c r="A924" t="s">
        <v>72</v>
      </c>
      <c r="B924" t="s">
        <v>17254</v>
      </c>
      <c r="C924" t="s">
        <v>74</v>
      </c>
      <c r="D924" t="s">
        <v>74</v>
      </c>
      <c r="E924" t="s">
        <v>74</v>
      </c>
      <c r="F924" t="s">
        <v>17255</v>
      </c>
      <c r="G924" t="s">
        <v>74</v>
      </c>
      <c r="H924" t="s">
        <v>74</v>
      </c>
      <c r="I924" t="s">
        <v>17256</v>
      </c>
      <c r="J924" t="s">
        <v>17257</v>
      </c>
      <c r="K924" t="s">
        <v>74</v>
      </c>
      <c r="L924" t="s">
        <v>74</v>
      </c>
      <c r="M924" t="s">
        <v>200</v>
      </c>
      <c r="N924" t="s">
        <v>79</v>
      </c>
      <c r="O924" t="s">
        <v>74</v>
      </c>
      <c r="P924" t="s">
        <v>74</v>
      </c>
      <c r="Q924" t="s">
        <v>74</v>
      </c>
      <c r="R924" t="s">
        <v>74</v>
      </c>
      <c r="S924" t="s">
        <v>74</v>
      </c>
      <c r="T924" t="s">
        <v>17258</v>
      </c>
      <c r="U924" t="s">
        <v>17259</v>
      </c>
      <c r="V924" t="s">
        <v>17260</v>
      </c>
      <c r="W924" t="s">
        <v>17261</v>
      </c>
      <c r="X924" t="s">
        <v>17262</v>
      </c>
      <c r="Y924" t="s">
        <v>17263</v>
      </c>
      <c r="Z924" t="s">
        <v>17264</v>
      </c>
      <c r="AA924" t="s">
        <v>17265</v>
      </c>
      <c r="AB924" t="s">
        <v>16668</v>
      </c>
      <c r="AC924" t="s">
        <v>17266</v>
      </c>
      <c r="AD924" t="s">
        <v>17267</v>
      </c>
      <c r="AE924" t="s">
        <v>17268</v>
      </c>
      <c r="AF924" t="s">
        <v>74</v>
      </c>
      <c r="AG924">
        <v>13</v>
      </c>
      <c r="AH924">
        <v>7</v>
      </c>
      <c r="AI924">
        <v>12</v>
      </c>
      <c r="AJ924">
        <v>1</v>
      </c>
      <c r="AK924">
        <v>27</v>
      </c>
      <c r="AL924" t="s">
        <v>17269</v>
      </c>
      <c r="AM924" t="s">
        <v>17270</v>
      </c>
      <c r="AN924" t="s">
        <v>17271</v>
      </c>
      <c r="AO924" t="s">
        <v>17272</v>
      </c>
      <c r="AP924" t="s">
        <v>17273</v>
      </c>
      <c r="AQ924" t="s">
        <v>74</v>
      </c>
      <c r="AR924" t="s">
        <v>17274</v>
      </c>
      <c r="AS924" t="s">
        <v>17275</v>
      </c>
      <c r="AT924" t="s">
        <v>16633</v>
      </c>
      <c r="AU924">
        <v>2015</v>
      </c>
      <c r="AV924">
        <v>12</v>
      </c>
      <c r="AW924">
        <v>11</v>
      </c>
      <c r="AX924" t="s">
        <v>74</v>
      </c>
      <c r="AY924" t="s">
        <v>74</v>
      </c>
      <c r="AZ924" t="s">
        <v>74</v>
      </c>
      <c r="BA924" t="s">
        <v>74</v>
      </c>
      <c r="BB924">
        <v>2291</v>
      </c>
      <c r="BC924">
        <v>2295</v>
      </c>
      <c r="BD924" t="s">
        <v>74</v>
      </c>
      <c r="BE924" t="s">
        <v>17276</v>
      </c>
      <c r="BF924" t="str">
        <f>HYPERLINK("http://dx.doi.org/10.1109/LGRS.2015.2471849","http://dx.doi.org/10.1109/LGRS.2015.2471849")</f>
        <v>http://dx.doi.org/10.1109/LGRS.2015.2471849</v>
      </c>
      <c r="BG924" t="s">
        <v>74</v>
      </c>
      <c r="BH924" t="s">
        <v>74</v>
      </c>
      <c r="BI924">
        <v>5</v>
      </c>
      <c r="BJ924" t="s">
        <v>17277</v>
      </c>
      <c r="BK924" t="s">
        <v>264</v>
      </c>
      <c r="BL924" t="s">
        <v>17278</v>
      </c>
      <c r="BM924" t="s">
        <v>17279</v>
      </c>
      <c r="BN924" t="s">
        <v>74</v>
      </c>
      <c r="BO924" t="s">
        <v>74</v>
      </c>
      <c r="BP924" t="s">
        <v>74</v>
      </c>
      <c r="BQ924" t="s">
        <v>74</v>
      </c>
      <c r="BR924" t="s">
        <v>100</v>
      </c>
      <c r="BS924" t="s">
        <v>17280</v>
      </c>
      <c r="BT924" t="str">
        <f>HYPERLINK("https%3A%2F%2Fwww.webofscience.com%2Fwos%2Fwoscc%2Ffull-record%2FWOS:000364215500023","View Full Record in Web of Science")</f>
        <v>View Full Record in Web of Science</v>
      </c>
    </row>
    <row r="925" spans="1:72" x14ac:dyDescent="0.15">
      <c r="A925" t="s">
        <v>72</v>
      </c>
      <c r="B925" t="s">
        <v>17281</v>
      </c>
      <c r="C925" t="s">
        <v>74</v>
      </c>
      <c r="D925" t="s">
        <v>74</v>
      </c>
      <c r="E925" t="s">
        <v>74</v>
      </c>
      <c r="F925" t="s">
        <v>17282</v>
      </c>
      <c r="G925" t="s">
        <v>74</v>
      </c>
      <c r="H925" t="s">
        <v>74</v>
      </c>
      <c r="I925" t="s">
        <v>17283</v>
      </c>
      <c r="J925" t="s">
        <v>6650</v>
      </c>
      <c r="K925" t="s">
        <v>74</v>
      </c>
      <c r="L925" t="s">
        <v>74</v>
      </c>
      <c r="M925" t="s">
        <v>200</v>
      </c>
      <c r="N925" t="s">
        <v>79</v>
      </c>
      <c r="O925" t="s">
        <v>74</v>
      </c>
      <c r="P925" t="s">
        <v>74</v>
      </c>
      <c r="Q925" t="s">
        <v>74</v>
      </c>
      <c r="R925" t="s">
        <v>74</v>
      </c>
      <c r="S925" t="s">
        <v>74</v>
      </c>
      <c r="T925" t="s">
        <v>17284</v>
      </c>
      <c r="U925" t="s">
        <v>17285</v>
      </c>
      <c r="V925" t="s">
        <v>17286</v>
      </c>
      <c r="W925" t="s">
        <v>17287</v>
      </c>
      <c r="X925" t="s">
        <v>17288</v>
      </c>
      <c r="Y925" t="s">
        <v>17289</v>
      </c>
      <c r="Z925" t="s">
        <v>16133</v>
      </c>
      <c r="AA925" t="s">
        <v>17290</v>
      </c>
      <c r="AB925" t="s">
        <v>74</v>
      </c>
      <c r="AC925" t="s">
        <v>17291</v>
      </c>
      <c r="AD925" t="s">
        <v>847</v>
      </c>
      <c r="AE925" t="s">
        <v>17292</v>
      </c>
      <c r="AF925" t="s">
        <v>74</v>
      </c>
      <c r="AG925">
        <v>64</v>
      </c>
      <c r="AH925">
        <v>4</v>
      </c>
      <c r="AI925">
        <v>6</v>
      </c>
      <c r="AJ925">
        <v>0</v>
      </c>
      <c r="AK925">
        <v>11</v>
      </c>
      <c r="AL925" t="s">
        <v>6662</v>
      </c>
      <c r="AM925" t="s">
        <v>6663</v>
      </c>
      <c r="AN925" t="s">
        <v>6664</v>
      </c>
      <c r="AO925" t="s">
        <v>6665</v>
      </c>
      <c r="AP925" t="s">
        <v>6666</v>
      </c>
      <c r="AQ925" t="s">
        <v>74</v>
      </c>
      <c r="AR925" t="s">
        <v>6667</v>
      </c>
      <c r="AS925" t="s">
        <v>6668</v>
      </c>
      <c r="AT925" t="s">
        <v>16633</v>
      </c>
      <c r="AU925">
        <v>2015</v>
      </c>
      <c r="AV925">
        <v>28</v>
      </c>
      <c r="AW925">
        <v>21</v>
      </c>
      <c r="AX925" t="s">
        <v>74</v>
      </c>
      <c r="AY925" t="s">
        <v>74</v>
      </c>
      <c r="AZ925" t="s">
        <v>74</v>
      </c>
      <c r="BA925" t="s">
        <v>74</v>
      </c>
      <c r="BB925">
        <v>8486</v>
      </c>
      <c r="BC925">
        <v>8510</v>
      </c>
      <c r="BD925" t="s">
        <v>74</v>
      </c>
      <c r="BE925" t="s">
        <v>17293</v>
      </c>
      <c r="BF925" t="str">
        <f>HYPERLINK("http://dx.doi.org/10.1175/JCLI-D-15-0010.1","http://dx.doi.org/10.1175/JCLI-D-15-0010.1")</f>
        <v>http://dx.doi.org/10.1175/JCLI-D-15-0010.1</v>
      </c>
      <c r="BG925" t="s">
        <v>74</v>
      </c>
      <c r="BH925" t="s">
        <v>74</v>
      </c>
      <c r="BI925">
        <v>25</v>
      </c>
      <c r="BJ925" t="s">
        <v>1721</v>
      </c>
      <c r="BK925" t="s">
        <v>264</v>
      </c>
      <c r="BL925" t="s">
        <v>1721</v>
      </c>
      <c r="BM925" t="s">
        <v>17294</v>
      </c>
      <c r="BN925" t="s">
        <v>74</v>
      </c>
      <c r="BO925" t="s">
        <v>5581</v>
      </c>
      <c r="BP925" t="s">
        <v>74</v>
      </c>
      <c r="BQ925" t="s">
        <v>74</v>
      </c>
      <c r="BR925" t="s">
        <v>100</v>
      </c>
      <c r="BS925" t="s">
        <v>17295</v>
      </c>
      <c r="BT925" t="str">
        <f>HYPERLINK("https%3A%2F%2Fwww.webofscience.com%2Fwos%2Fwoscc%2Ffull-record%2FWOS:000363766200011","View Full Record in Web of Science")</f>
        <v>View Full Record in Web of Science</v>
      </c>
    </row>
    <row r="926" spans="1:72" x14ac:dyDescent="0.15">
      <c r="A926" t="s">
        <v>72</v>
      </c>
      <c r="B926" t="s">
        <v>17296</v>
      </c>
      <c r="C926" t="s">
        <v>74</v>
      </c>
      <c r="D926" t="s">
        <v>74</v>
      </c>
      <c r="E926" t="s">
        <v>74</v>
      </c>
      <c r="F926" t="s">
        <v>17297</v>
      </c>
      <c r="G926" t="s">
        <v>74</v>
      </c>
      <c r="H926" t="s">
        <v>74</v>
      </c>
      <c r="I926" t="s">
        <v>17298</v>
      </c>
      <c r="J926" t="s">
        <v>6650</v>
      </c>
      <c r="K926" t="s">
        <v>74</v>
      </c>
      <c r="L926" t="s">
        <v>74</v>
      </c>
      <c r="M926" t="s">
        <v>200</v>
      </c>
      <c r="N926" t="s">
        <v>79</v>
      </c>
      <c r="O926" t="s">
        <v>74</v>
      </c>
      <c r="P926" t="s">
        <v>74</v>
      </c>
      <c r="Q926" t="s">
        <v>74</v>
      </c>
      <c r="R926" t="s">
        <v>74</v>
      </c>
      <c r="S926" t="s">
        <v>74</v>
      </c>
      <c r="T926" t="s">
        <v>17299</v>
      </c>
      <c r="U926" t="s">
        <v>17300</v>
      </c>
      <c r="V926" t="s">
        <v>17301</v>
      </c>
      <c r="W926" t="s">
        <v>17302</v>
      </c>
      <c r="X926" t="s">
        <v>17303</v>
      </c>
      <c r="Y926" t="s">
        <v>17304</v>
      </c>
      <c r="Z926" t="s">
        <v>17305</v>
      </c>
      <c r="AA926" t="s">
        <v>17306</v>
      </c>
      <c r="AB926" t="s">
        <v>17307</v>
      </c>
      <c r="AC926" t="s">
        <v>17308</v>
      </c>
      <c r="AD926" t="s">
        <v>17309</v>
      </c>
      <c r="AE926" t="s">
        <v>17310</v>
      </c>
      <c r="AF926" t="s">
        <v>74</v>
      </c>
      <c r="AG926">
        <v>37</v>
      </c>
      <c r="AH926">
        <v>29</v>
      </c>
      <c r="AI926">
        <v>34</v>
      </c>
      <c r="AJ926">
        <v>3</v>
      </c>
      <c r="AK926">
        <v>28</v>
      </c>
      <c r="AL926" t="s">
        <v>6662</v>
      </c>
      <c r="AM926" t="s">
        <v>6663</v>
      </c>
      <c r="AN926" t="s">
        <v>14811</v>
      </c>
      <c r="AO926" t="s">
        <v>6665</v>
      </c>
      <c r="AP926" t="s">
        <v>6666</v>
      </c>
      <c r="AQ926" t="s">
        <v>74</v>
      </c>
      <c r="AR926" t="s">
        <v>6667</v>
      </c>
      <c r="AS926" t="s">
        <v>6668</v>
      </c>
      <c r="AT926" t="s">
        <v>16633</v>
      </c>
      <c r="AU926">
        <v>2015</v>
      </c>
      <c r="AV926">
        <v>28</v>
      </c>
      <c r="AW926">
        <v>21</v>
      </c>
      <c r="AX926" t="s">
        <v>74</v>
      </c>
      <c r="AY926" t="s">
        <v>74</v>
      </c>
      <c r="AZ926" t="s">
        <v>74</v>
      </c>
      <c r="BA926" t="s">
        <v>74</v>
      </c>
      <c r="BB926">
        <v>8540</v>
      </c>
      <c r="BC926">
        <v>8555</v>
      </c>
      <c r="BD926" t="s">
        <v>74</v>
      </c>
      <c r="BE926" t="s">
        <v>17311</v>
      </c>
      <c r="BF926" t="str">
        <f>HYPERLINK("http://dx.doi.org/10.1175/JCLI-D-15-0091.1","http://dx.doi.org/10.1175/JCLI-D-15-0091.1")</f>
        <v>http://dx.doi.org/10.1175/JCLI-D-15-0091.1</v>
      </c>
      <c r="BG926" t="s">
        <v>74</v>
      </c>
      <c r="BH926" t="s">
        <v>74</v>
      </c>
      <c r="BI926">
        <v>16</v>
      </c>
      <c r="BJ926" t="s">
        <v>1721</v>
      </c>
      <c r="BK926" t="s">
        <v>264</v>
      </c>
      <c r="BL926" t="s">
        <v>1721</v>
      </c>
      <c r="BM926" t="s">
        <v>17294</v>
      </c>
      <c r="BN926" t="s">
        <v>74</v>
      </c>
      <c r="BO926" t="s">
        <v>5581</v>
      </c>
      <c r="BP926" t="s">
        <v>74</v>
      </c>
      <c r="BQ926" t="s">
        <v>74</v>
      </c>
      <c r="BR926" t="s">
        <v>100</v>
      </c>
      <c r="BS926" t="s">
        <v>17312</v>
      </c>
      <c r="BT926" t="str">
        <f>HYPERLINK("https%3A%2F%2Fwww.webofscience.com%2Fwos%2Fwoscc%2Ffull-record%2FWOS:000363766200014","View Full Record in Web of Science")</f>
        <v>View Full Record in Web of Science</v>
      </c>
    </row>
    <row r="927" spans="1:72" x14ac:dyDescent="0.15">
      <c r="A927" t="s">
        <v>72</v>
      </c>
      <c r="B927" t="s">
        <v>17313</v>
      </c>
      <c r="C927" t="s">
        <v>74</v>
      </c>
      <c r="D927" t="s">
        <v>74</v>
      </c>
      <c r="E927" t="s">
        <v>74</v>
      </c>
      <c r="F927" t="s">
        <v>17314</v>
      </c>
      <c r="G927" t="s">
        <v>74</v>
      </c>
      <c r="H927" t="s">
        <v>74</v>
      </c>
      <c r="I927" t="s">
        <v>17315</v>
      </c>
      <c r="J927" t="s">
        <v>6361</v>
      </c>
      <c r="K927" t="s">
        <v>74</v>
      </c>
      <c r="L927" t="s">
        <v>74</v>
      </c>
      <c r="M927" t="s">
        <v>200</v>
      </c>
      <c r="N927" t="s">
        <v>79</v>
      </c>
      <c r="O927" t="s">
        <v>74</v>
      </c>
      <c r="P927" t="s">
        <v>74</v>
      </c>
      <c r="Q927" t="s">
        <v>74</v>
      </c>
      <c r="R927" t="s">
        <v>74</v>
      </c>
      <c r="S927" t="s">
        <v>74</v>
      </c>
      <c r="T927" t="s">
        <v>74</v>
      </c>
      <c r="U927" t="s">
        <v>17316</v>
      </c>
      <c r="V927" t="s">
        <v>17317</v>
      </c>
      <c r="W927" t="s">
        <v>17318</v>
      </c>
      <c r="X927" t="s">
        <v>17319</v>
      </c>
      <c r="Y927" t="s">
        <v>17320</v>
      </c>
      <c r="Z927" t="s">
        <v>17321</v>
      </c>
      <c r="AA927" t="s">
        <v>17322</v>
      </c>
      <c r="AB927" t="s">
        <v>17323</v>
      </c>
      <c r="AC927" t="s">
        <v>17324</v>
      </c>
      <c r="AD927" t="s">
        <v>17325</v>
      </c>
      <c r="AE927" t="s">
        <v>17326</v>
      </c>
      <c r="AF927" t="s">
        <v>74</v>
      </c>
      <c r="AG927">
        <v>57</v>
      </c>
      <c r="AH927">
        <v>9</v>
      </c>
      <c r="AI927">
        <v>9</v>
      </c>
      <c r="AJ927">
        <v>0</v>
      </c>
      <c r="AK927">
        <v>33</v>
      </c>
      <c r="AL927" t="s">
        <v>6373</v>
      </c>
      <c r="AM927" t="s">
        <v>6374</v>
      </c>
      <c r="AN927" t="s">
        <v>6375</v>
      </c>
      <c r="AO927" t="s">
        <v>6376</v>
      </c>
      <c r="AP927" t="s">
        <v>6377</v>
      </c>
      <c r="AQ927" t="s">
        <v>74</v>
      </c>
      <c r="AR927" t="s">
        <v>6378</v>
      </c>
      <c r="AS927" t="s">
        <v>6379</v>
      </c>
      <c r="AT927" t="s">
        <v>16633</v>
      </c>
      <c r="AU927">
        <v>2015</v>
      </c>
      <c r="AV927">
        <v>162</v>
      </c>
      <c r="AW927">
        <v>11</v>
      </c>
      <c r="AX927" t="s">
        <v>74</v>
      </c>
      <c r="AY927" t="s">
        <v>74</v>
      </c>
      <c r="AZ927" t="s">
        <v>74</v>
      </c>
      <c r="BA927" t="s">
        <v>74</v>
      </c>
      <c r="BB927">
        <v>2217</v>
      </c>
      <c r="BC927">
        <v>2224</v>
      </c>
      <c r="BD927" t="s">
        <v>74</v>
      </c>
      <c r="BE927" t="s">
        <v>17327</v>
      </c>
      <c r="BF927" t="str">
        <f>HYPERLINK("http://dx.doi.org/10.1007/s00227-015-2752-3","http://dx.doi.org/10.1007/s00227-015-2752-3")</f>
        <v>http://dx.doi.org/10.1007/s00227-015-2752-3</v>
      </c>
      <c r="BG927" t="s">
        <v>74</v>
      </c>
      <c r="BH927" t="s">
        <v>74</v>
      </c>
      <c r="BI927">
        <v>8</v>
      </c>
      <c r="BJ927" t="s">
        <v>1479</v>
      </c>
      <c r="BK927" t="s">
        <v>264</v>
      </c>
      <c r="BL927" t="s">
        <v>1479</v>
      </c>
      <c r="BM927" t="s">
        <v>17328</v>
      </c>
      <c r="BN927" t="s">
        <v>74</v>
      </c>
      <c r="BO927" t="s">
        <v>74</v>
      </c>
      <c r="BP927" t="s">
        <v>74</v>
      </c>
      <c r="BQ927" t="s">
        <v>74</v>
      </c>
      <c r="BR927" t="s">
        <v>100</v>
      </c>
      <c r="BS927" t="s">
        <v>17329</v>
      </c>
      <c r="BT927" t="str">
        <f>HYPERLINK("https%3A%2F%2Fwww.webofscience.com%2Fwos%2Fwoscc%2Ffull-record%2FWOS:000363952400005","View Full Record in Web of Science")</f>
        <v>View Full Record in Web of Science</v>
      </c>
    </row>
    <row r="928" spans="1:72" x14ac:dyDescent="0.15">
      <c r="A928" t="s">
        <v>72</v>
      </c>
      <c r="B928" t="s">
        <v>17330</v>
      </c>
      <c r="C928" t="s">
        <v>74</v>
      </c>
      <c r="D928" t="s">
        <v>74</v>
      </c>
      <c r="E928" t="s">
        <v>74</v>
      </c>
      <c r="F928" t="s">
        <v>17331</v>
      </c>
      <c r="G928" t="s">
        <v>74</v>
      </c>
      <c r="H928" t="s">
        <v>74</v>
      </c>
      <c r="I928" t="s">
        <v>17332</v>
      </c>
      <c r="J928" t="s">
        <v>10679</v>
      </c>
      <c r="K928" t="s">
        <v>74</v>
      </c>
      <c r="L928" t="s">
        <v>74</v>
      </c>
      <c r="M928" t="s">
        <v>200</v>
      </c>
      <c r="N928" t="s">
        <v>79</v>
      </c>
      <c r="O928" t="s">
        <v>74</v>
      </c>
      <c r="P928" t="s">
        <v>74</v>
      </c>
      <c r="Q928" t="s">
        <v>74</v>
      </c>
      <c r="R928" t="s">
        <v>74</v>
      </c>
      <c r="S928" t="s">
        <v>74</v>
      </c>
      <c r="T928" t="s">
        <v>17333</v>
      </c>
      <c r="U928" t="s">
        <v>17334</v>
      </c>
      <c r="V928" t="s">
        <v>17335</v>
      </c>
      <c r="W928" t="s">
        <v>17336</v>
      </c>
      <c r="X928" t="s">
        <v>17337</v>
      </c>
      <c r="Y928" t="s">
        <v>17338</v>
      </c>
      <c r="Z928" t="s">
        <v>17339</v>
      </c>
      <c r="AA928" t="s">
        <v>17340</v>
      </c>
      <c r="AB928" t="s">
        <v>17341</v>
      </c>
      <c r="AC928" t="s">
        <v>17342</v>
      </c>
      <c r="AD928" t="s">
        <v>17343</v>
      </c>
      <c r="AE928" t="s">
        <v>17344</v>
      </c>
      <c r="AF928" t="s">
        <v>74</v>
      </c>
      <c r="AG928">
        <v>51</v>
      </c>
      <c r="AH928">
        <v>36</v>
      </c>
      <c r="AI928">
        <v>39</v>
      </c>
      <c r="AJ928">
        <v>0</v>
      </c>
      <c r="AK928">
        <v>19</v>
      </c>
      <c r="AL928" t="s">
        <v>7218</v>
      </c>
      <c r="AM928" t="s">
        <v>1386</v>
      </c>
      <c r="AN928" t="s">
        <v>7219</v>
      </c>
      <c r="AO928" t="s">
        <v>10692</v>
      </c>
      <c r="AP928" t="s">
        <v>10693</v>
      </c>
      <c r="AQ928" t="s">
        <v>74</v>
      </c>
      <c r="AR928" t="s">
        <v>10694</v>
      </c>
      <c r="AS928" t="s">
        <v>10695</v>
      </c>
      <c r="AT928" t="s">
        <v>16633</v>
      </c>
      <c r="AU928">
        <v>2015</v>
      </c>
      <c r="AV928">
        <v>95</v>
      </c>
      <c r="AW928" t="s">
        <v>74</v>
      </c>
      <c r="AX928" t="s">
        <v>74</v>
      </c>
      <c r="AY928" t="s">
        <v>74</v>
      </c>
      <c r="AZ928" t="s">
        <v>74</v>
      </c>
      <c r="BA928" t="s">
        <v>74</v>
      </c>
      <c r="BB928">
        <v>38</v>
      </c>
      <c r="BC928">
        <v>52</v>
      </c>
      <c r="BD928" t="s">
        <v>74</v>
      </c>
      <c r="BE928" t="s">
        <v>17345</v>
      </c>
      <c r="BF928" t="str">
        <f>HYPERLINK("http://dx.doi.org/10.1016/j.ocemod.2015.09.004","http://dx.doi.org/10.1016/j.ocemod.2015.09.004")</f>
        <v>http://dx.doi.org/10.1016/j.ocemod.2015.09.004</v>
      </c>
      <c r="BG928" t="s">
        <v>74</v>
      </c>
      <c r="BH928" t="s">
        <v>74</v>
      </c>
      <c r="BI928">
        <v>15</v>
      </c>
      <c r="BJ928" t="s">
        <v>3766</v>
      </c>
      <c r="BK928" t="s">
        <v>264</v>
      </c>
      <c r="BL928" t="s">
        <v>3766</v>
      </c>
      <c r="BM928" t="s">
        <v>17346</v>
      </c>
      <c r="BN928" t="s">
        <v>74</v>
      </c>
      <c r="BO928" t="s">
        <v>74</v>
      </c>
      <c r="BP928" t="s">
        <v>74</v>
      </c>
      <c r="BQ928" t="s">
        <v>74</v>
      </c>
      <c r="BR928" t="s">
        <v>100</v>
      </c>
      <c r="BS928" t="s">
        <v>17347</v>
      </c>
      <c r="BT928" t="str">
        <f>HYPERLINK("https%3A%2F%2Fwww.webofscience.com%2Fwos%2Fwoscc%2Ffull-record%2FWOS:000363856000005","View Full Record in Web of Science")</f>
        <v>View Full Record in Web of Science</v>
      </c>
    </row>
    <row r="929" spans="1:72" x14ac:dyDescent="0.15">
      <c r="A929" t="s">
        <v>72</v>
      </c>
      <c r="B929" t="s">
        <v>17348</v>
      </c>
      <c r="C929" t="s">
        <v>74</v>
      </c>
      <c r="D929" t="s">
        <v>74</v>
      </c>
      <c r="E929" t="s">
        <v>74</v>
      </c>
      <c r="F929" t="s">
        <v>17349</v>
      </c>
      <c r="G929" t="s">
        <v>74</v>
      </c>
      <c r="H929" t="s">
        <v>74</v>
      </c>
      <c r="I929" t="s">
        <v>17350</v>
      </c>
      <c r="J929" t="s">
        <v>17351</v>
      </c>
      <c r="K929" t="s">
        <v>74</v>
      </c>
      <c r="L929" t="s">
        <v>74</v>
      </c>
      <c r="M929" t="s">
        <v>200</v>
      </c>
      <c r="N929" t="s">
        <v>79</v>
      </c>
      <c r="O929" t="s">
        <v>74</v>
      </c>
      <c r="P929" t="s">
        <v>74</v>
      </c>
      <c r="Q929" t="s">
        <v>74</v>
      </c>
      <c r="R929" t="s">
        <v>74</v>
      </c>
      <c r="S929" t="s">
        <v>74</v>
      </c>
      <c r="T929" t="s">
        <v>74</v>
      </c>
      <c r="U929" t="s">
        <v>17352</v>
      </c>
      <c r="V929" t="s">
        <v>17353</v>
      </c>
      <c r="W929" t="s">
        <v>17354</v>
      </c>
      <c r="X929" t="s">
        <v>2120</v>
      </c>
      <c r="Y929" t="s">
        <v>17355</v>
      </c>
      <c r="Z929" t="s">
        <v>17356</v>
      </c>
      <c r="AA929" t="s">
        <v>74</v>
      </c>
      <c r="AB929" t="s">
        <v>17357</v>
      </c>
      <c r="AC929" t="s">
        <v>17358</v>
      </c>
      <c r="AD929" t="s">
        <v>17359</v>
      </c>
      <c r="AE929" t="s">
        <v>17360</v>
      </c>
      <c r="AF929" t="s">
        <v>74</v>
      </c>
      <c r="AG929">
        <v>31</v>
      </c>
      <c r="AH929">
        <v>10</v>
      </c>
      <c r="AI929">
        <v>10</v>
      </c>
      <c r="AJ929">
        <v>0</v>
      </c>
      <c r="AK929">
        <v>11</v>
      </c>
      <c r="AL929" t="s">
        <v>5464</v>
      </c>
      <c r="AM929" t="s">
        <v>5465</v>
      </c>
      <c r="AN929" t="s">
        <v>5466</v>
      </c>
      <c r="AO929" t="s">
        <v>17361</v>
      </c>
      <c r="AP929" t="s">
        <v>17362</v>
      </c>
      <c r="AQ929" t="s">
        <v>74</v>
      </c>
      <c r="AR929" t="s">
        <v>17363</v>
      </c>
      <c r="AS929" t="s">
        <v>17364</v>
      </c>
      <c r="AT929" t="s">
        <v>16746</v>
      </c>
      <c r="AU929">
        <v>2015</v>
      </c>
      <c r="AV929">
        <v>91</v>
      </c>
      <c r="AW929">
        <v>6</v>
      </c>
      <c r="AX929" t="s">
        <v>74</v>
      </c>
      <c r="AY929" t="s">
        <v>74</v>
      </c>
      <c r="AZ929" t="s">
        <v>74</v>
      </c>
      <c r="BA929" t="s">
        <v>74</v>
      </c>
      <c r="BB929">
        <v>1382</v>
      </c>
      <c r="BC929">
        <v>1388</v>
      </c>
      <c r="BD929" t="s">
        <v>74</v>
      </c>
      <c r="BE929" t="s">
        <v>17365</v>
      </c>
      <c r="BF929" t="str">
        <f>HYPERLINK("http://dx.doi.org/10.1111/php.12500","http://dx.doi.org/10.1111/php.12500")</f>
        <v>http://dx.doi.org/10.1111/php.12500</v>
      </c>
      <c r="BG929" t="s">
        <v>74</v>
      </c>
      <c r="BH929" t="s">
        <v>74</v>
      </c>
      <c r="BI929">
        <v>7</v>
      </c>
      <c r="BJ929" t="s">
        <v>17366</v>
      </c>
      <c r="BK929" t="s">
        <v>264</v>
      </c>
      <c r="BL929" t="s">
        <v>17366</v>
      </c>
      <c r="BM929" t="s">
        <v>17367</v>
      </c>
      <c r="BN929">
        <v>26214172</v>
      </c>
      <c r="BO929" t="s">
        <v>74</v>
      </c>
      <c r="BP929" t="s">
        <v>74</v>
      </c>
      <c r="BQ929" t="s">
        <v>74</v>
      </c>
      <c r="BR929" t="s">
        <v>100</v>
      </c>
      <c r="BS929" t="s">
        <v>17368</v>
      </c>
      <c r="BT929" t="str">
        <f>HYPERLINK("https%3A%2F%2Fwww.webofscience.com%2Fwos%2Fwoscc%2Ffull-record%2FWOS:000364314500015","View Full Record in Web of Science")</f>
        <v>View Full Record in Web of Science</v>
      </c>
    </row>
    <row r="930" spans="1:72" x14ac:dyDescent="0.15">
      <c r="A930" t="s">
        <v>72</v>
      </c>
      <c r="B930" t="s">
        <v>17369</v>
      </c>
      <c r="C930" t="s">
        <v>74</v>
      </c>
      <c r="D930" t="s">
        <v>74</v>
      </c>
      <c r="E930" t="s">
        <v>74</v>
      </c>
      <c r="F930" t="s">
        <v>17370</v>
      </c>
      <c r="G930" t="s">
        <v>74</v>
      </c>
      <c r="H930" t="s">
        <v>74</v>
      </c>
      <c r="I930" t="s">
        <v>17371</v>
      </c>
      <c r="J930" t="s">
        <v>6454</v>
      </c>
      <c r="K930" t="s">
        <v>74</v>
      </c>
      <c r="L930" t="s">
        <v>74</v>
      </c>
      <c r="M930" t="s">
        <v>200</v>
      </c>
      <c r="N930" t="s">
        <v>79</v>
      </c>
      <c r="O930" t="s">
        <v>74</v>
      </c>
      <c r="P930" t="s">
        <v>74</v>
      </c>
      <c r="Q930" t="s">
        <v>74</v>
      </c>
      <c r="R930" t="s">
        <v>74</v>
      </c>
      <c r="S930" t="s">
        <v>74</v>
      </c>
      <c r="T930" t="s">
        <v>17372</v>
      </c>
      <c r="U930" t="s">
        <v>17373</v>
      </c>
      <c r="V930" t="s">
        <v>17374</v>
      </c>
      <c r="W930" t="s">
        <v>17375</v>
      </c>
      <c r="X930" t="s">
        <v>17376</v>
      </c>
      <c r="Y930" t="s">
        <v>17377</v>
      </c>
      <c r="Z930" t="s">
        <v>17378</v>
      </c>
      <c r="AA930" t="s">
        <v>17379</v>
      </c>
      <c r="AB930" t="s">
        <v>17380</v>
      </c>
      <c r="AC930" t="s">
        <v>17381</v>
      </c>
      <c r="AD930" t="s">
        <v>17382</v>
      </c>
      <c r="AE930" t="s">
        <v>17383</v>
      </c>
      <c r="AF930" t="s">
        <v>74</v>
      </c>
      <c r="AG930">
        <v>79</v>
      </c>
      <c r="AH930">
        <v>11</v>
      </c>
      <c r="AI930">
        <v>12</v>
      </c>
      <c r="AJ930">
        <v>1</v>
      </c>
      <c r="AK930">
        <v>30</v>
      </c>
      <c r="AL930" t="s">
        <v>3560</v>
      </c>
      <c r="AM930" t="s">
        <v>289</v>
      </c>
      <c r="AN930" t="s">
        <v>6124</v>
      </c>
      <c r="AO930" t="s">
        <v>6470</v>
      </c>
      <c r="AP930" t="s">
        <v>6471</v>
      </c>
      <c r="AQ930" t="s">
        <v>74</v>
      </c>
      <c r="AR930" t="s">
        <v>6472</v>
      </c>
      <c r="AS930" t="s">
        <v>6473</v>
      </c>
      <c r="AT930" t="s">
        <v>16633</v>
      </c>
      <c r="AU930">
        <v>2015</v>
      </c>
      <c r="AV930">
        <v>38</v>
      </c>
      <c r="AW930">
        <v>11</v>
      </c>
      <c r="AX930" t="s">
        <v>74</v>
      </c>
      <c r="AY930" t="s">
        <v>74</v>
      </c>
      <c r="AZ930" t="s">
        <v>74</v>
      </c>
      <c r="BA930" t="s">
        <v>74</v>
      </c>
      <c r="BB930">
        <v>1825</v>
      </c>
      <c r="BC930">
        <v>1845</v>
      </c>
      <c r="BD930" t="s">
        <v>74</v>
      </c>
      <c r="BE930" t="s">
        <v>17384</v>
      </c>
      <c r="BF930" t="str">
        <f>HYPERLINK("http://dx.doi.org/10.1007/s00300-015-1744-6","http://dx.doi.org/10.1007/s00300-015-1744-6")</f>
        <v>http://dx.doi.org/10.1007/s00300-015-1744-6</v>
      </c>
      <c r="BG930" t="s">
        <v>74</v>
      </c>
      <c r="BH930" t="s">
        <v>74</v>
      </c>
      <c r="BI930">
        <v>21</v>
      </c>
      <c r="BJ930" t="s">
        <v>6475</v>
      </c>
      <c r="BK930" t="s">
        <v>264</v>
      </c>
      <c r="BL930" t="s">
        <v>6476</v>
      </c>
      <c r="BM930" t="s">
        <v>17385</v>
      </c>
      <c r="BN930" t="s">
        <v>74</v>
      </c>
      <c r="BO930" t="s">
        <v>74</v>
      </c>
      <c r="BP930" t="s">
        <v>74</v>
      </c>
      <c r="BQ930" t="s">
        <v>74</v>
      </c>
      <c r="BR930" t="s">
        <v>100</v>
      </c>
      <c r="BS930" t="s">
        <v>17386</v>
      </c>
      <c r="BT930" t="str">
        <f>HYPERLINK("https%3A%2F%2Fwww.webofscience.com%2Fwos%2Fwoscc%2Ffull-record%2FWOS:000364023800004","View Full Record in Web of Science")</f>
        <v>View Full Record in Web of Science</v>
      </c>
    </row>
    <row r="931" spans="1:72" x14ac:dyDescent="0.15">
      <c r="A931" t="s">
        <v>72</v>
      </c>
      <c r="B931" t="s">
        <v>17387</v>
      </c>
      <c r="C931" t="s">
        <v>74</v>
      </c>
      <c r="D931" t="s">
        <v>74</v>
      </c>
      <c r="E931" t="s">
        <v>74</v>
      </c>
      <c r="F931" t="s">
        <v>17388</v>
      </c>
      <c r="G931" t="s">
        <v>74</v>
      </c>
      <c r="H931" t="s">
        <v>74</v>
      </c>
      <c r="I931" t="s">
        <v>17389</v>
      </c>
      <c r="J931" t="s">
        <v>6454</v>
      </c>
      <c r="K931" t="s">
        <v>74</v>
      </c>
      <c r="L931" t="s">
        <v>74</v>
      </c>
      <c r="M931" t="s">
        <v>200</v>
      </c>
      <c r="N931" t="s">
        <v>79</v>
      </c>
      <c r="O931" t="s">
        <v>74</v>
      </c>
      <c r="P931" t="s">
        <v>74</v>
      </c>
      <c r="Q931" t="s">
        <v>74</v>
      </c>
      <c r="R931" t="s">
        <v>74</v>
      </c>
      <c r="S931" t="s">
        <v>74</v>
      </c>
      <c r="T931" t="s">
        <v>17390</v>
      </c>
      <c r="U931" t="s">
        <v>74</v>
      </c>
      <c r="V931" t="s">
        <v>17391</v>
      </c>
      <c r="W931" t="s">
        <v>17392</v>
      </c>
      <c r="X931" t="s">
        <v>3480</v>
      </c>
      <c r="Y931" t="s">
        <v>17393</v>
      </c>
      <c r="Z931" t="s">
        <v>17394</v>
      </c>
      <c r="AA931" t="s">
        <v>17395</v>
      </c>
      <c r="AB931" t="s">
        <v>17396</v>
      </c>
      <c r="AC931" t="s">
        <v>17397</v>
      </c>
      <c r="AD931" t="s">
        <v>17398</v>
      </c>
      <c r="AE931" t="s">
        <v>17399</v>
      </c>
      <c r="AF931" t="s">
        <v>74</v>
      </c>
      <c r="AG931">
        <v>17</v>
      </c>
      <c r="AH931">
        <v>7</v>
      </c>
      <c r="AI931">
        <v>8</v>
      </c>
      <c r="AJ931">
        <v>1</v>
      </c>
      <c r="AK931">
        <v>11</v>
      </c>
      <c r="AL931" t="s">
        <v>3560</v>
      </c>
      <c r="AM931" t="s">
        <v>289</v>
      </c>
      <c r="AN931" t="s">
        <v>6124</v>
      </c>
      <c r="AO931" t="s">
        <v>6470</v>
      </c>
      <c r="AP931" t="s">
        <v>6471</v>
      </c>
      <c r="AQ931" t="s">
        <v>74</v>
      </c>
      <c r="AR931" t="s">
        <v>6472</v>
      </c>
      <c r="AS931" t="s">
        <v>6473</v>
      </c>
      <c r="AT931" t="s">
        <v>16633</v>
      </c>
      <c r="AU931">
        <v>2015</v>
      </c>
      <c r="AV931">
        <v>38</v>
      </c>
      <c r="AW931">
        <v>11</v>
      </c>
      <c r="AX931" t="s">
        <v>74</v>
      </c>
      <c r="AY931" t="s">
        <v>74</v>
      </c>
      <c r="AZ931" t="s">
        <v>74</v>
      </c>
      <c r="BA931" t="s">
        <v>74</v>
      </c>
      <c r="BB931">
        <v>1847</v>
      </c>
      <c r="BC931">
        <v>1852</v>
      </c>
      <c r="BD931" t="s">
        <v>74</v>
      </c>
      <c r="BE931" t="s">
        <v>17400</v>
      </c>
      <c r="BF931" t="str">
        <f>HYPERLINK("http://dx.doi.org/10.1007/s00300-015-1745-5","http://dx.doi.org/10.1007/s00300-015-1745-5")</f>
        <v>http://dx.doi.org/10.1007/s00300-015-1745-5</v>
      </c>
      <c r="BG931" t="s">
        <v>74</v>
      </c>
      <c r="BH931" t="s">
        <v>74</v>
      </c>
      <c r="BI931">
        <v>6</v>
      </c>
      <c r="BJ931" t="s">
        <v>6475</v>
      </c>
      <c r="BK931" t="s">
        <v>264</v>
      </c>
      <c r="BL931" t="s">
        <v>6476</v>
      </c>
      <c r="BM931" t="s">
        <v>17385</v>
      </c>
      <c r="BN931" t="s">
        <v>74</v>
      </c>
      <c r="BO931" t="s">
        <v>74</v>
      </c>
      <c r="BP931" t="s">
        <v>74</v>
      </c>
      <c r="BQ931" t="s">
        <v>74</v>
      </c>
      <c r="BR931" t="s">
        <v>100</v>
      </c>
      <c r="BS931" t="s">
        <v>17401</v>
      </c>
      <c r="BT931" t="str">
        <f>HYPERLINK("https%3A%2F%2Fwww.webofscience.com%2Fwos%2Fwoscc%2Ffull-record%2FWOS:000364023800005","View Full Record in Web of Science")</f>
        <v>View Full Record in Web of Science</v>
      </c>
    </row>
    <row r="932" spans="1:72" x14ac:dyDescent="0.15">
      <c r="A932" t="s">
        <v>72</v>
      </c>
      <c r="B932" t="s">
        <v>17402</v>
      </c>
      <c r="C932" t="s">
        <v>74</v>
      </c>
      <c r="D932" t="s">
        <v>74</v>
      </c>
      <c r="E932" t="s">
        <v>74</v>
      </c>
      <c r="F932" t="s">
        <v>17403</v>
      </c>
      <c r="G932" t="s">
        <v>74</v>
      </c>
      <c r="H932" t="s">
        <v>74</v>
      </c>
      <c r="I932" t="s">
        <v>17404</v>
      </c>
      <c r="J932" t="s">
        <v>6454</v>
      </c>
      <c r="K932" t="s">
        <v>74</v>
      </c>
      <c r="L932" t="s">
        <v>74</v>
      </c>
      <c r="M932" t="s">
        <v>200</v>
      </c>
      <c r="N932" t="s">
        <v>79</v>
      </c>
      <c r="O932" t="s">
        <v>74</v>
      </c>
      <c r="P932" t="s">
        <v>74</v>
      </c>
      <c r="Q932" t="s">
        <v>74</v>
      </c>
      <c r="R932" t="s">
        <v>74</v>
      </c>
      <c r="S932" t="s">
        <v>74</v>
      </c>
      <c r="T932" t="s">
        <v>17405</v>
      </c>
      <c r="U932" t="s">
        <v>17406</v>
      </c>
      <c r="V932" t="s">
        <v>17407</v>
      </c>
      <c r="W932" t="s">
        <v>17408</v>
      </c>
      <c r="X932" t="s">
        <v>17409</v>
      </c>
      <c r="Y932" t="s">
        <v>17410</v>
      </c>
      <c r="Z932" t="s">
        <v>3944</v>
      </c>
      <c r="AA932" t="s">
        <v>17411</v>
      </c>
      <c r="AB932" t="s">
        <v>17412</v>
      </c>
      <c r="AC932" t="s">
        <v>17413</v>
      </c>
      <c r="AD932" t="s">
        <v>17414</v>
      </c>
      <c r="AE932" t="s">
        <v>17415</v>
      </c>
      <c r="AF932" t="s">
        <v>74</v>
      </c>
      <c r="AG932">
        <v>34</v>
      </c>
      <c r="AH932">
        <v>17</v>
      </c>
      <c r="AI932">
        <v>23</v>
      </c>
      <c r="AJ932">
        <v>1</v>
      </c>
      <c r="AK932">
        <v>29</v>
      </c>
      <c r="AL932" t="s">
        <v>3560</v>
      </c>
      <c r="AM932" t="s">
        <v>289</v>
      </c>
      <c r="AN932" t="s">
        <v>5440</v>
      </c>
      <c r="AO932" t="s">
        <v>6470</v>
      </c>
      <c r="AP932" t="s">
        <v>6471</v>
      </c>
      <c r="AQ932" t="s">
        <v>74</v>
      </c>
      <c r="AR932" t="s">
        <v>6472</v>
      </c>
      <c r="AS932" t="s">
        <v>6473</v>
      </c>
      <c r="AT932" t="s">
        <v>16633</v>
      </c>
      <c r="AU932">
        <v>2015</v>
      </c>
      <c r="AV932">
        <v>38</v>
      </c>
      <c r="AW932">
        <v>11</v>
      </c>
      <c r="AX932" t="s">
        <v>74</v>
      </c>
      <c r="AY932" t="s">
        <v>74</v>
      </c>
      <c r="AZ932" t="s">
        <v>74</v>
      </c>
      <c r="BA932" t="s">
        <v>74</v>
      </c>
      <c r="BB932">
        <v>1853</v>
      </c>
      <c r="BC932">
        <v>1866</v>
      </c>
      <c r="BD932" t="s">
        <v>74</v>
      </c>
      <c r="BE932" t="s">
        <v>17416</v>
      </c>
      <c r="BF932" t="str">
        <f>HYPERLINK("http://dx.doi.org/10.1007/s00300-015-1746-4","http://dx.doi.org/10.1007/s00300-015-1746-4")</f>
        <v>http://dx.doi.org/10.1007/s00300-015-1746-4</v>
      </c>
      <c r="BG932" t="s">
        <v>74</v>
      </c>
      <c r="BH932" t="s">
        <v>74</v>
      </c>
      <c r="BI932">
        <v>14</v>
      </c>
      <c r="BJ932" t="s">
        <v>6475</v>
      </c>
      <c r="BK932" t="s">
        <v>264</v>
      </c>
      <c r="BL932" t="s">
        <v>6476</v>
      </c>
      <c r="BM932" t="s">
        <v>17385</v>
      </c>
      <c r="BN932" t="s">
        <v>74</v>
      </c>
      <c r="BO932" t="s">
        <v>74</v>
      </c>
      <c r="BP932" t="s">
        <v>74</v>
      </c>
      <c r="BQ932" t="s">
        <v>74</v>
      </c>
      <c r="BR932" t="s">
        <v>100</v>
      </c>
      <c r="BS932" t="s">
        <v>17417</v>
      </c>
      <c r="BT932" t="str">
        <f>HYPERLINK("https%3A%2F%2Fwww.webofscience.com%2Fwos%2Fwoscc%2Ffull-record%2FWOS:000364023800006","View Full Record in Web of Science")</f>
        <v>View Full Record in Web of Science</v>
      </c>
    </row>
    <row r="933" spans="1:72" x14ac:dyDescent="0.15">
      <c r="A933" t="s">
        <v>72</v>
      </c>
      <c r="B933" t="s">
        <v>17418</v>
      </c>
      <c r="C933" t="s">
        <v>74</v>
      </c>
      <c r="D933" t="s">
        <v>74</v>
      </c>
      <c r="E933" t="s">
        <v>74</v>
      </c>
      <c r="F933" t="s">
        <v>17419</v>
      </c>
      <c r="G933" t="s">
        <v>74</v>
      </c>
      <c r="H933" t="s">
        <v>74</v>
      </c>
      <c r="I933" t="s">
        <v>17420</v>
      </c>
      <c r="J933" t="s">
        <v>6454</v>
      </c>
      <c r="K933" t="s">
        <v>74</v>
      </c>
      <c r="L933" t="s">
        <v>74</v>
      </c>
      <c r="M933" t="s">
        <v>200</v>
      </c>
      <c r="N933" t="s">
        <v>79</v>
      </c>
      <c r="O933" t="s">
        <v>74</v>
      </c>
      <c r="P933" t="s">
        <v>74</v>
      </c>
      <c r="Q933" t="s">
        <v>74</v>
      </c>
      <c r="R933" t="s">
        <v>74</v>
      </c>
      <c r="S933" t="s">
        <v>74</v>
      </c>
      <c r="T933" t="s">
        <v>17421</v>
      </c>
      <c r="U933" t="s">
        <v>17422</v>
      </c>
      <c r="V933" t="s">
        <v>17423</v>
      </c>
      <c r="W933" t="s">
        <v>17424</v>
      </c>
      <c r="X933" t="s">
        <v>17425</v>
      </c>
      <c r="Y933" t="s">
        <v>17426</v>
      </c>
      <c r="Z933" t="s">
        <v>17427</v>
      </c>
      <c r="AA933" t="s">
        <v>17428</v>
      </c>
      <c r="AB933" t="s">
        <v>17429</v>
      </c>
      <c r="AC933" t="s">
        <v>17430</v>
      </c>
      <c r="AD933" t="s">
        <v>17431</v>
      </c>
      <c r="AE933" t="s">
        <v>17432</v>
      </c>
      <c r="AF933" t="s">
        <v>74</v>
      </c>
      <c r="AG933">
        <v>63</v>
      </c>
      <c r="AH933">
        <v>2</v>
      </c>
      <c r="AI933">
        <v>2</v>
      </c>
      <c r="AJ933">
        <v>1</v>
      </c>
      <c r="AK933">
        <v>25</v>
      </c>
      <c r="AL933" t="s">
        <v>3560</v>
      </c>
      <c r="AM933" t="s">
        <v>289</v>
      </c>
      <c r="AN933" t="s">
        <v>5440</v>
      </c>
      <c r="AO933" t="s">
        <v>6470</v>
      </c>
      <c r="AP933" t="s">
        <v>6471</v>
      </c>
      <c r="AQ933" t="s">
        <v>74</v>
      </c>
      <c r="AR933" t="s">
        <v>6472</v>
      </c>
      <c r="AS933" t="s">
        <v>6473</v>
      </c>
      <c r="AT933" t="s">
        <v>16633</v>
      </c>
      <c r="AU933">
        <v>2015</v>
      </c>
      <c r="AV933">
        <v>38</v>
      </c>
      <c r="AW933">
        <v>11</v>
      </c>
      <c r="AX933" t="s">
        <v>74</v>
      </c>
      <c r="AY933" t="s">
        <v>74</v>
      </c>
      <c r="AZ933" t="s">
        <v>74</v>
      </c>
      <c r="BA933" t="s">
        <v>74</v>
      </c>
      <c r="BB933">
        <v>1881</v>
      </c>
      <c r="BC933">
        <v>1890</v>
      </c>
      <c r="BD933" t="s">
        <v>74</v>
      </c>
      <c r="BE933" t="s">
        <v>17433</v>
      </c>
      <c r="BF933" t="str">
        <f>HYPERLINK("http://dx.doi.org/10.1007/s00300-015-1749-1","http://dx.doi.org/10.1007/s00300-015-1749-1")</f>
        <v>http://dx.doi.org/10.1007/s00300-015-1749-1</v>
      </c>
      <c r="BG933" t="s">
        <v>74</v>
      </c>
      <c r="BH933" t="s">
        <v>74</v>
      </c>
      <c r="BI933">
        <v>10</v>
      </c>
      <c r="BJ933" t="s">
        <v>6475</v>
      </c>
      <c r="BK933" t="s">
        <v>264</v>
      </c>
      <c r="BL933" t="s">
        <v>6476</v>
      </c>
      <c r="BM933" t="s">
        <v>17385</v>
      </c>
      <c r="BN933" t="s">
        <v>74</v>
      </c>
      <c r="BO933" t="s">
        <v>74</v>
      </c>
      <c r="BP933" t="s">
        <v>74</v>
      </c>
      <c r="BQ933" t="s">
        <v>74</v>
      </c>
      <c r="BR933" t="s">
        <v>100</v>
      </c>
      <c r="BS933" t="s">
        <v>17434</v>
      </c>
      <c r="BT933" t="str">
        <f>HYPERLINK("https%3A%2F%2Fwww.webofscience.com%2Fwos%2Fwoscc%2Ffull-record%2FWOS:000364023800008","View Full Record in Web of Science")</f>
        <v>View Full Record in Web of Science</v>
      </c>
    </row>
    <row r="934" spans="1:72" x14ac:dyDescent="0.15">
      <c r="A934" t="s">
        <v>72</v>
      </c>
      <c r="B934" t="s">
        <v>17435</v>
      </c>
      <c r="C934" t="s">
        <v>74</v>
      </c>
      <c r="D934" t="s">
        <v>74</v>
      </c>
      <c r="E934" t="s">
        <v>74</v>
      </c>
      <c r="F934" t="s">
        <v>17436</v>
      </c>
      <c r="G934" t="s">
        <v>74</v>
      </c>
      <c r="H934" t="s">
        <v>74</v>
      </c>
      <c r="I934" t="s">
        <v>17437</v>
      </c>
      <c r="J934" t="s">
        <v>6454</v>
      </c>
      <c r="K934" t="s">
        <v>74</v>
      </c>
      <c r="L934" t="s">
        <v>74</v>
      </c>
      <c r="M934" t="s">
        <v>200</v>
      </c>
      <c r="N934" t="s">
        <v>79</v>
      </c>
      <c r="O934" t="s">
        <v>74</v>
      </c>
      <c r="P934" t="s">
        <v>74</v>
      </c>
      <c r="Q934" t="s">
        <v>74</v>
      </c>
      <c r="R934" t="s">
        <v>74</v>
      </c>
      <c r="S934" t="s">
        <v>74</v>
      </c>
      <c r="T934" t="s">
        <v>17438</v>
      </c>
      <c r="U934" t="s">
        <v>17439</v>
      </c>
      <c r="V934" t="s">
        <v>17440</v>
      </c>
      <c r="W934" t="s">
        <v>17441</v>
      </c>
      <c r="X934" t="s">
        <v>17442</v>
      </c>
      <c r="Y934" t="s">
        <v>17443</v>
      </c>
      <c r="Z934" t="s">
        <v>17444</v>
      </c>
      <c r="AA934" t="s">
        <v>17445</v>
      </c>
      <c r="AB934" t="s">
        <v>17446</v>
      </c>
      <c r="AC934" t="s">
        <v>17447</v>
      </c>
      <c r="AD934" t="s">
        <v>17448</v>
      </c>
      <c r="AE934" t="s">
        <v>17449</v>
      </c>
      <c r="AF934" t="s">
        <v>74</v>
      </c>
      <c r="AG934">
        <v>26</v>
      </c>
      <c r="AH934">
        <v>8</v>
      </c>
      <c r="AI934">
        <v>9</v>
      </c>
      <c r="AJ934">
        <v>1</v>
      </c>
      <c r="AK934">
        <v>21</v>
      </c>
      <c r="AL934" t="s">
        <v>3560</v>
      </c>
      <c r="AM934" t="s">
        <v>289</v>
      </c>
      <c r="AN934" t="s">
        <v>5440</v>
      </c>
      <c r="AO934" t="s">
        <v>6470</v>
      </c>
      <c r="AP934" t="s">
        <v>6471</v>
      </c>
      <c r="AQ934" t="s">
        <v>74</v>
      </c>
      <c r="AR934" t="s">
        <v>6472</v>
      </c>
      <c r="AS934" t="s">
        <v>6473</v>
      </c>
      <c r="AT934" t="s">
        <v>16633</v>
      </c>
      <c r="AU934">
        <v>2015</v>
      </c>
      <c r="AV934">
        <v>38</v>
      </c>
      <c r="AW934">
        <v>11</v>
      </c>
      <c r="AX934" t="s">
        <v>74</v>
      </c>
      <c r="AY934" t="s">
        <v>74</v>
      </c>
      <c r="AZ934" t="s">
        <v>74</v>
      </c>
      <c r="BA934" t="s">
        <v>74</v>
      </c>
      <c r="BB934">
        <v>1931</v>
      </c>
      <c r="BC934">
        <v>1936</v>
      </c>
      <c r="BD934" t="s">
        <v>74</v>
      </c>
      <c r="BE934" t="s">
        <v>17450</v>
      </c>
      <c r="BF934" t="str">
        <f>HYPERLINK("http://dx.doi.org/10.1007/s00300-015-1748-2","http://dx.doi.org/10.1007/s00300-015-1748-2")</f>
        <v>http://dx.doi.org/10.1007/s00300-015-1748-2</v>
      </c>
      <c r="BG934" t="s">
        <v>74</v>
      </c>
      <c r="BH934" t="s">
        <v>74</v>
      </c>
      <c r="BI934">
        <v>6</v>
      </c>
      <c r="BJ934" t="s">
        <v>6475</v>
      </c>
      <c r="BK934" t="s">
        <v>264</v>
      </c>
      <c r="BL934" t="s">
        <v>6476</v>
      </c>
      <c r="BM934" t="s">
        <v>17385</v>
      </c>
      <c r="BN934" t="s">
        <v>74</v>
      </c>
      <c r="BO934" t="s">
        <v>74</v>
      </c>
      <c r="BP934" t="s">
        <v>74</v>
      </c>
      <c r="BQ934" t="s">
        <v>74</v>
      </c>
      <c r="BR934" t="s">
        <v>100</v>
      </c>
      <c r="BS934" t="s">
        <v>17451</v>
      </c>
      <c r="BT934" t="str">
        <f>HYPERLINK("https%3A%2F%2Fwww.webofscience.com%2Fwos%2Fwoscc%2Ffull-record%2FWOS:000364023800012","View Full Record in Web of Science")</f>
        <v>View Full Record in Web of Science</v>
      </c>
    </row>
    <row r="935" spans="1:72" x14ac:dyDescent="0.15">
      <c r="A935" t="s">
        <v>72</v>
      </c>
      <c r="B935" t="s">
        <v>17452</v>
      </c>
      <c r="C935" t="s">
        <v>74</v>
      </c>
      <c r="D935" t="s">
        <v>74</v>
      </c>
      <c r="E935" t="s">
        <v>74</v>
      </c>
      <c r="F935" t="s">
        <v>17453</v>
      </c>
      <c r="G935" t="s">
        <v>74</v>
      </c>
      <c r="H935" t="s">
        <v>74</v>
      </c>
      <c r="I935" t="s">
        <v>17454</v>
      </c>
      <c r="J935" t="s">
        <v>6454</v>
      </c>
      <c r="K935" t="s">
        <v>74</v>
      </c>
      <c r="L935" t="s">
        <v>74</v>
      </c>
      <c r="M935" t="s">
        <v>200</v>
      </c>
      <c r="N935" t="s">
        <v>79</v>
      </c>
      <c r="O935" t="s">
        <v>74</v>
      </c>
      <c r="P935" t="s">
        <v>74</v>
      </c>
      <c r="Q935" t="s">
        <v>74</v>
      </c>
      <c r="R935" t="s">
        <v>74</v>
      </c>
      <c r="S935" t="s">
        <v>74</v>
      </c>
      <c r="T935" t="s">
        <v>17455</v>
      </c>
      <c r="U935" t="s">
        <v>17456</v>
      </c>
      <c r="V935" t="s">
        <v>17457</v>
      </c>
      <c r="W935" t="s">
        <v>17458</v>
      </c>
      <c r="X935" t="s">
        <v>17459</v>
      </c>
      <c r="Y935" t="s">
        <v>17460</v>
      </c>
      <c r="Z935" t="s">
        <v>17461</v>
      </c>
      <c r="AA935" t="s">
        <v>17462</v>
      </c>
      <c r="AB935" t="s">
        <v>17463</v>
      </c>
      <c r="AC935" t="s">
        <v>17464</v>
      </c>
      <c r="AD935" t="s">
        <v>17465</v>
      </c>
      <c r="AE935" t="s">
        <v>17466</v>
      </c>
      <c r="AF935" t="s">
        <v>74</v>
      </c>
      <c r="AG935">
        <v>51</v>
      </c>
      <c r="AH935">
        <v>10</v>
      </c>
      <c r="AI935">
        <v>11</v>
      </c>
      <c r="AJ935">
        <v>3</v>
      </c>
      <c r="AK935">
        <v>21</v>
      </c>
      <c r="AL935" t="s">
        <v>3560</v>
      </c>
      <c r="AM935" t="s">
        <v>289</v>
      </c>
      <c r="AN935" t="s">
        <v>5440</v>
      </c>
      <c r="AO935" t="s">
        <v>6470</v>
      </c>
      <c r="AP935" t="s">
        <v>6471</v>
      </c>
      <c r="AQ935" t="s">
        <v>74</v>
      </c>
      <c r="AR935" t="s">
        <v>6472</v>
      </c>
      <c r="AS935" t="s">
        <v>6473</v>
      </c>
      <c r="AT935" t="s">
        <v>16633</v>
      </c>
      <c r="AU935">
        <v>2015</v>
      </c>
      <c r="AV935">
        <v>38</v>
      </c>
      <c r="AW935">
        <v>11</v>
      </c>
      <c r="AX935" t="s">
        <v>74</v>
      </c>
      <c r="AY935" t="s">
        <v>74</v>
      </c>
      <c r="AZ935" t="s">
        <v>74</v>
      </c>
      <c r="BA935" t="s">
        <v>74</v>
      </c>
      <c r="BB935">
        <v>1941</v>
      </c>
      <c r="BC935">
        <v>1948</v>
      </c>
      <c r="BD935" t="s">
        <v>74</v>
      </c>
      <c r="BE935" t="s">
        <v>17467</v>
      </c>
      <c r="BF935" t="str">
        <f>HYPERLINK("http://dx.doi.org/10.1007/s00300-015-1754-4","http://dx.doi.org/10.1007/s00300-015-1754-4")</f>
        <v>http://dx.doi.org/10.1007/s00300-015-1754-4</v>
      </c>
      <c r="BG935" t="s">
        <v>74</v>
      </c>
      <c r="BH935" t="s">
        <v>74</v>
      </c>
      <c r="BI935">
        <v>8</v>
      </c>
      <c r="BJ935" t="s">
        <v>6475</v>
      </c>
      <c r="BK935" t="s">
        <v>264</v>
      </c>
      <c r="BL935" t="s">
        <v>6476</v>
      </c>
      <c r="BM935" t="s">
        <v>17385</v>
      </c>
      <c r="BN935" t="s">
        <v>74</v>
      </c>
      <c r="BO935" t="s">
        <v>74</v>
      </c>
      <c r="BP935" t="s">
        <v>74</v>
      </c>
      <c r="BQ935" t="s">
        <v>74</v>
      </c>
      <c r="BR935" t="s">
        <v>100</v>
      </c>
      <c r="BS935" t="s">
        <v>17468</v>
      </c>
      <c r="BT935" t="str">
        <f>HYPERLINK("https%3A%2F%2Fwww.webofscience.com%2Fwos%2Fwoscc%2Ffull-record%2FWOS:000364023800014","View Full Record in Web of Science")</f>
        <v>View Full Record in Web of Science</v>
      </c>
    </row>
    <row r="936" spans="1:72" x14ac:dyDescent="0.15">
      <c r="A936" t="s">
        <v>72</v>
      </c>
      <c r="B936" t="s">
        <v>17469</v>
      </c>
      <c r="C936" t="s">
        <v>74</v>
      </c>
      <c r="D936" t="s">
        <v>74</v>
      </c>
      <c r="E936" t="s">
        <v>74</v>
      </c>
      <c r="F936" t="s">
        <v>17470</v>
      </c>
      <c r="G936" t="s">
        <v>74</v>
      </c>
      <c r="H936" t="s">
        <v>74</v>
      </c>
      <c r="I936" t="s">
        <v>17471</v>
      </c>
      <c r="J936" t="s">
        <v>17472</v>
      </c>
      <c r="K936" t="s">
        <v>74</v>
      </c>
      <c r="L936" t="s">
        <v>74</v>
      </c>
      <c r="M936" t="s">
        <v>200</v>
      </c>
      <c r="N936" t="s">
        <v>79</v>
      </c>
      <c r="O936" t="s">
        <v>74</v>
      </c>
      <c r="P936" t="s">
        <v>74</v>
      </c>
      <c r="Q936" t="s">
        <v>74</v>
      </c>
      <c r="R936" t="s">
        <v>74</v>
      </c>
      <c r="S936" t="s">
        <v>74</v>
      </c>
      <c r="T936" t="s">
        <v>17473</v>
      </c>
      <c r="U936" t="s">
        <v>17474</v>
      </c>
      <c r="V936" t="s">
        <v>17475</v>
      </c>
      <c r="W936" t="s">
        <v>17476</v>
      </c>
      <c r="X936" t="s">
        <v>17477</v>
      </c>
      <c r="Y936" t="s">
        <v>17478</v>
      </c>
      <c r="Z936" t="s">
        <v>17479</v>
      </c>
      <c r="AA936" t="s">
        <v>17480</v>
      </c>
      <c r="AB936" t="s">
        <v>17481</v>
      </c>
      <c r="AC936" t="s">
        <v>17482</v>
      </c>
      <c r="AD936" t="s">
        <v>17483</v>
      </c>
      <c r="AE936" t="s">
        <v>17484</v>
      </c>
      <c r="AF936" t="s">
        <v>74</v>
      </c>
      <c r="AG936">
        <v>72</v>
      </c>
      <c r="AH936">
        <v>5</v>
      </c>
      <c r="AI936">
        <v>5</v>
      </c>
      <c r="AJ936">
        <v>0</v>
      </c>
      <c r="AK936">
        <v>15</v>
      </c>
      <c r="AL936" t="s">
        <v>6422</v>
      </c>
      <c r="AM936" t="s">
        <v>289</v>
      </c>
      <c r="AN936" t="s">
        <v>6942</v>
      </c>
      <c r="AO936" t="s">
        <v>17485</v>
      </c>
      <c r="AP936" t="s">
        <v>17486</v>
      </c>
      <c r="AQ936" t="s">
        <v>74</v>
      </c>
      <c r="AR936" t="s">
        <v>17487</v>
      </c>
      <c r="AS936" t="s">
        <v>17488</v>
      </c>
      <c r="AT936" t="s">
        <v>16633</v>
      </c>
      <c r="AU936">
        <v>2015</v>
      </c>
      <c r="AV936">
        <v>169</v>
      </c>
      <c r="AW936" t="s">
        <v>74</v>
      </c>
      <c r="AX936" t="s">
        <v>74</v>
      </c>
      <c r="AY936" t="s">
        <v>74</v>
      </c>
      <c r="AZ936" t="s">
        <v>74</v>
      </c>
      <c r="BA936" t="s">
        <v>74</v>
      </c>
      <c r="BB936">
        <v>75</v>
      </c>
      <c r="BC936">
        <v>92</v>
      </c>
      <c r="BD936" t="s">
        <v>74</v>
      </c>
      <c r="BE936" t="s">
        <v>17489</v>
      </c>
      <c r="BF936" t="str">
        <f>HYPERLINK("http://dx.doi.org/10.1016/j.rse.2015.07.030","http://dx.doi.org/10.1016/j.rse.2015.07.030")</f>
        <v>http://dx.doi.org/10.1016/j.rse.2015.07.030</v>
      </c>
      <c r="BG936" t="s">
        <v>74</v>
      </c>
      <c r="BH936" t="s">
        <v>74</v>
      </c>
      <c r="BI936">
        <v>18</v>
      </c>
      <c r="BJ936" t="s">
        <v>17490</v>
      </c>
      <c r="BK936" t="s">
        <v>264</v>
      </c>
      <c r="BL936" t="s">
        <v>17491</v>
      </c>
      <c r="BM936" t="s">
        <v>17492</v>
      </c>
      <c r="BN936" t="s">
        <v>74</v>
      </c>
      <c r="BO936" t="s">
        <v>74</v>
      </c>
      <c r="BP936" t="s">
        <v>74</v>
      </c>
      <c r="BQ936" t="s">
        <v>74</v>
      </c>
      <c r="BR936" t="s">
        <v>100</v>
      </c>
      <c r="BS936" t="s">
        <v>17493</v>
      </c>
      <c r="BT936" t="str">
        <f>HYPERLINK("https%3A%2F%2Fwww.webofscience.com%2Fwos%2Fwoscc%2Ffull-record%2FWOS:000363815900005","View Full Record in Web of Science")</f>
        <v>View Full Record in Web of Science</v>
      </c>
    </row>
    <row r="937" spans="1:72" x14ac:dyDescent="0.15">
      <c r="A937" t="s">
        <v>72</v>
      </c>
      <c r="B937" t="s">
        <v>17494</v>
      </c>
      <c r="C937" t="s">
        <v>74</v>
      </c>
      <c r="D937" t="s">
        <v>74</v>
      </c>
      <c r="E937" t="s">
        <v>74</v>
      </c>
      <c r="F937" t="s">
        <v>17495</v>
      </c>
      <c r="G937" t="s">
        <v>74</v>
      </c>
      <c r="H937" t="s">
        <v>74</v>
      </c>
      <c r="I937" t="s">
        <v>17496</v>
      </c>
      <c r="J937" t="s">
        <v>17497</v>
      </c>
      <c r="K937" t="s">
        <v>74</v>
      </c>
      <c r="L937" t="s">
        <v>74</v>
      </c>
      <c r="M937" t="s">
        <v>200</v>
      </c>
      <c r="N937" t="s">
        <v>17498</v>
      </c>
      <c r="O937" t="s">
        <v>74</v>
      </c>
      <c r="P937" t="s">
        <v>74</v>
      </c>
      <c r="Q937" t="s">
        <v>74</v>
      </c>
      <c r="R937" t="s">
        <v>74</v>
      </c>
      <c r="S937" t="s">
        <v>74</v>
      </c>
      <c r="T937" t="s">
        <v>74</v>
      </c>
      <c r="U937" t="s">
        <v>74</v>
      </c>
      <c r="V937" t="s">
        <v>74</v>
      </c>
      <c r="W937" t="s">
        <v>17499</v>
      </c>
      <c r="X937" t="s">
        <v>6679</v>
      </c>
      <c r="Y937" t="s">
        <v>17500</v>
      </c>
      <c r="Z937" t="s">
        <v>74</v>
      </c>
      <c r="AA937" t="s">
        <v>74</v>
      </c>
      <c r="AB937" t="s">
        <v>74</v>
      </c>
      <c r="AC937" t="s">
        <v>74</v>
      </c>
      <c r="AD937" t="s">
        <v>74</v>
      </c>
      <c r="AE937" t="s">
        <v>74</v>
      </c>
      <c r="AF937" t="s">
        <v>74</v>
      </c>
      <c r="AG937">
        <v>1</v>
      </c>
      <c r="AH937">
        <v>1</v>
      </c>
      <c r="AI937">
        <v>1</v>
      </c>
      <c r="AJ937">
        <v>0</v>
      </c>
      <c r="AK937">
        <v>3</v>
      </c>
      <c r="AL937" t="s">
        <v>17501</v>
      </c>
      <c r="AM937" t="s">
        <v>6161</v>
      </c>
      <c r="AN937" t="s">
        <v>17502</v>
      </c>
      <c r="AO937" t="s">
        <v>17503</v>
      </c>
      <c r="AP937" t="s">
        <v>17504</v>
      </c>
      <c r="AQ937" t="s">
        <v>74</v>
      </c>
      <c r="AR937" t="s">
        <v>17505</v>
      </c>
      <c r="AS937" t="s">
        <v>17506</v>
      </c>
      <c r="AT937" t="s">
        <v>16633</v>
      </c>
      <c r="AU937">
        <v>2015</v>
      </c>
      <c r="AV937">
        <v>47</v>
      </c>
      <c r="AW937">
        <v>4</v>
      </c>
      <c r="AX937" t="s">
        <v>74</v>
      </c>
      <c r="AY937" t="s">
        <v>74</v>
      </c>
      <c r="AZ937" t="s">
        <v>74</v>
      </c>
      <c r="BA937" t="s">
        <v>74</v>
      </c>
      <c r="BB937">
        <v>597</v>
      </c>
      <c r="BC937">
        <v>598</v>
      </c>
      <c r="BD937" t="s">
        <v>74</v>
      </c>
      <c r="BE937" t="s">
        <v>17507</v>
      </c>
      <c r="BF937" t="str">
        <f>HYPERLINK("http://dx.doi.org/10.1657/AAAR0047-4-Memoriam","http://dx.doi.org/10.1657/AAAR0047-4-Memoriam")</f>
        <v>http://dx.doi.org/10.1657/AAAR0047-4-Memoriam</v>
      </c>
      <c r="BG937" t="s">
        <v>74</v>
      </c>
      <c r="BH937" t="s">
        <v>74</v>
      </c>
      <c r="BI937">
        <v>2</v>
      </c>
      <c r="BJ937" t="s">
        <v>17508</v>
      </c>
      <c r="BK937" t="s">
        <v>264</v>
      </c>
      <c r="BL937" t="s">
        <v>17509</v>
      </c>
      <c r="BM937" t="s">
        <v>17510</v>
      </c>
      <c r="BN937" t="s">
        <v>74</v>
      </c>
      <c r="BO937" t="s">
        <v>486</v>
      </c>
      <c r="BP937" t="s">
        <v>74</v>
      </c>
      <c r="BQ937" t="s">
        <v>74</v>
      </c>
      <c r="BR937" t="s">
        <v>100</v>
      </c>
      <c r="BS937" t="s">
        <v>17511</v>
      </c>
      <c r="BT937" t="str">
        <f>HYPERLINK("https%3A%2F%2Fwww.webofscience.com%2Fwos%2Fwoscc%2Ffull-record%2FWOS:000363863300001","View Full Record in Web of Science")</f>
        <v>View Full Record in Web of Science</v>
      </c>
    </row>
    <row r="938" spans="1:72" x14ac:dyDescent="0.15">
      <c r="A938" t="s">
        <v>72</v>
      </c>
      <c r="B938" t="s">
        <v>17512</v>
      </c>
      <c r="C938" t="s">
        <v>74</v>
      </c>
      <c r="D938" t="s">
        <v>74</v>
      </c>
      <c r="E938" t="s">
        <v>74</v>
      </c>
      <c r="F938" t="s">
        <v>17513</v>
      </c>
      <c r="G938" t="s">
        <v>74</v>
      </c>
      <c r="H938" t="s">
        <v>74</v>
      </c>
      <c r="I938" t="s">
        <v>17514</v>
      </c>
      <c r="J938" t="s">
        <v>17497</v>
      </c>
      <c r="K938" t="s">
        <v>74</v>
      </c>
      <c r="L938" t="s">
        <v>74</v>
      </c>
      <c r="M938" t="s">
        <v>200</v>
      </c>
      <c r="N938" t="s">
        <v>79</v>
      </c>
      <c r="O938" t="s">
        <v>74</v>
      </c>
      <c r="P938" t="s">
        <v>74</v>
      </c>
      <c r="Q938" t="s">
        <v>74</v>
      </c>
      <c r="R938" t="s">
        <v>74</v>
      </c>
      <c r="S938" t="s">
        <v>74</v>
      </c>
      <c r="T938" t="s">
        <v>74</v>
      </c>
      <c r="U938" t="s">
        <v>17515</v>
      </c>
      <c r="V938" t="s">
        <v>17516</v>
      </c>
      <c r="W938" t="s">
        <v>17517</v>
      </c>
      <c r="X938" t="s">
        <v>17518</v>
      </c>
      <c r="Y938" t="s">
        <v>17519</v>
      </c>
      <c r="Z938" t="s">
        <v>17520</v>
      </c>
      <c r="AA938" t="s">
        <v>17521</v>
      </c>
      <c r="AB938" t="s">
        <v>17522</v>
      </c>
      <c r="AC938" t="s">
        <v>17523</v>
      </c>
      <c r="AD938" t="s">
        <v>17524</v>
      </c>
      <c r="AE938" t="s">
        <v>17525</v>
      </c>
      <c r="AF938" t="s">
        <v>74</v>
      </c>
      <c r="AG938">
        <v>51</v>
      </c>
      <c r="AH938">
        <v>14</v>
      </c>
      <c r="AI938">
        <v>16</v>
      </c>
      <c r="AJ938">
        <v>0</v>
      </c>
      <c r="AK938">
        <v>19</v>
      </c>
      <c r="AL938" t="s">
        <v>17501</v>
      </c>
      <c r="AM938" t="s">
        <v>6161</v>
      </c>
      <c r="AN938" t="s">
        <v>17502</v>
      </c>
      <c r="AO938" t="s">
        <v>17503</v>
      </c>
      <c r="AP938" t="s">
        <v>17504</v>
      </c>
      <c r="AQ938" t="s">
        <v>74</v>
      </c>
      <c r="AR938" t="s">
        <v>17505</v>
      </c>
      <c r="AS938" t="s">
        <v>17506</v>
      </c>
      <c r="AT938" t="s">
        <v>16633</v>
      </c>
      <c r="AU938">
        <v>2015</v>
      </c>
      <c r="AV938">
        <v>47</v>
      </c>
      <c r="AW938">
        <v>4</v>
      </c>
      <c r="AX938" t="s">
        <v>74</v>
      </c>
      <c r="AY938" t="s">
        <v>74</v>
      </c>
      <c r="AZ938" t="s">
        <v>74</v>
      </c>
      <c r="BA938" t="s">
        <v>74</v>
      </c>
      <c r="BB938">
        <v>599</v>
      </c>
      <c r="BC938">
        <v>609</v>
      </c>
      <c r="BD938" t="s">
        <v>74</v>
      </c>
      <c r="BE938" t="s">
        <v>17526</v>
      </c>
      <c r="BF938" t="str">
        <f>HYPERLINK("http://dx.doi.org/10.1657/AAAR0014-051","http://dx.doi.org/10.1657/AAAR0014-051")</f>
        <v>http://dx.doi.org/10.1657/AAAR0014-051</v>
      </c>
      <c r="BG938" t="s">
        <v>74</v>
      </c>
      <c r="BH938" t="s">
        <v>74</v>
      </c>
      <c r="BI938">
        <v>11</v>
      </c>
      <c r="BJ938" t="s">
        <v>17508</v>
      </c>
      <c r="BK938" t="s">
        <v>264</v>
      </c>
      <c r="BL938" t="s">
        <v>17509</v>
      </c>
      <c r="BM938" t="s">
        <v>17510</v>
      </c>
      <c r="BN938" t="s">
        <v>74</v>
      </c>
      <c r="BO938" t="s">
        <v>3183</v>
      </c>
      <c r="BP938" t="s">
        <v>74</v>
      </c>
      <c r="BQ938" t="s">
        <v>74</v>
      </c>
      <c r="BR938" t="s">
        <v>100</v>
      </c>
      <c r="BS938" t="s">
        <v>17527</v>
      </c>
      <c r="BT938" t="str">
        <f>HYPERLINK("https%3A%2F%2Fwww.webofscience.com%2Fwos%2Fwoscc%2Ffull-record%2FWOS:000363863300002","View Full Record in Web of Science")</f>
        <v>View Full Record in Web of Science</v>
      </c>
    </row>
    <row r="939" spans="1:72" x14ac:dyDescent="0.15">
      <c r="A939" t="s">
        <v>72</v>
      </c>
      <c r="B939" t="s">
        <v>17528</v>
      </c>
      <c r="C939" t="s">
        <v>74</v>
      </c>
      <c r="D939" t="s">
        <v>74</v>
      </c>
      <c r="E939" t="s">
        <v>74</v>
      </c>
      <c r="F939" t="s">
        <v>17529</v>
      </c>
      <c r="G939" t="s">
        <v>74</v>
      </c>
      <c r="H939" t="s">
        <v>74</v>
      </c>
      <c r="I939" t="s">
        <v>17530</v>
      </c>
      <c r="J939" t="s">
        <v>17497</v>
      </c>
      <c r="K939" t="s">
        <v>74</v>
      </c>
      <c r="L939" t="s">
        <v>74</v>
      </c>
      <c r="M939" t="s">
        <v>200</v>
      </c>
      <c r="N939" t="s">
        <v>79</v>
      </c>
      <c r="O939" t="s">
        <v>74</v>
      </c>
      <c r="P939" t="s">
        <v>74</v>
      </c>
      <c r="Q939" t="s">
        <v>74</v>
      </c>
      <c r="R939" t="s">
        <v>74</v>
      </c>
      <c r="S939" t="s">
        <v>74</v>
      </c>
      <c r="T939" t="s">
        <v>74</v>
      </c>
      <c r="U939" t="s">
        <v>17531</v>
      </c>
      <c r="V939" t="s">
        <v>17532</v>
      </c>
      <c r="W939" t="s">
        <v>17533</v>
      </c>
      <c r="X939" t="s">
        <v>17534</v>
      </c>
      <c r="Y939" t="s">
        <v>17535</v>
      </c>
      <c r="Z939" t="s">
        <v>17536</v>
      </c>
      <c r="AA939" t="s">
        <v>17537</v>
      </c>
      <c r="AB939" t="s">
        <v>17538</v>
      </c>
      <c r="AC939" t="s">
        <v>17539</v>
      </c>
      <c r="AD939" t="s">
        <v>17540</v>
      </c>
      <c r="AE939" t="s">
        <v>17541</v>
      </c>
      <c r="AF939" t="s">
        <v>74</v>
      </c>
      <c r="AG939">
        <v>95</v>
      </c>
      <c r="AH939">
        <v>89</v>
      </c>
      <c r="AI939">
        <v>88</v>
      </c>
      <c r="AJ939">
        <v>1</v>
      </c>
      <c r="AK939">
        <v>31</v>
      </c>
      <c r="AL939" t="s">
        <v>502</v>
      </c>
      <c r="AM939" t="s">
        <v>503</v>
      </c>
      <c r="AN939" t="s">
        <v>504</v>
      </c>
      <c r="AO939" t="s">
        <v>17503</v>
      </c>
      <c r="AP939" t="s">
        <v>17504</v>
      </c>
      <c r="AQ939" t="s">
        <v>74</v>
      </c>
      <c r="AR939" t="s">
        <v>17505</v>
      </c>
      <c r="AS939" t="s">
        <v>17506</v>
      </c>
      <c r="AT939" t="s">
        <v>16633</v>
      </c>
      <c r="AU939">
        <v>2015</v>
      </c>
      <c r="AV939">
        <v>47</v>
      </c>
      <c r="AW939">
        <v>4</v>
      </c>
      <c r="AX939" t="s">
        <v>74</v>
      </c>
      <c r="AY939" t="s">
        <v>74</v>
      </c>
      <c r="AZ939" t="s">
        <v>74</v>
      </c>
      <c r="BA939" t="s">
        <v>74</v>
      </c>
      <c r="BB939">
        <v>627</v>
      </c>
      <c r="BC939">
        <v>644</v>
      </c>
      <c r="BD939" t="s">
        <v>74</v>
      </c>
      <c r="BE939" t="s">
        <v>17542</v>
      </c>
      <c r="BF939" t="str">
        <f>HYPERLINK("http://dx.doi.org/10.1657/AAAR0014-088","http://dx.doi.org/10.1657/AAAR0014-088")</f>
        <v>http://dx.doi.org/10.1657/AAAR0014-088</v>
      </c>
      <c r="BG939" t="s">
        <v>74</v>
      </c>
      <c r="BH939" t="s">
        <v>74</v>
      </c>
      <c r="BI939">
        <v>18</v>
      </c>
      <c r="BJ939" t="s">
        <v>17508</v>
      </c>
      <c r="BK939" t="s">
        <v>264</v>
      </c>
      <c r="BL939" t="s">
        <v>17509</v>
      </c>
      <c r="BM939" t="s">
        <v>17510</v>
      </c>
      <c r="BN939" t="s">
        <v>74</v>
      </c>
      <c r="BO939" t="s">
        <v>3183</v>
      </c>
      <c r="BP939" t="s">
        <v>74</v>
      </c>
      <c r="BQ939" t="s">
        <v>74</v>
      </c>
      <c r="BR939" t="s">
        <v>100</v>
      </c>
      <c r="BS939" t="s">
        <v>17543</v>
      </c>
      <c r="BT939" t="str">
        <f>HYPERLINK("https%3A%2F%2Fwww.webofscience.com%2Fwos%2Fwoscc%2Ffull-record%2FWOS:000363863300004","View Full Record in Web of Science")</f>
        <v>View Full Record in Web of Science</v>
      </c>
    </row>
    <row r="940" spans="1:72" x14ac:dyDescent="0.15">
      <c r="A940" t="s">
        <v>72</v>
      </c>
      <c r="B940" t="s">
        <v>17544</v>
      </c>
      <c r="C940" t="s">
        <v>74</v>
      </c>
      <c r="D940" t="s">
        <v>74</v>
      </c>
      <c r="E940" t="s">
        <v>74</v>
      </c>
      <c r="F940" t="s">
        <v>17545</v>
      </c>
      <c r="G940" t="s">
        <v>74</v>
      </c>
      <c r="H940" t="s">
        <v>74</v>
      </c>
      <c r="I940" t="s">
        <v>17546</v>
      </c>
      <c r="J940" t="s">
        <v>17497</v>
      </c>
      <c r="K940" t="s">
        <v>74</v>
      </c>
      <c r="L940" t="s">
        <v>74</v>
      </c>
      <c r="M940" t="s">
        <v>200</v>
      </c>
      <c r="N940" t="s">
        <v>79</v>
      </c>
      <c r="O940" t="s">
        <v>74</v>
      </c>
      <c r="P940" t="s">
        <v>74</v>
      </c>
      <c r="Q940" t="s">
        <v>74</v>
      </c>
      <c r="R940" t="s">
        <v>74</v>
      </c>
      <c r="S940" t="s">
        <v>74</v>
      </c>
      <c r="T940" t="s">
        <v>74</v>
      </c>
      <c r="U940" t="s">
        <v>17547</v>
      </c>
      <c r="V940" t="s">
        <v>17548</v>
      </c>
      <c r="W940" t="s">
        <v>17549</v>
      </c>
      <c r="X940" t="s">
        <v>17550</v>
      </c>
      <c r="Y940" t="s">
        <v>17551</v>
      </c>
      <c r="Z940" t="s">
        <v>17552</v>
      </c>
      <c r="AA940" t="s">
        <v>17553</v>
      </c>
      <c r="AB940" t="s">
        <v>17554</v>
      </c>
      <c r="AC940" t="s">
        <v>17555</v>
      </c>
      <c r="AD940" t="s">
        <v>17556</v>
      </c>
      <c r="AE940" t="s">
        <v>17557</v>
      </c>
      <c r="AF940" t="s">
        <v>74</v>
      </c>
      <c r="AG940">
        <v>24</v>
      </c>
      <c r="AH940">
        <v>3</v>
      </c>
      <c r="AI940">
        <v>5</v>
      </c>
      <c r="AJ940">
        <v>0</v>
      </c>
      <c r="AK940">
        <v>13</v>
      </c>
      <c r="AL940" t="s">
        <v>17501</v>
      </c>
      <c r="AM940" t="s">
        <v>6161</v>
      </c>
      <c r="AN940" t="s">
        <v>17502</v>
      </c>
      <c r="AO940" t="s">
        <v>17503</v>
      </c>
      <c r="AP940" t="s">
        <v>17504</v>
      </c>
      <c r="AQ940" t="s">
        <v>74</v>
      </c>
      <c r="AR940" t="s">
        <v>17505</v>
      </c>
      <c r="AS940" t="s">
        <v>17506</v>
      </c>
      <c r="AT940" t="s">
        <v>16633</v>
      </c>
      <c r="AU940">
        <v>2015</v>
      </c>
      <c r="AV940">
        <v>47</v>
      </c>
      <c r="AW940">
        <v>4</v>
      </c>
      <c r="AX940" t="s">
        <v>74</v>
      </c>
      <c r="AY940" t="s">
        <v>74</v>
      </c>
      <c r="AZ940" t="s">
        <v>74</v>
      </c>
      <c r="BA940" t="s">
        <v>74</v>
      </c>
      <c r="BB940">
        <v>645</v>
      </c>
      <c r="BC940">
        <v>656</v>
      </c>
      <c r="BD940" t="s">
        <v>74</v>
      </c>
      <c r="BE940" t="s">
        <v>17558</v>
      </c>
      <c r="BF940" t="str">
        <f>HYPERLINK("http://dx.doi.org/10.1657/AAAR0014-090","http://dx.doi.org/10.1657/AAAR0014-090")</f>
        <v>http://dx.doi.org/10.1657/AAAR0014-090</v>
      </c>
      <c r="BG940" t="s">
        <v>74</v>
      </c>
      <c r="BH940" t="s">
        <v>74</v>
      </c>
      <c r="BI940">
        <v>12</v>
      </c>
      <c r="BJ940" t="s">
        <v>17508</v>
      </c>
      <c r="BK940" t="s">
        <v>264</v>
      </c>
      <c r="BL940" t="s">
        <v>17509</v>
      </c>
      <c r="BM940" t="s">
        <v>17510</v>
      </c>
      <c r="BN940" t="s">
        <v>74</v>
      </c>
      <c r="BO940" t="s">
        <v>3183</v>
      </c>
      <c r="BP940" t="s">
        <v>74</v>
      </c>
      <c r="BQ940" t="s">
        <v>74</v>
      </c>
      <c r="BR940" t="s">
        <v>100</v>
      </c>
      <c r="BS940" t="s">
        <v>17559</v>
      </c>
      <c r="BT940" t="str">
        <f>HYPERLINK("https%3A%2F%2Fwww.webofscience.com%2Fwos%2Fwoscc%2Ffull-record%2FWOS:000363863300005","View Full Record in Web of Science")</f>
        <v>View Full Record in Web of Science</v>
      </c>
    </row>
    <row r="941" spans="1:72" x14ac:dyDescent="0.15">
      <c r="A941" t="s">
        <v>72</v>
      </c>
      <c r="B941" t="s">
        <v>17560</v>
      </c>
      <c r="C941" t="s">
        <v>74</v>
      </c>
      <c r="D941" t="s">
        <v>74</v>
      </c>
      <c r="E941" t="s">
        <v>74</v>
      </c>
      <c r="F941" t="s">
        <v>17561</v>
      </c>
      <c r="G941" t="s">
        <v>74</v>
      </c>
      <c r="H941" t="s">
        <v>74</v>
      </c>
      <c r="I941" t="s">
        <v>17562</v>
      </c>
      <c r="J941" t="s">
        <v>17497</v>
      </c>
      <c r="K941" t="s">
        <v>74</v>
      </c>
      <c r="L941" t="s">
        <v>74</v>
      </c>
      <c r="M941" t="s">
        <v>200</v>
      </c>
      <c r="N941" t="s">
        <v>79</v>
      </c>
      <c r="O941" t="s">
        <v>74</v>
      </c>
      <c r="P941" t="s">
        <v>74</v>
      </c>
      <c r="Q941" t="s">
        <v>74</v>
      </c>
      <c r="R941" t="s">
        <v>74</v>
      </c>
      <c r="S941" t="s">
        <v>74</v>
      </c>
      <c r="T941" t="s">
        <v>74</v>
      </c>
      <c r="U941" t="s">
        <v>17563</v>
      </c>
      <c r="V941" t="s">
        <v>17564</v>
      </c>
      <c r="W941" t="s">
        <v>17565</v>
      </c>
      <c r="X941" t="s">
        <v>17566</v>
      </c>
      <c r="Y941" t="s">
        <v>17567</v>
      </c>
      <c r="Z941" t="s">
        <v>17568</v>
      </c>
      <c r="AA941" t="s">
        <v>74</v>
      </c>
      <c r="AB941" t="s">
        <v>17569</v>
      </c>
      <c r="AC941" t="s">
        <v>17570</v>
      </c>
      <c r="AD941" t="s">
        <v>17570</v>
      </c>
      <c r="AE941" t="s">
        <v>17571</v>
      </c>
      <c r="AF941" t="s">
        <v>74</v>
      </c>
      <c r="AG941">
        <v>49</v>
      </c>
      <c r="AH941">
        <v>4</v>
      </c>
      <c r="AI941">
        <v>5</v>
      </c>
      <c r="AJ941">
        <v>0</v>
      </c>
      <c r="AK941">
        <v>31</v>
      </c>
      <c r="AL941" t="s">
        <v>17501</v>
      </c>
      <c r="AM941" t="s">
        <v>6161</v>
      </c>
      <c r="AN941" t="s">
        <v>17502</v>
      </c>
      <c r="AO941" t="s">
        <v>17503</v>
      </c>
      <c r="AP941" t="s">
        <v>17504</v>
      </c>
      <c r="AQ941" t="s">
        <v>74</v>
      </c>
      <c r="AR941" t="s">
        <v>17505</v>
      </c>
      <c r="AS941" t="s">
        <v>17506</v>
      </c>
      <c r="AT941" t="s">
        <v>16633</v>
      </c>
      <c r="AU941">
        <v>2015</v>
      </c>
      <c r="AV941">
        <v>47</v>
      </c>
      <c r="AW941">
        <v>4</v>
      </c>
      <c r="AX941" t="s">
        <v>74</v>
      </c>
      <c r="AY941" t="s">
        <v>74</v>
      </c>
      <c r="AZ941" t="s">
        <v>74</v>
      </c>
      <c r="BA941" t="s">
        <v>74</v>
      </c>
      <c r="BB941">
        <v>657</v>
      </c>
      <c r="BC941">
        <v>669</v>
      </c>
      <c r="BD941" t="s">
        <v>74</v>
      </c>
      <c r="BE941" t="s">
        <v>17572</v>
      </c>
      <c r="BF941" t="str">
        <f>HYPERLINK("http://dx.doi.org/10.1657/AAAR0015-002","http://dx.doi.org/10.1657/AAAR0015-002")</f>
        <v>http://dx.doi.org/10.1657/AAAR0015-002</v>
      </c>
      <c r="BG941" t="s">
        <v>74</v>
      </c>
      <c r="BH941" t="s">
        <v>74</v>
      </c>
      <c r="BI941">
        <v>13</v>
      </c>
      <c r="BJ941" t="s">
        <v>17508</v>
      </c>
      <c r="BK941" t="s">
        <v>264</v>
      </c>
      <c r="BL941" t="s">
        <v>17509</v>
      </c>
      <c r="BM941" t="s">
        <v>17510</v>
      </c>
      <c r="BN941" t="s">
        <v>74</v>
      </c>
      <c r="BO941" t="s">
        <v>2987</v>
      </c>
      <c r="BP941" t="s">
        <v>74</v>
      </c>
      <c r="BQ941" t="s">
        <v>74</v>
      </c>
      <c r="BR941" t="s">
        <v>100</v>
      </c>
      <c r="BS941" t="s">
        <v>17573</v>
      </c>
      <c r="BT941" t="str">
        <f>HYPERLINK("https%3A%2F%2Fwww.webofscience.com%2Fwos%2Fwoscc%2Ffull-record%2FWOS:000363863300006","View Full Record in Web of Science")</f>
        <v>View Full Record in Web of Science</v>
      </c>
    </row>
    <row r="942" spans="1:72" x14ac:dyDescent="0.15">
      <c r="A942" t="s">
        <v>72</v>
      </c>
      <c r="B942" t="s">
        <v>17574</v>
      </c>
      <c r="C942" t="s">
        <v>74</v>
      </c>
      <c r="D942" t="s">
        <v>74</v>
      </c>
      <c r="E942" t="s">
        <v>74</v>
      </c>
      <c r="F942" t="s">
        <v>17575</v>
      </c>
      <c r="G942" t="s">
        <v>74</v>
      </c>
      <c r="H942" t="s">
        <v>74</v>
      </c>
      <c r="I942" t="s">
        <v>17576</v>
      </c>
      <c r="J942" t="s">
        <v>17497</v>
      </c>
      <c r="K942" t="s">
        <v>74</v>
      </c>
      <c r="L942" t="s">
        <v>74</v>
      </c>
      <c r="M942" t="s">
        <v>200</v>
      </c>
      <c r="N942" t="s">
        <v>79</v>
      </c>
      <c r="O942" t="s">
        <v>74</v>
      </c>
      <c r="P942" t="s">
        <v>74</v>
      </c>
      <c r="Q942" t="s">
        <v>74</v>
      </c>
      <c r="R942" t="s">
        <v>74</v>
      </c>
      <c r="S942" t="s">
        <v>74</v>
      </c>
      <c r="T942" t="s">
        <v>74</v>
      </c>
      <c r="U942" t="s">
        <v>17577</v>
      </c>
      <c r="V942" t="s">
        <v>17578</v>
      </c>
      <c r="W942" t="s">
        <v>17579</v>
      </c>
      <c r="X942" t="s">
        <v>17580</v>
      </c>
      <c r="Y942" t="s">
        <v>17581</v>
      </c>
      <c r="Z942" t="s">
        <v>17582</v>
      </c>
      <c r="AA942" t="s">
        <v>17583</v>
      </c>
      <c r="AB942" t="s">
        <v>17584</v>
      </c>
      <c r="AC942" t="s">
        <v>17585</v>
      </c>
      <c r="AD942" t="s">
        <v>17586</v>
      </c>
      <c r="AE942" t="s">
        <v>17587</v>
      </c>
      <c r="AF942" t="s">
        <v>74</v>
      </c>
      <c r="AG942">
        <v>85</v>
      </c>
      <c r="AH942">
        <v>32</v>
      </c>
      <c r="AI942">
        <v>41</v>
      </c>
      <c r="AJ942">
        <v>1</v>
      </c>
      <c r="AK942">
        <v>38</v>
      </c>
      <c r="AL942" t="s">
        <v>502</v>
      </c>
      <c r="AM942" t="s">
        <v>503</v>
      </c>
      <c r="AN942" t="s">
        <v>504</v>
      </c>
      <c r="AO942" t="s">
        <v>17503</v>
      </c>
      <c r="AP942" t="s">
        <v>17504</v>
      </c>
      <c r="AQ942" t="s">
        <v>74</v>
      </c>
      <c r="AR942" t="s">
        <v>17505</v>
      </c>
      <c r="AS942" t="s">
        <v>17506</v>
      </c>
      <c r="AT942" t="s">
        <v>16633</v>
      </c>
      <c r="AU942">
        <v>2015</v>
      </c>
      <c r="AV942">
        <v>47</v>
      </c>
      <c r="AW942">
        <v>4</v>
      </c>
      <c r="AX942" t="s">
        <v>74</v>
      </c>
      <c r="AY942" t="s">
        <v>74</v>
      </c>
      <c r="AZ942" t="s">
        <v>74</v>
      </c>
      <c r="BA942" t="s">
        <v>74</v>
      </c>
      <c r="BB942">
        <v>703</v>
      </c>
      <c r="BC942">
        <v>717</v>
      </c>
      <c r="BD942" t="s">
        <v>74</v>
      </c>
      <c r="BE942" t="s">
        <v>17588</v>
      </c>
      <c r="BF942" t="str">
        <f>HYPERLINK("http://dx.doi.org/10.1657/AAAR0015-008","http://dx.doi.org/10.1657/AAAR0015-008")</f>
        <v>http://dx.doi.org/10.1657/AAAR0015-008</v>
      </c>
      <c r="BG942" t="s">
        <v>74</v>
      </c>
      <c r="BH942" t="s">
        <v>74</v>
      </c>
      <c r="BI942">
        <v>15</v>
      </c>
      <c r="BJ942" t="s">
        <v>17508</v>
      </c>
      <c r="BK942" t="s">
        <v>264</v>
      </c>
      <c r="BL942" t="s">
        <v>17509</v>
      </c>
      <c r="BM942" t="s">
        <v>17510</v>
      </c>
      <c r="BN942" t="s">
        <v>74</v>
      </c>
      <c r="BO942" t="s">
        <v>1796</v>
      </c>
      <c r="BP942" t="s">
        <v>74</v>
      </c>
      <c r="BQ942" t="s">
        <v>74</v>
      </c>
      <c r="BR942" t="s">
        <v>100</v>
      </c>
      <c r="BS942" t="s">
        <v>17589</v>
      </c>
      <c r="BT942" t="str">
        <f>HYPERLINK("https%3A%2F%2Fwww.webofscience.com%2Fwos%2Fwoscc%2Ffull-record%2FWOS:000363863300010","View Full Record in Web of Science")</f>
        <v>View Full Record in Web of Science</v>
      </c>
    </row>
    <row r="943" spans="1:72" x14ac:dyDescent="0.15">
      <c r="A943" t="s">
        <v>72</v>
      </c>
      <c r="B943" t="s">
        <v>17590</v>
      </c>
      <c r="C943" t="s">
        <v>74</v>
      </c>
      <c r="D943" t="s">
        <v>74</v>
      </c>
      <c r="E943" t="s">
        <v>74</v>
      </c>
      <c r="F943" t="s">
        <v>17591</v>
      </c>
      <c r="G943" t="s">
        <v>74</v>
      </c>
      <c r="H943" t="s">
        <v>74</v>
      </c>
      <c r="I943" t="s">
        <v>17592</v>
      </c>
      <c r="J943" t="s">
        <v>17497</v>
      </c>
      <c r="K943" t="s">
        <v>74</v>
      </c>
      <c r="L943" t="s">
        <v>74</v>
      </c>
      <c r="M943" t="s">
        <v>200</v>
      </c>
      <c r="N943" t="s">
        <v>79</v>
      </c>
      <c r="O943" t="s">
        <v>74</v>
      </c>
      <c r="P943" t="s">
        <v>74</v>
      </c>
      <c r="Q943" t="s">
        <v>74</v>
      </c>
      <c r="R943" t="s">
        <v>74</v>
      </c>
      <c r="S943" t="s">
        <v>74</v>
      </c>
      <c r="T943" t="s">
        <v>74</v>
      </c>
      <c r="U943" t="s">
        <v>17593</v>
      </c>
      <c r="V943" t="s">
        <v>17594</v>
      </c>
      <c r="W943" t="s">
        <v>17595</v>
      </c>
      <c r="X943" t="s">
        <v>17596</v>
      </c>
      <c r="Y943" t="s">
        <v>17597</v>
      </c>
      <c r="Z943" t="s">
        <v>17598</v>
      </c>
      <c r="AA943" t="s">
        <v>17599</v>
      </c>
      <c r="AB943" t="s">
        <v>17600</v>
      </c>
      <c r="AC943" t="s">
        <v>74</v>
      </c>
      <c r="AD943" t="s">
        <v>74</v>
      </c>
      <c r="AE943" t="s">
        <v>74</v>
      </c>
      <c r="AF943" t="s">
        <v>74</v>
      </c>
      <c r="AG943">
        <v>63</v>
      </c>
      <c r="AH943">
        <v>18</v>
      </c>
      <c r="AI943">
        <v>21</v>
      </c>
      <c r="AJ943">
        <v>3</v>
      </c>
      <c r="AK943">
        <v>37</v>
      </c>
      <c r="AL943" t="s">
        <v>502</v>
      </c>
      <c r="AM943" t="s">
        <v>503</v>
      </c>
      <c r="AN943" t="s">
        <v>504</v>
      </c>
      <c r="AO943" t="s">
        <v>17503</v>
      </c>
      <c r="AP943" t="s">
        <v>17504</v>
      </c>
      <c r="AQ943" t="s">
        <v>74</v>
      </c>
      <c r="AR943" t="s">
        <v>17505</v>
      </c>
      <c r="AS943" t="s">
        <v>17506</v>
      </c>
      <c r="AT943" t="s">
        <v>16633</v>
      </c>
      <c r="AU943">
        <v>2015</v>
      </c>
      <c r="AV943">
        <v>47</v>
      </c>
      <c r="AW943">
        <v>4</v>
      </c>
      <c r="AX943" t="s">
        <v>74</v>
      </c>
      <c r="AY943" t="s">
        <v>74</v>
      </c>
      <c r="AZ943" t="s">
        <v>74</v>
      </c>
      <c r="BA943" t="s">
        <v>74</v>
      </c>
      <c r="BB943">
        <v>751</v>
      </c>
      <c r="BC943">
        <v>772</v>
      </c>
      <c r="BD943" t="s">
        <v>74</v>
      </c>
      <c r="BE943" t="s">
        <v>17601</v>
      </c>
      <c r="BF943" t="str">
        <f>HYPERLINK("http://dx.doi.org/10.1657/AAAR0014-098","http://dx.doi.org/10.1657/AAAR0014-098")</f>
        <v>http://dx.doi.org/10.1657/AAAR0014-098</v>
      </c>
      <c r="BG943" t="s">
        <v>74</v>
      </c>
      <c r="BH943" t="s">
        <v>74</v>
      </c>
      <c r="BI943">
        <v>22</v>
      </c>
      <c r="BJ943" t="s">
        <v>17508</v>
      </c>
      <c r="BK943" t="s">
        <v>264</v>
      </c>
      <c r="BL943" t="s">
        <v>17509</v>
      </c>
      <c r="BM943" t="s">
        <v>17510</v>
      </c>
      <c r="BN943" t="s">
        <v>74</v>
      </c>
      <c r="BO943" t="s">
        <v>3183</v>
      </c>
      <c r="BP943" t="s">
        <v>74</v>
      </c>
      <c r="BQ943" t="s">
        <v>74</v>
      </c>
      <c r="BR943" t="s">
        <v>100</v>
      </c>
      <c r="BS943" t="s">
        <v>17602</v>
      </c>
      <c r="BT943" t="str">
        <f>HYPERLINK("https%3A%2F%2Fwww.webofscience.com%2Fwos%2Fwoscc%2Ffull-record%2FWOS:000363863300013","View Full Record in Web of Science")</f>
        <v>View Full Record in Web of Science</v>
      </c>
    </row>
    <row r="944" spans="1:72" x14ac:dyDescent="0.15">
      <c r="A944" t="s">
        <v>72</v>
      </c>
      <c r="B944" t="s">
        <v>17603</v>
      </c>
      <c r="C944" t="s">
        <v>74</v>
      </c>
      <c r="D944" t="s">
        <v>74</v>
      </c>
      <c r="E944" t="s">
        <v>74</v>
      </c>
      <c r="F944" t="s">
        <v>17604</v>
      </c>
      <c r="G944" t="s">
        <v>74</v>
      </c>
      <c r="H944" t="s">
        <v>74</v>
      </c>
      <c r="I944" t="s">
        <v>17605</v>
      </c>
      <c r="J944" t="s">
        <v>17497</v>
      </c>
      <c r="K944" t="s">
        <v>74</v>
      </c>
      <c r="L944" t="s">
        <v>74</v>
      </c>
      <c r="M944" t="s">
        <v>200</v>
      </c>
      <c r="N944" t="s">
        <v>79</v>
      </c>
      <c r="O944" t="s">
        <v>74</v>
      </c>
      <c r="P944" t="s">
        <v>74</v>
      </c>
      <c r="Q944" t="s">
        <v>74</v>
      </c>
      <c r="R944" t="s">
        <v>74</v>
      </c>
      <c r="S944" t="s">
        <v>74</v>
      </c>
      <c r="T944" t="s">
        <v>74</v>
      </c>
      <c r="U944" t="s">
        <v>17606</v>
      </c>
      <c r="V944" t="s">
        <v>17607</v>
      </c>
      <c r="W944" t="s">
        <v>17608</v>
      </c>
      <c r="X944" t="s">
        <v>17609</v>
      </c>
      <c r="Y944" t="s">
        <v>17610</v>
      </c>
      <c r="Z944" t="s">
        <v>17611</v>
      </c>
      <c r="AA944" t="s">
        <v>17612</v>
      </c>
      <c r="AB944" t="s">
        <v>17613</v>
      </c>
      <c r="AC944" t="s">
        <v>74</v>
      </c>
      <c r="AD944" t="s">
        <v>74</v>
      </c>
      <c r="AE944" t="s">
        <v>74</v>
      </c>
      <c r="AF944" t="s">
        <v>74</v>
      </c>
      <c r="AG944">
        <v>18</v>
      </c>
      <c r="AH944">
        <v>36</v>
      </c>
      <c r="AI944">
        <v>38</v>
      </c>
      <c r="AJ944">
        <v>1</v>
      </c>
      <c r="AK944">
        <v>70</v>
      </c>
      <c r="AL944" t="s">
        <v>17501</v>
      </c>
      <c r="AM944" t="s">
        <v>6161</v>
      </c>
      <c r="AN944" t="s">
        <v>17502</v>
      </c>
      <c r="AO944" t="s">
        <v>17503</v>
      </c>
      <c r="AP944" t="s">
        <v>17504</v>
      </c>
      <c r="AQ944" t="s">
        <v>74</v>
      </c>
      <c r="AR944" t="s">
        <v>17505</v>
      </c>
      <c r="AS944" t="s">
        <v>17506</v>
      </c>
      <c r="AT944" t="s">
        <v>16633</v>
      </c>
      <c r="AU944">
        <v>2015</v>
      </c>
      <c r="AV944">
        <v>47</v>
      </c>
      <c r="AW944">
        <v>4</v>
      </c>
      <c r="AX944" t="s">
        <v>74</v>
      </c>
      <c r="AY944" t="s">
        <v>74</v>
      </c>
      <c r="AZ944" t="s">
        <v>74</v>
      </c>
      <c r="BA944" t="s">
        <v>74</v>
      </c>
      <c r="BB944">
        <v>785</v>
      </c>
      <c r="BC944">
        <v>806</v>
      </c>
      <c r="BD944" t="s">
        <v>74</v>
      </c>
      <c r="BE944" t="s">
        <v>17614</v>
      </c>
      <c r="BF944" t="str">
        <f>HYPERLINK("http://dx.doi.org/10.1657/AAAR0014-097","http://dx.doi.org/10.1657/AAAR0014-097")</f>
        <v>http://dx.doi.org/10.1657/AAAR0014-097</v>
      </c>
      <c r="BG944" t="s">
        <v>74</v>
      </c>
      <c r="BH944" t="s">
        <v>74</v>
      </c>
      <c r="BI944">
        <v>22</v>
      </c>
      <c r="BJ944" t="s">
        <v>17508</v>
      </c>
      <c r="BK944" t="s">
        <v>264</v>
      </c>
      <c r="BL944" t="s">
        <v>17509</v>
      </c>
      <c r="BM944" t="s">
        <v>17510</v>
      </c>
      <c r="BN944" t="s">
        <v>74</v>
      </c>
      <c r="BO944" t="s">
        <v>1796</v>
      </c>
      <c r="BP944" t="s">
        <v>74</v>
      </c>
      <c r="BQ944" t="s">
        <v>74</v>
      </c>
      <c r="BR944" t="s">
        <v>100</v>
      </c>
      <c r="BS944" t="s">
        <v>17615</v>
      </c>
      <c r="BT944" t="str">
        <f>HYPERLINK("https%3A%2F%2Fwww.webofscience.com%2Fwos%2Fwoscc%2Ffull-record%2FWOS:000363863300015","View Full Record in Web of Science")</f>
        <v>View Full Record in Web of Science</v>
      </c>
    </row>
    <row r="945" spans="1:72" x14ac:dyDescent="0.15">
      <c r="A945" t="s">
        <v>72</v>
      </c>
      <c r="B945" t="s">
        <v>17616</v>
      </c>
      <c r="C945" t="s">
        <v>74</v>
      </c>
      <c r="D945" t="s">
        <v>74</v>
      </c>
      <c r="E945" t="s">
        <v>74</v>
      </c>
      <c r="F945" t="s">
        <v>17617</v>
      </c>
      <c r="G945" t="s">
        <v>74</v>
      </c>
      <c r="H945" t="s">
        <v>74</v>
      </c>
      <c r="I945" t="s">
        <v>17618</v>
      </c>
      <c r="J945" t="s">
        <v>17497</v>
      </c>
      <c r="K945" t="s">
        <v>74</v>
      </c>
      <c r="L945" t="s">
        <v>74</v>
      </c>
      <c r="M945" t="s">
        <v>200</v>
      </c>
      <c r="N945" t="s">
        <v>79</v>
      </c>
      <c r="O945" t="s">
        <v>74</v>
      </c>
      <c r="P945" t="s">
        <v>74</v>
      </c>
      <c r="Q945" t="s">
        <v>74</v>
      </c>
      <c r="R945" t="s">
        <v>74</v>
      </c>
      <c r="S945" t="s">
        <v>74</v>
      </c>
      <c r="T945" t="s">
        <v>74</v>
      </c>
      <c r="U945" t="s">
        <v>17619</v>
      </c>
      <c r="V945" t="s">
        <v>17620</v>
      </c>
      <c r="W945" t="s">
        <v>17621</v>
      </c>
      <c r="X945" t="s">
        <v>17622</v>
      </c>
      <c r="Y945" t="s">
        <v>17623</v>
      </c>
      <c r="Z945" t="s">
        <v>17624</v>
      </c>
      <c r="AA945" t="s">
        <v>17625</v>
      </c>
      <c r="AB945" t="s">
        <v>17626</v>
      </c>
      <c r="AC945" t="s">
        <v>17627</v>
      </c>
      <c r="AD945" t="s">
        <v>17628</v>
      </c>
      <c r="AE945" t="s">
        <v>17629</v>
      </c>
      <c r="AF945" t="s">
        <v>74</v>
      </c>
      <c r="AG945">
        <v>49</v>
      </c>
      <c r="AH945">
        <v>4</v>
      </c>
      <c r="AI945">
        <v>4</v>
      </c>
      <c r="AJ945">
        <v>2</v>
      </c>
      <c r="AK945">
        <v>17</v>
      </c>
      <c r="AL945" t="s">
        <v>17501</v>
      </c>
      <c r="AM945" t="s">
        <v>6161</v>
      </c>
      <c r="AN945" t="s">
        <v>17502</v>
      </c>
      <c r="AO945" t="s">
        <v>17503</v>
      </c>
      <c r="AP945" t="s">
        <v>17504</v>
      </c>
      <c r="AQ945" t="s">
        <v>74</v>
      </c>
      <c r="AR945" t="s">
        <v>17505</v>
      </c>
      <c r="AS945" t="s">
        <v>17506</v>
      </c>
      <c r="AT945" t="s">
        <v>16633</v>
      </c>
      <c r="AU945">
        <v>2015</v>
      </c>
      <c r="AV945">
        <v>47</v>
      </c>
      <c r="AW945">
        <v>4</v>
      </c>
      <c r="AX945" t="s">
        <v>74</v>
      </c>
      <c r="AY945" t="s">
        <v>74</v>
      </c>
      <c r="AZ945" t="s">
        <v>74</v>
      </c>
      <c r="BA945" t="s">
        <v>74</v>
      </c>
      <c r="BB945">
        <v>807</v>
      </c>
      <c r="BC945">
        <v>817</v>
      </c>
      <c r="BD945" t="s">
        <v>74</v>
      </c>
      <c r="BE945" t="s">
        <v>17630</v>
      </c>
      <c r="BF945" t="str">
        <f>HYPERLINK("http://dx.doi.org/10.1657/AAAR00C-13-132","http://dx.doi.org/10.1657/AAAR00C-13-132")</f>
        <v>http://dx.doi.org/10.1657/AAAR00C-13-132</v>
      </c>
      <c r="BG945" t="s">
        <v>74</v>
      </c>
      <c r="BH945" t="s">
        <v>74</v>
      </c>
      <c r="BI945">
        <v>11</v>
      </c>
      <c r="BJ945" t="s">
        <v>17508</v>
      </c>
      <c r="BK945" t="s">
        <v>264</v>
      </c>
      <c r="BL945" t="s">
        <v>17509</v>
      </c>
      <c r="BM945" t="s">
        <v>17510</v>
      </c>
      <c r="BN945" t="s">
        <v>74</v>
      </c>
      <c r="BO945" t="s">
        <v>241</v>
      </c>
      <c r="BP945" t="s">
        <v>74</v>
      </c>
      <c r="BQ945" t="s">
        <v>74</v>
      </c>
      <c r="BR945" t="s">
        <v>100</v>
      </c>
      <c r="BS945" t="s">
        <v>17631</v>
      </c>
      <c r="BT945" t="str">
        <f>HYPERLINK("https%3A%2F%2Fwww.webofscience.com%2Fwos%2Fwoscc%2Ffull-record%2FWOS:000363863300016","View Full Record in Web of Science")</f>
        <v>View Full Record in Web of Science</v>
      </c>
    </row>
    <row r="946" spans="1:72" x14ac:dyDescent="0.15">
      <c r="A946" t="s">
        <v>72</v>
      </c>
      <c r="B946" t="s">
        <v>17632</v>
      </c>
      <c r="C946" t="s">
        <v>74</v>
      </c>
      <c r="D946" t="s">
        <v>74</v>
      </c>
      <c r="E946" t="s">
        <v>74</v>
      </c>
      <c r="F946" t="s">
        <v>17633</v>
      </c>
      <c r="G946" t="s">
        <v>74</v>
      </c>
      <c r="H946" t="s">
        <v>74</v>
      </c>
      <c r="I946" t="s">
        <v>17634</v>
      </c>
      <c r="J946" t="s">
        <v>14018</v>
      </c>
      <c r="K946" t="s">
        <v>74</v>
      </c>
      <c r="L946" t="s">
        <v>74</v>
      </c>
      <c r="M946" t="s">
        <v>200</v>
      </c>
      <c r="N946" t="s">
        <v>79</v>
      </c>
      <c r="O946" t="s">
        <v>74</v>
      </c>
      <c r="P946" t="s">
        <v>74</v>
      </c>
      <c r="Q946" t="s">
        <v>74</v>
      </c>
      <c r="R946" t="s">
        <v>74</v>
      </c>
      <c r="S946" t="s">
        <v>74</v>
      </c>
      <c r="T946" t="s">
        <v>17635</v>
      </c>
      <c r="U946" t="s">
        <v>17636</v>
      </c>
      <c r="V946" t="s">
        <v>17637</v>
      </c>
      <c r="W946" t="s">
        <v>17638</v>
      </c>
      <c r="X946" t="s">
        <v>17639</v>
      </c>
      <c r="Y946" t="s">
        <v>17640</v>
      </c>
      <c r="Z946" t="s">
        <v>4043</v>
      </c>
      <c r="AA946" t="s">
        <v>17641</v>
      </c>
      <c r="AB946" t="s">
        <v>17642</v>
      </c>
      <c r="AC946" t="s">
        <v>17643</v>
      </c>
      <c r="AD946" t="s">
        <v>17644</v>
      </c>
      <c r="AE946" t="s">
        <v>17645</v>
      </c>
      <c r="AF946" t="s">
        <v>74</v>
      </c>
      <c r="AG946">
        <v>102</v>
      </c>
      <c r="AH946">
        <v>12</v>
      </c>
      <c r="AI946">
        <v>12</v>
      </c>
      <c r="AJ946">
        <v>0</v>
      </c>
      <c r="AK946">
        <v>18</v>
      </c>
      <c r="AL946" t="s">
        <v>5888</v>
      </c>
      <c r="AM946" t="s">
        <v>1386</v>
      </c>
      <c r="AN946" t="s">
        <v>5889</v>
      </c>
      <c r="AO946" t="s">
        <v>14031</v>
      </c>
      <c r="AP946" t="s">
        <v>14032</v>
      </c>
      <c r="AQ946" t="s">
        <v>74</v>
      </c>
      <c r="AR946" t="s">
        <v>14033</v>
      </c>
      <c r="AS946" t="s">
        <v>14034</v>
      </c>
      <c r="AT946" t="s">
        <v>17646</v>
      </c>
      <c r="AU946">
        <v>2015</v>
      </c>
      <c r="AV946">
        <v>25</v>
      </c>
      <c r="AW946">
        <v>21</v>
      </c>
      <c r="AX946" t="s">
        <v>74</v>
      </c>
      <c r="AY946" t="s">
        <v>74</v>
      </c>
      <c r="AZ946" t="s">
        <v>74</v>
      </c>
      <c r="BA946" t="s">
        <v>74</v>
      </c>
      <c r="BB946">
        <v>4970</v>
      </c>
      <c r="BC946">
        <v>4975</v>
      </c>
      <c r="BD946" t="s">
        <v>74</v>
      </c>
      <c r="BE946" t="s">
        <v>17647</v>
      </c>
      <c r="BF946" t="str">
        <f>HYPERLINK("http://dx.doi.org/10.1016/j.bmcl.2015.03.010","http://dx.doi.org/10.1016/j.bmcl.2015.03.010")</f>
        <v>http://dx.doi.org/10.1016/j.bmcl.2015.03.010</v>
      </c>
      <c r="BG946" t="s">
        <v>74</v>
      </c>
      <c r="BH946" t="s">
        <v>74</v>
      </c>
      <c r="BI946">
        <v>6</v>
      </c>
      <c r="BJ946" t="s">
        <v>14036</v>
      </c>
      <c r="BK946" t="s">
        <v>264</v>
      </c>
      <c r="BL946" t="s">
        <v>14037</v>
      </c>
      <c r="BM946" t="s">
        <v>17648</v>
      </c>
      <c r="BN946">
        <v>25804721</v>
      </c>
      <c r="BO946" t="s">
        <v>74</v>
      </c>
      <c r="BP946" t="s">
        <v>74</v>
      </c>
      <c r="BQ946" t="s">
        <v>74</v>
      </c>
      <c r="BR946" t="s">
        <v>100</v>
      </c>
      <c r="BS946" t="s">
        <v>17649</v>
      </c>
      <c r="BT946" t="str">
        <f>HYPERLINK("https%3A%2F%2Fwww.webofscience.com%2Fwos%2Fwoscc%2Ffull-record%2FWOS:000363275400053","View Full Record in Web of Science")</f>
        <v>View Full Record in Web of Science</v>
      </c>
    </row>
    <row r="947" spans="1:72" x14ac:dyDescent="0.15">
      <c r="A947" t="s">
        <v>72</v>
      </c>
      <c r="B947" t="s">
        <v>17650</v>
      </c>
      <c r="C947" t="s">
        <v>74</v>
      </c>
      <c r="D947" t="s">
        <v>74</v>
      </c>
      <c r="E947" t="s">
        <v>74</v>
      </c>
      <c r="F947" t="s">
        <v>17651</v>
      </c>
      <c r="G947" t="s">
        <v>74</v>
      </c>
      <c r="H947" t="s">
        <v>74</v>
      </c>
      <c r="I947" t="s">
        <v>17652</v>
      </c>
      <c r="J947" t="s">
        <v>17653</v>
      </c>
      <c r="K947" t="s">
        <v>74</v>
      </c>
      <c r="L947" t="s">
        <v>74</v>
      </c>
      <c r="M947" t="s">
        <v>200</v>
      </c>
      <c r="N947" t="s">
        <v>79</v>
      </c>
      <c r="O947" t="s">
        <v>74</v>
      </c>
      <c r="P947" t="s">
        <v>74</v>
      </c>
      <c r="Q947" t="s">
        <v>74</v>
      </c>
      <c r="R947" t="s">
        <v>74</v>
      </c>
      <c r="S947" t="s">
        <v>74</v>
      </c>
      <c r="T947" t="s">
        <v>17654</v>
      </c>
      <c r="U947" t="s">
        <v>17655</v>
      </c>
      <c r="V947" t="s">
        <v>17656</v>
      </c>
      <c r="W947" t="s">
        <v>17657</v>
      </c>
      <c r="X947" t="s">
        <v>17658</v>
      </c>
      <c r="Y947" t="s">
        <v>17659</v>
      </c>
      <c r="Z947" t="s">
        <v>17660</v>
      </c>
      <c r="AA947" t="s">
        <v>74</v>
      </c>
      <c r="AB947" t="s">
        <v>17661</v>
      </c>
      <c r="AC947" t="s">
        <v>74</v>
      </c>
      <c r="AD947" t="s">
        <v>74</v>
      </c>
      <c r="AE947" t="s">
        <v>74</v>
      </c>
      <c r="AF947" t="s">
        <v>74</v>
      </c>
      <c r="AG947">
        <v>20</v>
      </c>
      <c r="AH947">
        <v>4</v>
      </c>
      <c r="AI947">
        <v>4</v>
      </c>
      <c r="AJ947">
        <v>2</v>
      </c>
      <c r="AK947">
        <v>32</v>
      </c>
      <c r="AL947" t="s">
        <v>3560</v>
      </c>
      <c r="AM947" t="s">
        <v>289</v>
      </c>
      <c r="AN947" t="s">
        <v>5440</v>
      </c>
      <c r="AO947" t="s">
        <v>17662</v>
      </c>
      <c r="AP947" t="s">
        <v>17663</v>
      </c>
      <c r="AQ947" t="s">
        <v>74</v>
      </c>
      <c r="AR947" t="s">
        <v>17664</v>
      </c>
      <c r="AS947" t="s">
        <v>17665</v>
      </c>
      <c r="AT947" t="s">
        <v>16633</v>
      </c>
      <c r="AU947">
        <v>2015</v>
      </c>
      <c r="AV947">
        <v>95</v>
      </c>
      <c r="AW947">
        <v>5</v>
      </c>
      <c r="AX947" t="s">
        <v>74</v>
      </c>
      <c r="AY947" t="s">
        <v>74</v>
      </c>
      <c r="AZ947" t="s">
        <v>74</v>
      </c>
      <c r="BA947" t="s">
        <v>74</v>
      </c>
      <c r="BB947">
        <v>557</v>
      </c>
      <c r="BC947">
        <v>560</v>
      </c>
      <c r="BD947" t="s">
        <v>74</v>
      </c>
      <c r="BE947" t="s">
        <v>17666</v>
      </c>
      <c r="BF947" t="str">
        <f>HYPERLINK("http://dx.doi.org/10.1007/s00128-015-1594-5","http://dx.doi.org/10.1007/s00128-015-1594-5")</f>
        <v>http://dx.doi.org/10.1007/s00128-015-1594-5</v>
      </c>
      <c r="BG947" t="s">
        <v>74</v>
      </c>
      <c r="BH947" t="s">
        <v>74</v>
      </c>
      <c r="BI947">
        <v>4</v>
      </c>
      <c r="BJ947" t="s">
        <v>8839</v>
      </c>
      <c r="BK947" t="s">
        <v>264</v>
      </c>
      <c r="BL947" t="s">
        <v>8840</v>
      </c>
      <c r="BM947" t="s">
        <v>17667</v>
      </c>
      <c r="BN947">
        <v>26155962</v>
      </c>
      <c r="BO947" t="s">
        <v>74</v>
      </c>
      <c r="BP947" t="s">
        <v>74</v>
      </c>
      <c r="BQ947" t="s">
        <v>74</v>
      </c>
      <c r="BR947" t="s">
        <v>100</v>
      </c>
      <c r="BS947" t="s">
        <v>17668</v>
      </c>
      <c r="BT947" t="str">
        <f>HYPERLINK("https%3A%2F%2Fwww.webofscience.com%2Fwos%2Fwoscc%2Ffull-record%2FWOS:000363026800003","View Full Record in Web of Science")</f>
        <v>View Full Record in Web of Science</v>
      </c>
    </row>
    <row r="948" spans="1:72" x14ac:dyDescent="0.15">
      <c r="A948" t="s">
        <v>72</v>
      </c>
      <c r="B948" t="s">
        <v>17669</v>
      </c>
      <c r="C948" t="s">
        <v>74</v>
      </c>
      <c r="D948" t="s">
        <v>74</v>
      </c>
      <c r="E948" t="s">
        <v>74</v>
      </c>
      <c r="F948" t="s">
        <v>17670</v>
      </c>
      <c r="G948" t="s">
        <v>74</v>
      </c>
      <c r="H948" t="s">
        <v>74</v>
      </c>
      <c r="I948" t="s">
        <v>17671</v>
      </c>
      <c r="J948" t="s">
        <v>17672</v>
      </c>
      <c r="K948" t="s">
        <v>74</v>
      </c>
      <c r="L948" t="s">
        <v>74</v>
      </c>
      <c r="M948" t="s">
        <v>200</v>
      </c>
      <c r="N948" t="s">
        <v>79</v>
      </c>
      <c r="O948" t="s">
        <v>74</v>
      </c>
      <c r="P948" t="s">
        <v>74</v>
      </c>
      <c r="Q948" t="s">
        <v>74</v>
      </c>
      <c r="R948" t="s">
        <v>74</v>
      </c>
      <c r="S948" t="s">
        <v>74</v>
      </c>
      <c r="T948" t="s">
        <v>74</v>
      </c>
      <c r="U948" t="s">
        <v>17673</v>
      </c>
      <c r="V948" t="s">
        <v>17674</v>
      </c>
      <c r="W948" t="s">
        <v>17675</v>
      </c>
      <c r="X948" t="s">
        <v>17676</v>
      </c>
      <c r="Y948" t="s">
        <v>17677</v>
      </c>
      <c r="Z948" t="s">
        <v>17678</v>
      </c>
      <c r="AA948" t="s">
        <v>17679</v>
      </c>
      <c r="AB948" t="s">
        <v>17680</v>
      </c>
      <c r="AC948" t="s">
        <v>17681</v>
      </c>
      <c r="AD948" t="s">
        <v>17681</v>
      </c>
      <c r="AE948" t="s">
        <v>17682</v>
      </c>
      <c r="AF948" t="s">
        <v>74</v>
      </c>
      <c r="AG948">
        <v>61</v>
      </c>
      <c r="AH948">
        <v>7</v>
      </c>
      <c r="AI948">
        <v>11</v>
      </c>
      <c r="AJ948">
        <v>0</v>
      </c>
      <c r="AK948">
        <v>13</v>
      </c>
      <c r="AL948" t="s">
        <v>1385</v>
      </c>
      <c r="AM948" t="s">
        <v>1386</v>
      </c>
      <c r="AN948" t="s">
        <v>1387</v>
      </c>
      <c r="AO948" t="s">
        <v>17683</v>
      </c>
      <c r="AP948" t="s">
        <v>17684</v>
      </c>
      <c r="AQ948" t="s">
        <v>74</v>
      </c>
      <c r="AR948" t="s">
        <v>17685</v>
      </c>
      <c r="AS948" t="s">
        <v>17686</v>
      </c>
      <c r="AT948" t="s">
        <v>16633</v>
      </c>
      <c r="AU948">
        <v>2015</v>
      </c>
      <c r="AV948">
        <v>81</v>
      </c>
      <c r="AW948" t="s">
        <v>74</v>
      </c>
      <c r="AX948">
        <v>4</v>
      </c>
      <c r="AY948" t="s">
        <v>74</v>
      </c>
      <c r="AZ948" t="s">
        <v>74</v>
      </c>
      <c r="BA948" t="s">
        <v>74</v>
      </c>
      <c r="BB948">
        <v>476</v>
      </c>
      <c r="BC948">
        <v>488</v>
      </c>
      <c r="BD948" t="s">
        <v>74</v>
      </c>
      <c r="BE948" t="s">
        <v>17687</v>
      </c>
      <c r="BF948" t="str">
        <f>HYPERLINK("http://dx.doi.org/10.1093/mollus/eyv020","http://dx.doi.org/10.1093/mollus/eyv020")</f>
        <v>http://dx.doi.org/10.1093/mollus/eyv020</v>
      </c>
      <c r="BG948" t="s">
        <v>74</v>
      </c>
      <c r="BH948" t="s">
        <v>74</v>
      </c>
      <c r="BI948">
        <v>13</v>
      </c>
      <c r="BJ948" t="s">
        <v>1660</v>
      </c>
      <c r="BK948" t="s">
        <v>264</v>
      </c>
      <c r="BL948" t="s">
        <v>1660</v>
      </c>
      <c r="BM948" t="s">
        <v>17688</v>
      </c>
      <c r="BN948" t="s">
        <v>74</v>
      </c>
      <c r="BO948" t="s">
        <v>7618</v>
      </c>
      <c r="BP948" t="s">
        <v>74</v>
      </c>
      <c r="BQ948" t="s">
        <v>74</v>
      </c>
      <c r="BR948" t="s">
        <v>100</v>
      </c>
      <c r="BS948" t="s">
        <v>17689</v>
      </c>
      <c r="BT948" t="str">
        <f>HYPERLINK("https%3A%2F%2Fwww.webofscience.com%2Fwos%2Fwoscc%2Ffull-record%2FWOS:000363518100006","View Full Record in Web of Science")</f>
        <v>View Full Record in Web of Science</v>
      </c>
    </row>
    <row r="949" spans="1:72" x14ac:dyDescent="0.15">
      <c r="A949" t="s">
        <v>72</v>
      </c>
      <c r="B949" t="s">
        <v>17690</v>
      </c>
      <c r="C949" t="s">
        <v>74</v>
      </c>
      <c r="D949" t="s">
        <v>74</v>
      </c>
      <c r="E949" t="s">
        <v>74</v>
      </c>
      <c r="F949" t="s">
        <v>17691</v>
      </c>
      <c r="G949" t="s">
        <v>74</v>
      </c>
      <c r="H949" t="s">
        <v>74</v>
      </c>
      <c r="I949" t="s">
        <v>17692</v>
      </c>
      <c r="J949" t="s">
        <v>17693</v>
      </c>
      <c r="K949" t="s">
        <v>74</v>
      </c>
      <c r="L949" t="s">
        <v>74</v>
      </c>
      <c r="M949" t="s">
        <v>200</v>
      </c>
      <c r="N949" t="s">
        <v>79</v>
      </c>
      <c r="O949" t="s">
        <v>74</v>
      </c>
      <c r="P949" t="s">
        <v>74</v>
      </c>
      <c r="Q949" t="s">
        <v>74</v>
      </c>
      <c r="R949" t="s">
        <v>74</v>
      </c>
      <c r="S949" t="s">
        <v>74</v>
      </c>
      <c r="T949" t="s">
        <v>17694</v>
      </c>
      <c r="U949" t="s">
        <v>17695</v>
      </c>
      <c r="V949" t="s">
        <v>17696</v>
      </c>
      <c r="W949" t="s">
        <v>17697</v>
      </c>
      <c r="X949" t="s">
        <v>17698</v>
      </c>
      <c r="Y949" t="s">
        <v>17699</v>
      </c>
      <c r="Z949" t="s">
        <v>17700</v>
      </c>
      <c r="AA949" t="s">
        <v>17701</v>
      </c>
      <c r="AB949" t="s">
        <v>17702</v>
      </c>
      <c r="AC949" t="s">
        <v>17703</v>
      </c>
      <c r="AD949" t="s">
        <v>17704</v>
      </c>
      <c r="AE949" t="s">
        <v>17705</v>
      </c>
      <c r="AF949" t="s">
        <v>74</v>
      </c>
      <c r="AG949">
        <v>54</v>
      </c>
      <c r="AH949">
        <v>23</v>
      </c>
      <c r="AI949">
        <v>23</v>
      </c>
      <c r="AJ949">
        <v>1</v>
      </c>
      <c r="AK949">
        <v>38</v>
      </c>
      <c r="AL949" t="s">
        <v>5464</v>
      </c>
      <c r="AM949" t="s">
        <v>5465</v>
      </c>
      <c r="AN949" t="s">
        <v>5466</v>
      </c>
      <c r="AO949" t="s">
        <v>17706</v>
      </c>
      <c r="AP949" t="s">
        <v>17707</v>
      </c>
      <c r="AQ949" t="s">
        <v>74</v>
      </c>
      <c r="AR949" t="s">
        <v>17708</v>
      </c>
      <c r="AS949" t="s">
        <v>17709</v>
      </c>
      <c r="AT949" t="s">
        <v>16633</v>
      </c>
      <c r="AU949">
        <v>2015</v>
      </c>
      <c r="AV949">
        <v>15</v>
      </c>
      <c r="AW949">
        <v>6</v>
      </c>
      <c r="AX949" t="s">
        <v>74</v>
      </c>
      <c r="AY949" t="s">
        <v>74</v>
      </c>
      <c r="AZ949" t="s">
        <v>74</v>
      </c>
      <c r="BA949" t="s">
        <v>74</v>
      </c>
      <c r="BB949">
        <v>1460</v>
      </c>
      <c r="BC949">
        <v>1471</v>
      </c>
      <c r="BD949" t="s">
        <v>74</v>
      </c>
      <c r="BE949" t="s">
        <v>17710</v>
      </c>
      <c r="BF949" t="str">
        <f>HYPERLINK("http://dx.doi.org/10.1111/1755-0998.12408","http://dx.doi.org/10.1111/1755-0998.12408")</f>
        <v>http://dx.doi.org/10.1111/1755-0998.12408</v>
      </c>
      <c r="BG949" t="s">
        <v>74</v>
      </c>
      <c r="BH949" t="s">
        <v>74</v>
      </c>
      <c r="BI949">
        <v>12</v>
      </c>
      <c r="BJ949" t="s">
        <v>17711</v>
      </c>
      <c r="BK949" t="s">
        <v>264</v>
      </c>
      <c r="BL949" t="s">
        <v>17712</v>
      </c>
      <c r="BM949" t="s">
        <v>17713</v>
      </c>
      <c r="BN949">
        <v>25818178</v>
      </c>
      <c r="BO949" t="s">
        <v>5473</v>
      </c>
      <c r="BP949" t="s">
        <v>74</v>
      </c>
      <c r="BQ949" t="s">
        <v>74</v>
      </c>
      <c r="BR949" t="s">
        <v>100</v>
      </c>
      <c r="BS949" t="s">
        <v>17714</v>
      </c>
      <c r="BT949" t="str">
        <f>HYPERLINK("https%3A%2F%2Fwww.webofscience.com%2Fwos%2Fwoscc%2Ffull-record%2FWOS:000362838300019","View Full Record in Web of Science")</f>
        <v>View Full Record in Web of Science</v>
      </c>
    </row>
    <row r="950" spans="1:72" x14ac:dyDescent="0.15">
      <c r="A950" t="s">
        <v>72</v>
      </c>
      <c r="B950" t="s">
        <v>17715</v>
      </c>
      <c r="C950" t="s">
        <v>74</v>
      </c>
      <c r="D950" t="s">
        <v>74</v>
      </c>
      <c r="E950" t="s">
        <v>74</v>
      </c>
      <c r="F950" t="s">
        <v>17716</v>
      </c>
      <c r="G950" t="s">
        <v>74</v>
      </c>
      <c r="H950" t="s">
        <v>74</v>
      </c>
      <c r="I950" t="s">
        <v>17717</v>
      </c>
      <c r="J950" t="s">
        <v>17718</v>
      </c>
      <c r="K950" t="s">
        <v>74</v>
      </c>
      <c r="L950" t="s">
        <v>74</v>
      </c>
      <c r="M950" t="s">
        <v>200</v>
      </c>
      <c r="N950" t="s">
        <v>79</v>
      </c>
      <c r="O950" t="s">
        <v>74</v>
      </c>
      <c r="P950" t="s">
        <v>74</v>
      </c>
      <c r="Q950" t="s">
        <v>74</v>
      </c>
      <c r="R950" t="s">
        <v>74</v>
      </c>
      <c r="S950" t="s">
        <v>74</v>
      </c>
      <c r="T950" t="s">
        <v>17719</v>
      </c>
      <c r="U950" t="s">
        <v>17720</v>
      </c>
      <c r="V950" t="s">
        <v>17721</v>
      </c>
      <c r="W950" t="s">
        <v>17722</v>
      </c>
      <c r="X950" t="s">
        <v>17723</v>
      </c>
      <c r="Y950" t="s">
        <v>17724</v>
      </c>
      <c r="Z950" t="s">
        <v>17725</v>
      </c>
      <c r="AA950" t="s">
        <v>17726</v>
      </c>
      <c r="AB950" t="s">
        <v>17727</v>
      </c>
      <c r="AC950" t="s">
        <v>17728</v>
      </c>
      <c r="AD950" t="s">
        <v>17729</v>
      </c>
      <c r="AE950" t="s">
        <v>17730</v>
      </c>
      <c r="AF950" t="s">
        <v>74</v>
      </c>
      <c r="AG950">
        <v>80</v>
      </c>
      <c r="AH950">
        <v>18</v>
      </c>
      <c r="AI950">
        <v>21</v>
      </c>
      <c r="AJ950">
        <v>0</v>
      </c>
      <c r="AK950">
        <v>21</v>
      </c>
      <c r="AL950" t="s">
        <v>5464</v>
      </c>
      <c r="AM950" t="s">
        <v>5465</v>
      </c>
      <c r="AN950" t="s">
        <v>5466</v>
      </c>
      <c r="AO950" t="s">
        <v>17731</v>
      </c>
      <c r="AP950" t="s">
        <v>17732</v>
      </c>
      <c r="AQ950" t="s">
        <v>74</v>
      </c>
      <c r="AR950" t="s">
        <v>17733</v>
      </c>
      <c r="AS950" t="s">
        <v>17734</v>
      </c>
      <c r="AT950" t="s">
        <v>16633</v>
      </c>
      <c r="AU950">
        <v>2015</v>
      </c>
      <c r="AV950">
        <v>28</v>
      </c>
      <c r="AW950">
        <v>11</v>
      </c>
      <c r="AX950" t="s">
        <v>74</v>
      </c>
      <c r="AY950" t="s">
        <v>74</v>
      </c>
      <c r="AZ950" t="s">
        <v>74</v>
      </c>
      <c r="BA950" t="s">
        <v>74</v>
      </c>
      <c r="BB950">
        <v>1507</v>
      </c>
      <c r="BC950">
        <v>1517</v>
      </c>
      <c r="BD950" t="s">
        <v>74</v>
      </c>
      <c r="BE950" t="s">
        <v>17735</v>
      </c>
      <c r="BF950" t="str">
        <f>HYPERLINK("http://dx.doi.org/10.1002/nbm.3416","http://dx.doi.org/10.1002/nbm.3416")</f>
        <v>http://dx.doi.org/10.1002/nbm.3416</v>
      </c>
      <c r="BG950" t="s">
        <v>74</v>
      </c>
      <c r="BH950" t="s">
        <v>74</v>
      </c>
      <c r="BI950">
        <v>11</v>
      </c>
      <c r="BJ950" t="s">
        <v>17736</v>
      </c>
      <c r="BK950" t="s">
        <v>264</v>
      </c>
      <c r="BL950" t="s">
        <v>17736</v>
      </c>
      <c r="BM950" t="s">
        <v>17737</v>
      </c>
      <c r="BN950">
        <v>26412088</v>
      </c>
      <c r="BO950" t="s">
        <v>74</v>
      </c>
      <c r="BP950" t="s">
        <v>74</v>
      </c>
      <c r="BQ950" t="s">
        <v>74</v>
      </c>
      <c r="BR950" t="s">
        <v>100</v>
      </c>
      <c r="BS950" t="s">
        <v>17738</v>
      </c>
      <c r="BT950" t="str">
        <f>HYPERLINK("https%3A%2F%2Fwww.webofscience.com%2Fwos%2Fwoscc%2Ffull-record%2FWOS:000363467400016","View Full Record in Web of Science")</f>
        <v>View Full Record in Web of Science</v>
      </c>
    </row>
    <row r="951" spans="1:72" x14ac:dyDescent="0.15">
      <c r="A951" t="s">
        <v>72</v>
      </c>
      <c r="B951" t="s">
        <v>17739</v>
      </c>
      <c r="C951" t="s">
        <v>74</v>
      </c>
      <c r="D951" t="s">
        <v>74</v>
      </c>
      <c r="E951" t="s">
        <v>74</v>
      </c>
      <c r="F951" t="s">
        <v>17740</v>
      </c>
      <c r="G951" t="s">
        <v>74</v>
      </c>
      <c r="H951" t="s">
        <v>74</v>
      </c>
      <c r="I951" t="s">
        <v>17741</v>
      </c>
      <c r="J951" t="s">
        <v>17742</v>
      </c>
      <c r="K951" t="s">
        <v>74</v>
      </c>
      <c r="L951" t="s">
        <v>74</v>
      </c>
      <c r="M951" t="s">
        <v>200</v>
      </c>
      <c r="N951" t="s">
        <v>79</v>
      </c>
      <c r="O951" t="s">
        <v>74</v>
      </c>
      <c r="P951" t="s">
        <v>74</v>
      </c>
      <c r="Q951" t="s">
        <v>74</v>
      </c>
      <c r="R951" t="s">
        <v>74</v>
      </c>
      <c r="S951" t="s">
        <v>74</v>
      </c>
      <c r="T951" t="s">
        <v>17743</v>
      </c>
      <c r="U951" t="s">
        <v>74</v>
      </c>
      <c r="V951" t="s">
        <v>17744</v>
      </c>
      <c r="W951" t="s">
        <v>17745</v>
      </c>
      <c r="X951" t="s">
        <v>17746</v>
      </c>
      <c r="Y951" t="s">
        <v>17747</v>
      </c>
      <c r="Z951" t="s">
        <v>17748</v>
      </c>
      <c r="AA951" t="s">
        <v>17749</v>
      </c>
      <c r="AB951" t="s">
        <v>17750</v>
      </c>
      <c r="AC951" t="s">
        <v>17751</v>
      </c>
      <c r="AD951" t="s">
        <v>17751</v>
      </c>
      <c r="AE951" t="s">
        <v>17752</v>
      </c>
      <c r="AF951" t="s">
        <v>74</v>
      </c>
      <c r="AG951">
        <v>15</v>
      </c>
      <c r="AH951">
        <v>14</v>
      </c>
      <c r="AI951">
        <v>14</v>
      </c>
      <c r="AJ951">
        <v>1</v>
      </c>
      <c r="AK951">
        <v>14</v>
      </c>
      <c r="AL951" t="s">
        <v>5888</v>
      </c>
      <c r="AM951" t="s">
        <v>1386</v>
      </c>
      <c r="AN951" t="s">
        <v>5889</v>
      </c>
      <c r="AO951" t="s">
        <v>17753</v>
      </c>
      <c r="AP951" t="s">
        <v>74</v>
      </c>
      <c r="AQ951" t="s">
        <v>74</v>
      </c>
      <c r="AR951" t="s">
        <v>17754</v>
      </c>
      <c r="AS951" t="s">
        <v>17755</v>
      </c>
      <c r="AT951" t="s">
        <v>17646</v>
      </c>
      <c r="AU951">
        <v>2015</v>
      </c>
      <c r="AV951">
        <v>108</v>
      </c>
      <c r="AW951" t="s">
        <v>74</v>
      </c>
      <c r="AX951" t="s">
        <v>74</v>
      </c>
      <c r="AY951" t="s">
        <v>74</v>
      </c>
      <c r="AZ951" t="s">
        <v>74</v>
      </c>
      <c r="BA951" t="s">
        <v>74</v>
      </c>
      <c r="BB951">
        <v>813</v>
      </c>
      <c r="BC951">
        <v>819</v>
      </c>
      <c r="BD951" t="s">
        <v>74</v>
      </c>
      <c r="BE951" t="s">
        <v>17756</v>
      </c>
      <c r="BF951" t="str">
        <f>HYPERLINK("http://dx.doi.org/10.1016/j.oceaneng.2015.08.040","http://dx.doi.org/10.1016/j.oceaneng.2015.08.040")</f>
        <v>http://dx.doi.org/10.1016/j.oceaneng.2015.08.040</v>
      </c>
      <c r="BG951" t="s">
        <v>74</v>
      </c>
      <c r="BH951" t="s">
        <v>74</v>
      </c>
      <c r="BI951">
        <v>7</v>
      </c>
      <c r="BJ951" t="s">
        <v>17757</v>
      </c>
      <c r="BK951" t="s">
        <v>264</v>
      </c>
      <c r="BL951" t="s">
        <v>17758</v>
      </c>
      <c r="BM951" t="s">
        <v>17759</v>
      </c>
      <c r="BN951" t="s">
        <v>74</v>
      </c>
      <c r="BO951" t="s">
        <v>74</v>
      </c>
      <c r="BP951" t="s">
        <v>74</v>
      </c>
      <c r="BQ951" t="s">
        <v>74</v>
      </c>
      <c r="BR951" t="s">
        <v>100</v>
      </c>
      <c r="BS951" t="s">
        <v>17760</v>
      </c>
      <c r="BT951" t="str">
        <f>HYPERLINK("https%3A%2F%2Fwww.webofscience.com%2Fwos%2Fwoscc%2Ffull-record%2FWOS:000363345800069","View Full Record in Web of Science")</f>
        <v>View Full Record in Web of Science</v>
      </c>
    </row>
    <row r="952" spans="1:72" x14ac:dyDescent="0.15">
      <c r="A952" t="s">
        <v>72</v>
      </c>
      <c r="B952" t="s">
        <v>17761</v>
      </c>
      <c r="C952" t="s">
        <v>74</v>
      </c>
      <c r="D952" t="s">
        <v>74</v>
      </c>
      <c r="E952" t="s">
        <v>74</v>
      </c>
      <c r="F952" t="s">
        <v>17762</v>
      </c>
      <c r="G952" t="s">
        <v>74</v>
      </c>
      <c r="H952" t="s">
        <v>74</v>
      </c>
      <c r="I952" t="s">
        <v>17763</v>
      </c>
      <c r="J952" t="s">
        <v>17764</v>
      </c>
      <c r="K952" t="s">
        <v>74</v>
      </c>
      <c r="L952" t="s">
        <v>74</v>
      </c>
      <c r="M952" t="s">
        <v>200</v>
      </c>
      <c r="N952" t="s">
        <v>79</v>
      </c>
      <c r="O952" t="s">
        <v>74</v>
      </c>
      <c r="P952" t="s">
        <v>74</v>
      </c>
      <c r="Q952" t="s">
        <v>74</v>
      </c>
      <c r="R952" t="s">
        <v>74</v>
      </c>
      <c r="S952" t="s">
        <v>74</v>
      </c>
      <c r="T952" t="s">
        <v>17765</v>
      </c>
      <c r="U952" t="s">
        <v>17766</v>
      </c>
      <c r="V952" t="s">
        <v>17767</v>
      </c>
      <c r="W952" t="s">
        <v>17768</v>
      </c>
      <c r="X952" t="s">
        <v>17769</v>
      </c>
      <c r="Y952" t="s">
        <v>17770</v>
      </c>
      <c r="Z952" t="s">
        <v>17771</v>
      </c>
      <c r="AA952" t="s">
        <v>74</v>
      </c>
      <c r="AB952" t="s">
        <v>17772</v>
      </c>
      <c r="AC952" t="s">
        <v>17773</v>
      </c>
      <c r="AD952" t="s">
        <v>17774</v>
      </c>
      <c r="AE952" t="s">
        <v>17775</v>
      </c>
      <c r="AF952" t="s">
        <v>74</v>
      </c>
      <c r="AG952">
        <v>54</v>
      </c>
      <c r="AH952">
        <v>26</v>
      </c>
      <c r="AI952">
        <v>29</v>
      </c>
      <c r="AJ952">
        <v>0</v>
      </c>
      <c r="AK952">
        <v>3</v>
      </c>
      <c r="AL952" t="s">
        <v>7137</v>
      </c>
      <c r="AM952" t="s">
        <v>209</v>
      </c>
      <c r="AN952" t="s">
        <v>7138</v>
      </c>
      <c r="AO952" t="s">
        <v>17776</v>
      </c>
      <c r="AP952" t="s">
        <v>17777</v>
      </c>
      <c r="AQ952" t="s">
        <v>74</v>
      </c>
      <c r="AR952" t="s">
        <v>17778</v>
      </c>
      <c r="AS952" t="s">
        <v>17779</v>
      </c>
      <c r="AT952" t="s">
        <v>16633</v>
      </c>
      <c r="AU952">
        <v>2015</v>
      </c>
      <c r="AV952">
        <v>222</v>
      </c>
      <c r="AW952" t="s">
        <v>74</v>
      </c>
      <c r="AX952" t="s">
        <v>74</v>
      </c>
      <c r="AY952" t="s">
        <v>74</v>
      </c>
      <c r="AZ952" t="s">
        <v>74</v>
      </c>
      <c r="BA952" t="s">
        <v>74</v>
      </c>
      <c r="BB952">
        <v>56</v>
      </c>
      <c r="BC952">
        <v>66</v>
      </c>
      <c r="BD952" t="s">
        <v>74</v>
      </c>
      <c r="BE952" t="s">
        <v>17780</v>
      </c>
      <c r="BF952" t="str">
        <f>HYPERLINK("http://dx.doi.org/10.1016/j.revpalbo.2015.07.010","http://dx.doi.org/10.1016/j.revpalbo.2015.07.010")</f>
        <v>http://dx.doi.org/10.1016/j.revpalbo.2015.07.010</v>
      </c>
      <c r="BG952" t="s">
        <v>74</v>
      </c>
      <c r="BH952" t="s">
        <v>74</v>
      </c>
      <c r="BI952">
        <v>11</v>
      </c>
      <c r="BJ952" t="s">
        <v>17781</v>
      </c>
      <c r="BK952" t="s">
        <v>264</v>
      </c>
      <c r="BL952" t="s">
        <v>17781</v>
      </c>
      <c r="BM952" t="s">
        <v>17782</v>
      </c>
      <c r="BN952" t="s">
        <v>74</v>
      </c>
      <c r="BO952" t="s">
        <v>241</v>
      </c>
      <c r="BP952" t="s">
        <v>74</v>
      </c>
      <c r="BQ952" t="s">
        <v>74</v>
      </c>
      <c r="BR952" t="s">
        <v>100</v>
      </c>
      <c r="BS952" t="s">
        <v>17783</v>
      </c>
      <c r="BT952" t="str">
        <f>HYPERLINK("https%3A%2F%2Fwww.webofscience.com%2Fwos%2Fwoscc%2Ffull-record%2FWOS:000363068600006","View Full Record in Web of Science")</f>
        <v>View Full Record in Web of Science</v>
      </c>
    </row>
    <row r="953" spans="1:72" x14ac:dyDescent="0.15">
      <c r="A953" t="s">
        <v>72</v>
      </c>
      <c r="B953" t="s">
        <v>17784</v>
      </c>
      <c r="C953" t="s">
        <v>74</v>
      </c>
      <c r="D953" t="s">
        <v>74</v>
      </c>
      <c r="E953" t="s">
        <v>74</v>
      </c>
      <c r="F953" t="s">
        <v>17785</v>
      </c>
      <c r="G953" t="s">
        <v>74</v>
      </c>
      <c r="H953" t="s">
        <v>74</v>
      </c>
      <c r="I953" t="s">
        <v>17786</v>
      </c>
      <c r="J953" t="s">
        <v>17787</v>
      </c>
      <c r="K953" t="s">
        <v>74</v>
      </c>
      <c r="L953" t="s">
        <v>74</v>
      </c>
      <c r="M953" t="s">
        <v>200</v>
      </c>
      <c r="N953" t="s">
        <v>79</v>
      </c>
      <c r="O953" t="s">
        <v>74</v>
      </c>
      <c r="P953" t="s">
        <v>74</v>
      </c>
      <c r="Q953" t="s">
        <v>74</v>
      </c>
      <c r="R953" t="s">
        <v>74</v>
      </c>
      <c r="S953" t="s">
        <v>74</v>
      </c>
      <c r="T953" t="s">
        <v>17788</v>
      </c>
      <c r="U953" t="s">
        <v>17789</v>
      </c>
      <c r="V953" t="s">
        <v>17790</v>
      </c>
      <c r="W953" t="s">
        <v>17791</v>
      </c>
      <c r="X953" t="s">
        <v>17792</v>
      </c>
      <c r="Y953" t="s">
        <v>17793</v>
      </c>
      <c r="Z953" t="s">
        <v>17794</v>
      </c>
      <c r="AA953" t="s">
        <v>17795</v>
      </c>
      <c r="AB953" t="s">
        <v>17796</v>
      </c>
      <c r="AC953" t="s">
        <v>17797</v>
      </c>
      <c r="AD953" t="s">
        <v>17798</v>
      </c>
      <c r="AE953" t="s">
        <v>17799</v>
      </c>
      <c r="AF953" t="s">
        <v>74</v>
      </c>
      <c r="AG953">
        <v>67</v>
      </c>
      <c r="AH953">
        <v>4</v>
      </c>
      <c r="AI953">
        <v>6</v>
      </c>
      <c r="AJ953">
        <v>2</v>
      </c>
      <c r="AK953">
        <v>39</v>
      </c>
      <c r="AL953" t="s">
        <v>6056</v>
      </c>
      <c r="AM953" t="s">
        <v>6057</v>
      </c>
      <c r="AN953" t="s">
        <v>6058</v>
      </c>
      <c r="AO953" t="s">
        <v>17800</v>
      </c>
      <c r="AP953" t="s">
        <v>17801</v>
      </c>
      <c r="AQ953" t="s">
        <v>74</v>
      </c>
      <c r="AR953" t="s">
        <v>17802</v>
      </c>
      <c r="AS953" t="s">
        <v>17803</v>
      </c>
      <c r="AT953" t="s">
        <v>16633</v>
      </c>
      <c r="AU953">
        <v>2015</v>
      </c>
      <c r="AV953">
        <v>58</v>
      </c>
      <c r="AW953">
        <v>11</v>
      </c>
      <c r="AX953" t="s">
        <v>74</v>
      </c>
      <c r="AY953" t="s">
        <v>74</v>
      </c>
      <c r="AZ953" t="s">
        <v>74</v>
      </c>
      <c r="BA953" t="s">
        <v>74</v>
      </c>
      <c r="BB953">
        <v>2090</v>
      </c>
      <c r="BC953">
        <v>2102</v>
      </c>
      <c r="BD953" t="s">
        <v>74</v>
      </c>
      <c r="BE953" t="s">
        <v>17804</v>
      </c>
      <c r="BF953" t="str">
        <f>HYPERLINK("http://dx.doi.org/10.1007/s11430-015-5125-3","http://dx.doi.org/10.1007/s11430-015-5125-3")</f>
        <v>http://dx.doi.org/10.1007/s11430-015-5125-3</v>
      </c>
      <c r="BG953" t="s">
        <v>74</v>
      </c>
      <c r="BH953" t="s">
        <v>74</v>
      </c>
      <c r="BI953">
        <v>13</v>
      </c>
      <c r="BJ953" t="s">
        <v>95</v>
      </c>
      <c r="BK953" t="s">
        <v>264</v>
      </c>
      <c r="BL953" t="s">
        <v>97</v>
      </c>
      <c r="BM953" t="s">
        <v>17805</v>
      </c>
      <c r="BN953" t="s">
        <v>74</v>
      </c>
      <c r="BO953" t="s">
        <v>74</v>
      </c>
      <c r="BP953" t="s">
        <v>74</v>
      </c>
      <c r="BQ953" t="s">
        <v>74</v>
      </c>
      <c r="BR953" t="s">
        <v>100</v>
      </c>
      <c r="BS953" t="s">
        <v>17806</v>
      </c>
      <c r="BT953" t="str">
        <f>HYPERLINK("https%3A%2F%2Fwww.webofscience.com%2Fwos%2Fwoscc%2Ffull-record%2FWOS:000363258600018","View Full Record in Web of Science")</f>
        <v>View Full Record in Web of Science</v>
      </c>
    </row>
    <row r="954" spans="1:72" x14ac:dyDescent="0.15">
      <c r="A954" t="s">
        <v>72</v>
      </c>
      <c r="B954" t="s">
        <v>17807</v>
      </c>
      <c r="C954" t="s">
        <v>74</v>
      </c>
      <c r="D954" t="s">
        <v>74</v>
      </c>
      <c r="E954" t="s">
        <v>74</v>
      </c>
      <c r="F954" t="s">
        <v>17808</v>
      </c>
      <c r="G954" t="s">
        <v>74</v>
      </c>
      <c r="H954" t="s">
        <v>74</v>
      </c>
      <c r="I954" t="s">
        <v>17809</v>
      </c>
      <c r="J954" t="s">
        <v>6868</v>
      </c>
      <c r="K954" t="s">
        <v>74</v>
      </c>
      <c r="L954" t="s">
        <v>74</v>
      </c>
      <c r="M954" t="s">
        <v>200</v>
      </c>
      <c r="N954" t="s">
        <v>79</v>
      </c>
      <c r="O954" t="s">
        <v>74</v>
      </c>
      <c r="P954" t="s">
        <v>74</v>
      </c>
      <c r="Q954" t="s">
        <v>74</v>
      </c>
      <c r="R954" t="s">
        <v>74</v>
      </c>
      <c r="S954" t="s">
        <v>74</v>
      </c>
      <c r="T954" t="s">
        <v>17810</v>
      </c>
      <c r="U954" t="s">
        <v>17811</v>
      </c>
      <c r="V954" t="s">
        <v>17812</v>
      </c>
      <c r="W954" t="s">
        <v>17813</v>
      </c>
      <c r="X954" t="s">
        <v>17814</v>
      </c>
      <c r="Y954" t="s">
        <v>17815</v>
      </c>
      <c r="Z954" t="s">
        <v>17816</v>
      </c>
      <c r="AA954" t="s">
        <v>74</v>
      </c>
      <c r="AB954" t="s">
        <v>74</v>
      </c>
      <c r="AC954" t="s">
        <v>17817</v>
      </c>
      <c r="AD954" t="s">
        <v>17818</v>
      </c>
      <c r="AE954" t="s">
        <v>17819</v>
      </c>
      <c r="AF954" t="s">
        <v>74</v>
      </c>
      <c r="AG954">
        <v>32</v>
      </c>
      <c r="AH954">
        <v>0</v>
      </c>
      <c r="AI954">
        <v>0</v>
      </c>
      <c r="AJ954">
        <v>0</v>
      </c>
      <c r="AK954">
        <v>8</v>
      </c>
      <c r="AL954" t="s">
        <v>3560</v>
      </c>
      <c r="AM954" t="s">
        <v>289</v>
      </c>
      <c r="AN954" t="s">
        <v>5440</v>
      </c>
      <c r="AO954" t="s">
        <v>6880</v>
      </c>
      <c r="AP954" t="s">
        <v>6881</v>
      </c>
      <c r="AQ954" t="s">
        <v>74</v>
      </c>
      <c r="AR954" t="s">
        <v>6882</v>
      </c>
      <c r="AS954" t="s">
        <v>6883</v>
      </c>
      <c r="AT954" t="s">
        <v>16633</v>
      </c>
      <c r="AU954">
        <v>2015</v>
      </c>
      <c r="AV954">
        <v>34</v>
      </c>
      <c r="AW954">
        <v>11</v>
      </c>
      <c r="AX954" t="s">
        <v>74</v>
      </c>
      <c r="AY954" t="s">
        <v>74</v>
      </c>
      <c r="AZ954" t="s">
        <v>74</v>
      </c>
      <c r="BA954" t="s">
        <v>74</v>
      </c>
      <c r="BB954">
        <v>92</v>
      </c>
      <c r="BC954">
        <v>101</v>
      </c>
      <c r="BD954" t="s">
        <v>74</v>
      </c>
      <c r="BE954" t="s">
        <v>17820</v>
      </c>
      <c r="BF954" t="str">
        <f>HYPERLINK("http://dx.doi.org/10.1007/s13131-015-0752-2","http://dx.doi.org/10.1007/s13131-015-0752-2")</f>
        <v>http://dx.doi.org/10.1007/s13131-015-0752-2</v>
      </c>
      <c r="BG954" t="s">
        <v>74</v>
      </c>
      <c r="BH954" t="s">
        <v>74</v>
      </c>
      <c r="BI954">
        <v>10</v>
      </c>
      <c r="BJ954" t="s">
        <v>5339</v>
      </c>
      <c r="BK954" t="s">
        <v>264</v>
      </c>
      <c r="BL954" t="s">
        <v>5339</v>
      </c>
      <c r="BM954" t="s">
        <v>17821</v>
      </c>
      <c r="BN954" t="s">
        <v>74</v>
      </c>
      <c r="BO954" t="s">
        <v>74</v>
      </c>
      <c r="BP954" t="s">
        <v>74</v>
      </c>
      <c r="BQ954" t="s">
        <v>74</v>
      </c>
      <c r="BR954" t="s">
        <v>100</v>
      </c>
      <c r="BS954" t="s">
        <v>17822</v>
      </c>
      <c r="BT954" t="str">
        <f>HYPERLINK("https%3A%2F%2Fwww.webofscience.com%2Fwos%2Fwoscc%2Ffull-record%2FWOS:000362919700012","View Full Record in Web of Science")</f>
        <v>View Full Record in Web of Science</v>
      </c>
    </row>
    <row r="955" spans="1:72" x14ac:dyDescent="0.15">
      <c r="A955" t="s">
        <v>72</v>
      </c>
      <c r="B955" t="s">
        <v>17823</v>
      </c>
      <c r="C955" t="s">
        <v>74</v>
      </c>
      <c r="D955" t="s">
        <v>74</v>
      </c>
      <c r="E955" t="s">
        <v>74</v>
      </c>
      <c r="F955" t="s">
        <v>17824</v>
      </c>
      <c r="G955" t="s">
        <v>74</v>
      </c>
      <c r="H955" t="s">
        <v>74</v>
      </c>
      <c r="I955" t="s">
        <v>17825</v>
      </c>
      <c r="J955" t="s">
        <v>9609</v>
      </c>
      <c r="K955" t="s">
        <v>74</v>
      </c>
      <c r="L955" t="s">
        <v>74</v>
      </c>
      <c r="M955" t="s">
        <v>200</v>
      </c>
      <c r="N955" t="s">
        <v>79</v>
      </c>
      <c r="O955" t="s">
        <v>74</v>
      </c>
      <c r="P955" t="s">
        <v>74</v>
      </c>
      <c r="Q955" t="s">
        <v>74</v>
      </c>
      <c r="R955" t="s">
        <v>74</v>
      </c>
      <c r="S955" t="s">
        <v>74</v>
      </c>
      <c r="T955" t="s">
        <v>17826</v>
      </c>
      <c r="U955" t="s">
        <v>17827</v>
      </c>
      <c r="V955" t="s">
        <v>17828</v>
      </c>
      <c r="W955" t="s">
        <v>17829</v>
      </c>
      <c r="X955" t="s">
        <v>17830</v>
      </c>
      <c r="Y955" t="s">
        <v>17831</v>
      </c>
      <c r="Z955" t="s">
        <v>17832</v>
      </c>
      <c r="AA955" t="s">
        <v>17833</v>
      </c>
      <c r="AB955" t="s">
        <v>17834</v>
      </c>
      <c r="AC955" t="s">
        <v>17835</v>
      </c>
      <c r="AD955" t="s">
        <v>17836</v>
      </c>
      <c r="AE955" t="s">
        <v>17837</v>
      </c>
      <c r="AF955" t="s">
        <v>74</v>
      </c>
      <c r="AG955">
        <v>109</v>
      </c>
      <c r="AH955">
        <v>15</v>
      </c>
      <c r="AI955">
        <v>16</v>
      </c>
      <c r="AJ955">
        <v>0</v>
      </c>
      <c r="AK955">
        <v>24</v>
      </c>
      <c r="AL955" t="s">
        <v>3560</v>
      </c>
      <c r="AM955" t="s">
        <v>4093</v>
      </c>
      <c r="AN955" t="s">
        <v>6706</v>
      </c>
      <c r="AO955" t="s">
        <v>9625</v>
      </c>
      <c r="AP955" t="s">
        <v>9626</v>
      </c>
      <c r="AQ955" t="s">
        <v>74</v>
      </c>
      <c r="AR955" t="s">
        <v>9609</v>
      </c>
      <c r="AS955" t="s">
        <v>9627</v>
      </c>
      <c r="AT955" t="s">
        <v>16633</v>
      </c>
      <c r="AU955">
        <v>2015</v>
      </c>
      <c r="AV955">
        <v>761</v>
      </c>
      <c r="AW955">
        <v>1</v>
      </c>
      <c r="AX955" t="s">
        <v>74</v>
      </c>
      <c r="AY955" t="s">
        <v>74</v>
      </c>
      <c r="AZ955" t="s">
        <v>74</v>
      </c>
      <c r="BA955" t="s">
        <v>74</v>
      </c>
      <c r="BB955">
        <v>45</v>
      </c>
      <c r="BC955">
        <v>69</v>
      </c>
      <c r="BD955" t="s">
        <v>74</v>
      </c>
      <c r="BE955" t="s">
        <v>17838</v>
      </c>
      <c r="BF955" t="str">
        <f>HYPERLINK("http://dx.doi.org/10.1007/s10750-015-2403-1","http://dx.doi.org/10.1007/s10750-015-2403-1")</f>
        <v>http://dx.doi.org/10.1007/s10750-015-2403-1</v>
      </c>
      <c r="BG955" t="s">
        <v>74</v>
      </c>
      <c r="BH955" t="s">
        <v>74</v>
      </c>
      <c r="BI955">
        <v>25</v>
      </c>
      <c r="BJ955" t="s">
        <v>1479</v>
      </c>
      <c r="BK955" t="s">
        <v>264</v>
      </c>
      <c r="BL955" t="s">
        <v>1479</v>
      </c>
      <c r="BM955" t="s">
        <v>17839</v>
      </c>
      <c r="BN955" t="s">
        <v>74</v>
      </c>
      <c r="BO955" t="s">
        <v>74</v>
      </c>
      <c r="BP955" t="s">
        <v>74</v>
      </c>
      <c r="BQ955" t="s">
        <v>74</v>
      </c>
      <c r="BR955" t="s">
        <v>100</v>
      </c>
      <c r="BS955" t="s">
        <v>17840</v>
      </c>
      <c r="BT955" t="str">
        <f>HYPERLINK("https%3A%2F%2Fwww.webofscience.com%2Fwos%2Fwoscc%2Ffull-record%2FWOS:000362964400003","View Full Record in Web of Science")</f>
        <v>View Full Record in Web of Science</v>
      </c>
    </row>
    <row r="956" spans="1:72" x14ac:dyDescent="0.15">
      <c r="A956" t="s">
        <v>72</v>
      </c>
      <c r="B956" t="s">
        <v>17841</v>
      </c>
      <c r="C956" t="s">
        <v>74</v>
      </c>
      <c r="D956" t="s">
        <v>74</v>
      </c>
      <c r="E956" t="s">
        <v>74</v>
      </c>
      <c r="F956" t="s">
        <v>17842</v>
      </c>
      <c r="G956" t="s">
        <v>74</v>
      </c>
      <c r="H956" t="s">
        <v>74</v>
      </c>
      <c r="I956" t="s">
        <v>17843</v>
      </c>
      <c r="J956" t="s">
        <v>9609</v>
      </c>
      <c r="K956" t="s">
        <v>74</v>
      </c>
      <c r="L956" t="s">
        <v>74</v>
      </c>
      <c r="M956" t="s">
        <v>200</v>
      </c>
      <c r="N956" t="s">
        <v>79</v>
      </c>
      <c r="O956" t="s">
        <v>74</v>
      </c>
      <c r="P956" t="s">
        <v>74</v>
      </c>
      <c r="Q956" t="s">
        <v>74</v>
      </c>
      <c r="R956" t="s">
        <v>74</v>
      </c>
      <c r="S956" t="s">
        <v>74</v>
      </c>
      <c r="T956" t="s">
        <v>17844</v>
      </c>
      <c r="U956" t="s">
        <v>17845</v>
      </c>
      <c r="V956" t="s">
        <v>17846</v>
      </c>
      <c r="W956" t="s">
        <v>17847</v>
      </c>
      <c r="X956" t="s">
        <v>17848</v>
      </c>
      <c r="Y956" t="s">
        <v>17849</v>
      </c>
      <c r="Z956" t="s">
        <v>17850</v>
      </c>
      <c r="AA956" t="s">
        <v>17851</v>
      </c>
      <c r="AB956" t="s">
        <v>17852</v>
      </c>
      <c r="AC956" t="s">
        <v>17853</v>
      </c>
      <c r="AD956" t="s">
        <v>17853</v>
      </c>
      <c r="AE956" t="s">
        <v>17854</v>
      </c>
      <c r="AF956" t="s">
        <v>74</v>
      </c>
      <c r="AG956">
        <v>62</v>
      </c>
      <c r="AH956">
        <v>13</v>
      </c>
      <c r="AI956">
        <v>13</v>
      </c>
      <c r="AJ956">
        <v>0</v>
      </c>
      <c r="AK956">
        <v>27</v>
      </c>
      <c r="AL956" t="s">
        <v>3560</v>
      </c>
      <c r="AM956" t="s">
        <v>4093</v>
      </c>
      <c r="AN956" t="s">
        <v>6706</v>
      </c>
      <c r="AO956" t="s">
        <v>9625</v>
      </c>
      <c r="AP956" t="s">
        <v>9626</v>
      </c>
      <c r="AQ956" t="s">
        <v>74</v>
      </c>
      <c r="AR956" t="s">
        <v>9609</v>
      </c>
      <c r="AS956" t="s">
        <v>9627</v>
      </c>
      <c r="AT956" t="s">
        <v>16633</v>
      </c>
      <c r="AU956">
        <v>2015</v>
      </c>
      <c r="AV956">
        <v>761</v>
      </c>
      <c r="AW956">
        <v>1</v>
      </c>
      <c r="AX956" t="s">
        <v>74</v>
      </c>
      <c r="AY956" t="s">
        <v>74</v>
      </c>
      <c r="AZ956" t="s">
        <v>74</v>
      </c>
      <c r="BA956" t="s">
        <v>74</v>
      </c>
      <c r="BB956">
        <v>71</v>
      </c>
      <c r="BC956">
        <v>83</v>
      </c>
      <c r="BD956" t="s">
        <v>74</v>
      </c>
      <c r="BE956" t="s">
        <v>17855</v>
      </c>
      <c r="BF956" t="str">
        <f>HYPERLINK("http://dx.doi.org/10.1007/s10750-015-2274-5","http://dx.doi.org/10.1007/s10750-015-2274-5")</f>
        <v>http://dx.doi.org/10.1007/s10750-015-2274-5</v>
      </c>
      <c r="BG956" t="s">
        <v>74</v>
      </c>
      <c r="BH956" t="s">
        <v>74</v>
      </c>
      <c r="BI956">
        <v>13</v>
      </c>
      <c r="BJ956" t="s">
        <v>1479</v>
      </c>
      <c r="BK956" t="s">
        <v>264</v>
      </c>
      <c r="BL956" t="s">
        <v>1479</v>
      </c>
      <c r="BM956" t="s">
        <v>17839</v>
      </c>
      <c r="BN956" t="s">
        <v>74</v>
      </c>
      <c r="BO956" t="s">
        <v>403</v>
      </c>
      <c r="BP956" t="s">
        <v>74</v>
      </c>
      <c r="BQ956" t="s">
        <v>74</v>
      </c>
      <c r="BR956" t="s">
        <v>100</v>
      </c>
      <c r="BS956" t="s">
        <v>17856</v>
      </c>
      <c r="BT956" t="str">
        <f>HYPERLINK("https%3A%2F%2Fwww.webofscience.com%2Fwos%2Fwoscc%2Ffull-record%2FWOS:000362964400004","View Full Record in Web of Science")</f>
        <v>View Full Record in Web of Science</v>
      </c>
    </row>
    <row r="957" spans="1:72" x14ac:dyDescent="0.15">
      <c r="A957" t="s">
        <v>72</v>
      </c>
      <c r="B957" t="s">
        <v>17857</v>
      </c>
      <c r="C957" t="s">
        <v>74</v>
      </c>
      <c r="D957" t="s">
        <v>74</v>
      </c>
      <c r="E957" t="s">
        <v>74</v>
      </c>
      <c r="F957" t="s">
        <v>17858</v>
      </c>
      <c r="G957" t="s">
        <v>74</v>
      </c>
      <c r="H957" t="s">
        <v>74</v>
      </c>
      <c r="I957" t="s">
        <v>17859</v>
      </c>
      <c r="J957" t="s">
        <v>9609</v>
      </c>
      <c r="K957" t="s">
        <v>74</v>
      </c>
      <c r="L957" t="s">
        <v>74</v>
      </c>
      <c r="M957" t="s">
        <v>200</v>
      </c>
      <c r="N957" t="s">
        <v>79</v>
      </c>
      <c r="O957" t="s">
        <v>74</v>
      </c>
      <c r="P957" t="s">
        <v>74</v>
      </c>
      <c r="Q957" t="s">
        <v>74</v>
      </c>
      <c r="R957" t="s">
        <v>74</v>
      </c>
      <c r="S957" t="s">
        <v>74</v>
      </c>
      <c r="T957" t="s">
        <v>17860</v>
      </c>
      <c r="U957" t="s">
        <v>17861</v>
      </c>
      <c r="V957" t="s">
        <v>17862</v>
      </c>
      <c r="W957" t="s">
        <v>17863</v>
      </c>
      <c r="X957" t="s">
        <v>17864</v>
      </c>
      <c r="Y957" t="s">
        <v>17865</v>
      </c>
      <c r="Z957" t="s">
        <v>17866</v>
      </c>
      <c r="AA957" t="s">
        <v>17867</v>
      </c>
      <c r="AB957" t="s">
        <v>17868</v>
      </c>
      <c r="AC957" t="s">
        <v>17869</v>
      </c>
      <c r="AD957" t="s">
        <v>17870</v>
      </c>
      <c r="AE957" t="s">
        <v>17871</v>
      </c>
      <c r="AF957" t="s">
        <v>74</v>
      </c>
      <c r="AG957">
        <v>41</v>
      </c>
      <c r="AH957">
        <v>12</v>
      </c>
      <c r="AI957">
        <v>13</v>
      </c>
      <c r="AJ957">
        <v>0</v>
      </c>
      <c r="AK957">
        <v>16</v>
      </c>
      <c r="AL957" t="s">
        <v>3560</v>
      </c>
      <c r="AM957" t="s">
        <v>4093</v>
      </c>
      <c r="AN957" t="s">
        <v>6706</v>
      </c>
      <c r="AO957" t="s">
        <v>9625</v>
      </c>
      <c r="AP957" t="s">
        <v>9626</v>
      </c>
      <c r="AQ957" t="s">
        <v>74</v>
      </c>
      <c r="AR957" t="s">
        <v>9609</v>
      </c>
      <c r="AS957" t="s">
        <v>9627</v>
      </c>
      <c r="AT957" t="s">
        <v>16633</v>
      </c>
      <c r="AU957">
        <v>2015</v>
      </c>
      <c r="AV957">
        <v>761</v>
      </c>
      <c r="AW957">
        <v>1</v>
      </c>
      <c r="AX957" t="s">
        <v>74</v>
      </c>
      <c r="AY957" t="s">
        <v>74</v>
      </c>
      <c r="AZ957" t="s">
        <v>74</v>
      </c>
      <c r="BA957" t="s">
        <v>74</v>
      </c>
      <c r="BB957">
        <v>85</v>
      </c>
      <c r="BC957">
        <v>95</v>
      </c>
      <c r="BD957" t="s">
        <v>74</v>
      </c>
      <c r="BE957" t="s">
        <v>17872</v>
      </c>
      <c r="BF957" t="str">
        <f>HYPERLINK("http://dx.doi.org/10.1007/s10750-015-2396-9","http://dx.doi.org/10.1007/s10750-015-2396-9")</f>
        <v>http://dx.doi.org/10.1007/s10750-015-2396-9</v>
      </c>
      <c r="BG957" t="s">
        <v>74</v>
      </c>
      <c r="BH957" t="s">
        <v>74</v>
      </c>
      <c r="BI957">
        <v>11</v>
      </c>
      <c r="BJ957" t="s">
        <v>1479</v>
      </c>
      <c r="BK957" t="s">
        <v>264</v>
      </c>
      <c r="BL957" t="s">
        <v>1479</v>
      </c>
      <c r="BM957" t="s">
        <v>17839</v>
      </c>
      <c r="BN957" t="s">
        <v>74</v>
      </c>
      <c r="BO957" t="s">
        <v>403</v>
      </c>
      <c r="BP957" t="s">
        <v>74</v>
      </c>
      <c r="BQ957" t="s">
        <v>74</v>
      </c>
      <c r="BR957" t="s">
        <v>100</v>
      </c>
      <c r="BS957" t="s">
        <v>17873</v>
      </c>
      <c r="BT957" t="str">
        <f>HYPERLINK("https%3A%2F%2Fwww.webofscience.com%2Fwos%2Fwoscc%2Ffull-record%2FWOS:000362964400005","View Full Record in Web of Science")</f>
        <v>View Full Record in Web of Science</v>
      </c>
    </row>
    <row r="958" spans="1:72" x14ac:dyDescent="0.15">
      <c r="A958" t="s">
        <v>72</v>
      </c>
      <c r="B958" t="s">
        <v>17874</v>
      </c>
      <c r="C958" t="s">
        <v>74</v>
      </c>
      <c r="D958" t="s">
        <v>74</v>
      </c>
      <c r="E958" t="s">
        <v>74</v>
      </c>
      <c r="F958" t="s">
        <v>17875</v>
      </c>
      <c r="G958" t="s">
        <v>74</v>
      </c>
      <c r="H958" t="s">
        <v>74</v>
      </c>
      <c r="I958" t="s">
        <v>17876</v>
      </c>
      <c r="J958" t="s">
        <v>9609</v>
      </c>
      <c r="K958" t="s">
        <v>74</v>
      </c>
      <c r="L958" t="s">
        <v>74</v>
      </c>
      <c r="M958" t="s">
        <v>200</v>
      </c>
      <c r="N958" t="s">
        <v>79</v>
      </c>
      <c r="O958" t="s">
        <v>74</v>
      </c>
      <c r="P958" t="s">
        <v>74</v>
      </c>
      <c r="Q958" t="s">
        <v>74</v>
      </c>
      <c r="R958" t="s">
        <v>74</v>
      </c>
      <c r="S958" t="s">
        <v>74</v>
      </c>
      <c r="T958" t="s">
        <v>17877</v>
      </c>
      <c r="U958" t="s">
        <v>17878</v>
      </c>
      <c r="V958" t="s">
        <v>17879</v>
      </c>
      <c r="W958" t="s">
        <v>17880</v>
      </c>
      <c r="X958" t="s">
        <v>17881</v>
      </c>
      <c r="Y958" t="s">
        <v>17882</v>
      </c>
      <c r="Z958" t="s">
        <v>17883</v>
      </c>
      <c r="AA958" t="s">
        <v>17884</v>
      </c>
      <c r="AB958" t="s">
        <v>17885</v>
      </c>
      <c r="AC958" t="s">
        <v>74</v>
      </c>
      <c r="AD958" t="s">
        <v>74</v>
      </c>
      <c r="AE958" t="s">
        <v>74</v>
      </c>
      <c r="AF958" t="s">
        <v>74</v>
      </c>
      <c r="AG958">
        <v>129</v>
      </c>
      <c r="AH958">
        <v>7</v>
      </c>
      <c r="AI958">
        <v>7</v>
      </c>
      <c r="AJ958">
        <v>0</v>
      </c>
      <c r="AK958">
        <v>28</v>
      </c>
      <c r="AL958" t="s">
        <v>3560</v>
      </c>
      <c r="AM958" t="s">
        <v>4093</v>
      </c>
      <c r="AN958" t="s">
        <v>6706</v>
      </c>
      <c r="AO958" t="s">
        <v>9625</v>
      </c>
      <c r="AP958" t="s">
        <v>9626</v>
      </c>
      <c r="AQ958" t="s">
        <v>74</v>
      </c>
      <c r="AR958" t="s">
        <v>9609</v>
      </c>
      <c r="AS958" t="s">
        <v>9627</v>
      </c>
      <c r="AT958" t="s">
        <v>16633</v>
      </c>
      <c r="AU958">
        <v>2015</v>
      </c>
      <c r="AV958">
        <v>761</v>
      </c>
      <c r="AW958">
        <v>1</v>
      </c>
      <c r="AX958" t="s">
        <v>74</v>
      </c>
      <c r="AY958" t="s">
        <v>74</v>
      </c>
      <c r="AZ958" t="s">
        <v>74</v>
      </c>
      <c r="BA958" t="s">
        <v>74</v>
      </c>
      <c r="BB958">
        <v>97</v>
      </c>
      <c r="BC958">
        <v>119</v>
      </c>
      <c r="BD958" t="s">
        <v>74</v>
      </c>
      <c r="BE958" t="s">
        <v>17886</v>
      </c>
      <c r="BF958" t="str">
        <f>HYPERLINK("http://dx.doi.org/10.1007/s10750-015-2520-x","http://dx.doi.org/10.1007/s10750-015-2520-x")</f>
        <v>http://dx.doi.org/10.1007/s10750-015-2520-x</v>
      </c>
      <c r="BG958" t="s">
        <v>74</v>
      </c>
      <c r="BH958" t="s">
        <v>74</v>
      </c>
      <c r="BI958">
        <v>23</v>
      </c>
      <c r="BJ958" t="s">
        <v>1479</v>
      </c>
      <c r="BK958" t="s">
        <v>264</v>
      </c>
      <c r="BL958" t="s">
        <v>1479</v>
      </c>
      <c r="BM958" t="s">
        <v>17839</v>
      </c>
      <c r="BN958" t="s">
        <v>74</v>
      </c>
      <c r="BO958" t="s">
        <v>74</v>
      </c>
      <c r="BP958" t="s">
        <v>74</v>
      </c>
      <c r="BQ958" t="s">
        <v>74</v>
      </c>
      <c r="BR958" t="s">
        <v>100</v>
      </c>
      <c r="BS958" t="s">
        <v>17887</v>
      </c>
      <c r="BT958" t="str">
        <f>HYPERLINK("https%3A%2F%2Fwww.webofscience.com%2Fwos%2Fwoscc%2Ffull-record%2FWOS:000362964400006","View Full Record in Web of Science")</f>
        <v>View Full Record in Web of Science</v>
      </c>
    </row>
    <row r="959" spans="1:72" x14ac:dyDescent="0.15">
      <c r="A959" t="s">
        <v>72</v>
      </c>
      <c r="B959" t="s">
        <v>17888</v>
      </c>
      <c r="C959" t="s">
        <v>74</v>
      </c>
      <c r="D959" t="s">
        <v>74</v>
      </c>
      <c r="E959" t="s">
        <v>74</v>
      </c>
      <c r="F959" t="s">
        <v>17889</v>
      </c>
      <c r="G959" t="s">
        <v>74</v>
      </c>
      <c r="H959" t="s">
        <v>74</v>
      </c>
      <c r="I959" t="s">
        <v>17890</v>
      </c>
      <c r="J959" t="s">
        <v>9609</v>
      </c>
      <c r="K959" t="s">
        <v>74</v>
      </c>
      <c r="L959" t="s">
        <v>74</v>
      </c>
      <c r="M959" t="s">
        <v>200</v>
      </c>
      <c r="N959" t="s">
        <v>79</v>
      </c>
      <c r="O959" t="s">
        <v>74</v>
      </c>
      <c r="P959" t="s">
        <v>74</v>
      </c>
      <c r="Q959" t="s">
        <v>74</v>
      </c>
      <c r="R959" t="s">
        <v>74</v>
      </c>
      <c r="S959" t="s">
        <v>74</v>
      </c>
      <c r="T959" t="s">
        <v>17891</v>
      </c>
      <c r="U959" t="s">
        <v>17892</v>
      </c>
      <c r="V959" t="s">
        <v>17893</v>
      </c>
      <c r="W959" t="s">
        <v>17894</v>
      </c>
      <c r="X959" t="s">
        <v>17895</v>
      </c>
      <c r="Y959" t="s">
        <v>17896</v>
      </c>
      <c r="Z959" t="s">
        <v>17897</v>
      </c>
      <c r="AA959" t="s">
        <v>17898</v>
      </c>
      <c r="AB959" t="s">
        <v>17899</v>
      </c>
      <c r="AC959" t="s">
        <v>17900</v>
      </c>
      <c r="AD959" t="s">
        <v>17901</v>
      </c>
      <c r="AE959" t="s">
        <v>17902</v>
      </c>
      <c r="AF959" t="s">
        <v>74</v>
      </c>
      <c r="AG959">
        <v>91</v>
      </c>
      <c r="AH959">
        <v>11</v>
      </c>
      <c r="AI959">
        <v>11</v>
      </c>
      <c r="AJ959">
        <v>1</v>
      </c>
      <c r="AK959">
        <v>23</v>
      </c>
      <c r="AL959" t="s">
        <v>3560</v>
      </c>
      <c r="AM959" t="s">
        <v>4093</v>
      </c>
      <c r="AN959" t="s">
        <v>6706</v>
      </c>
      <c r="AO959" t="s">
        <v>9625</v>
      </c>
      <c r="AP959" t="s">
        <v>9626</v>
      </c>
      <c r="AQ959" t="s">
        <v>74</v>
      </c>
      <c r="AR959" t="s">
        <v>9609</v>
      </c>
      <c r="AS959" t="s">
        <v>9627</v>
      </c>
      <c r="AT959" t="s">
        <v>16633</v>
      </c>
      <c r="AU959">
        <v>2015</v>
      </c>
      <c r="AV959">
        <v>761</v>
      </c>
      <c r="AW959">
        <v>1</v>
      </c>
      <c r="AX959" t="s">
        <v>74</v>
      </c>
      <c r="AY959" t="s">
        <v>74</v>
      </c>
      <c r="AZ959" t="s">
        <v>74</v>
      </c>
      <c r="BA959" t="s">
        <v>74</v>
      </c>
      <c r="BB959">
        <v>121</v>
      </c>
      <c r="BC959">
        <v>141</v>
      </c>
      <c r="BD959" t="s">
        <v>74</v>
      </c>
      <c r="BE959" t="s">
        <v>17903</v>
      </c>
      <c r="BF959" t="str">
        <f>HYPERLINK("http://dx.doi.org/10.1007/s10750-015-2318-x","http://dx.doi.org/10.1007/s10750-015-2318-x")</f>
        <v>http://dx.doi.org/10.1007/s10750-015-2318-x</v>
      </c>
      <c r="BG959" t="s">
        <v>74</v>
      </c>
      <c r="BH959" t="s">
        <v>74</v>
      </c>
      <c r="BI959">
        <v>21</v>
      </c>
      <c r="BJ959" t="s">
        <v>1479</v>
      </c>
      <c r="BK959" t="s">
        <v>264</v>
      </c>
      <c r="BL959" t="s">
        <v>1479</v>
      </c>
      <c r="BM959" t="s">
        <v>17839</v>
      </c>
      <c r="BN959" t="s">
        <v>74</v>
      </c>
      <c r="BO959" t="s">
        <v>74</v>
      </c>
      <c r="BP959" t="s">
        <v>74</v>
      </c>
      <c r="BQ959" t="s">
        <v>74</v>
      </c>
      <c r="BR959" t="s">
        <v>100</v>
      </c>
      <c r="BS959" t="s">
        <v>17904</v>
      </c>
      <c r="BT959" t="str">
        <f>HYPERLINK("https%3A%2F%2Fwww.webofscience.com%2Fwos%2Fwoscc%2Ffull-record%2FWOS:000362964400007","View Full Record in Web of Science")</f>
        <v>View Full Record in Web of Science</v>
      </c>
    </row>
    <row r="960" spans="1:72" x14ac:dyDescent="0.15">
      <c r="A960" t="s">
        <v>72</v>
      </c>
      <c r="B960" t="s">
        <v>17905</v>
      </c>
      <c r="C960" t="s">
        <v>74</v>
      </c>
      <c r="D960" t="s">
        <v>74</v>
      </c>
      <c r="E960" t="s">
        <v>74</v>
      </c>
      <c r="F960" t="s">
        <v>17906</v>
      </c>
      <c r="G960" t="s">
        <v>74</v>
      </c>
      <c r="H960" t="s">
        <v>74</v>
      </c>
      <c r="I960" t="s">
        <v>17907</v>
      </c>
      <c r="J960" t="s">
        <v>9609</v>
      </c>
      <c r="K960" t="s">
        <v>74</v>
      </c>
      <c r="L960" t="s">
        <v>74</v>
      </c>
      <c r="M960" t="s">
        <v>200</v>
      </c>
      <c r="N960" t="s">
        <v>79</v>
      </c>
      <c r="O960" t="s">
        <v>74</v>
      </c>
      <c r="P960" t="s">
        <v>74</v>
      </c>
      <c r="Q960" t="s">
        <v>74</v>
      </c>
      <c r="R960" t="s">
        <v>74</v>
      </c>
      <c r="S960" t="s">
        <v>74</v>
      </c>
      <c r="T960" t="s">
        <v>17908</v>
      </c>
      <c r="U960" t="s">
        <v>17909</v>
      </c>
      <c r="V960" t="s">
        <v>17910</v>
      </c>
      <c r="W960" t="s">
        <v>17911</v>
      </c>
      <c r="X960" t="s">
        <v>17912</v>
      </c>
      <c r="Y960" t="s">
        <v>17913</v>
      </c>
      <c r="Z960" t="s">
        <v>1823</v>
      </c>
      <c r="AA960" t="s">
        <v>17833</v>
      </c>
      <c r="AB960" t="s">
        <v>17914</v>
      </c>
      <c r="AC960" t="s">
        <v>17915</v>
      </c>
      <c r="AD960" t="s">
        <v>17916</v>
      </c>
      <c r="AE960" t="s">
        <v>17917</v>
      </c>
      <c r="AF960" t="s">
        <v>74</v>
      </c>
      <c r="AG960">
        <v>58</v>
      </c>
      <c r="AH960">
        <v>8</v>
      </c>
      <c r="AI960">
        <v>10</v>
      </c>
      <c r="AJ960">
        <v>0</v>
      </c>
      <c r="AK960">
        <v>19</v>
      </c>
      <c r="AL960" t="s">
        <v>3560</v>
      </c>
      <c r="AM960" t="s">
        <v>4093</v>
      </c>
      <c r="AN960" t="s">
        <v>6706</v>
      </c>
      <c r="AO960" t="s">
        <v>9625</v>
      </c>
      <c r="AP960" t="s">
        <v>9626</v>
      </c>
      <c r="AQ960" t="s">
        <v>74</v>
      </c>
      <c r="AR960" t="s">
        <v>9609</v>
      </c>
      <c r="AS960" t="s">
        <v>9627</v>
      </c>
      <c r="AT960" t="s">
        <v>16633</v>
      </c>
      <c r="AU960">
        <v>2015</v>
      </c>
      <c r="AV960">
        <v>761</v>
      </c>
      <c r="AW960">
        <v>1</v>
      </c>
      <c r="AX960" t="s">
        <v>74</v>
      </c>
      <c r="AY960" t="s">
        <v>74</v>
      </c>
      <c r="AZ960" t="s">
        <v>74</v>
      </c>
      <c r="BA960" t="s">
        <v>74</v>
      </c>
      <c r="BB960">
        <v>143</v>
      </c>
      <c r="BC960">
        <v>159</v>
      </c>
      <c r="BD960" t="s">
        <v>74</v>
      </c>
      <c r="BE960" t="s">
        <v>17918</v>
      </c>
      <c r="BF960" t="str">
        <f>HYPERLINK("http://dx.doi.org/10.1007/s10750-015-2335-9","http://dx.doi.org/10.1007/s10750-015-2335-9")</f>
        <v>http://dx.doi.org/10.1007/s10750-015-2335-9</v>
      </c>
      <c r="BG960" t="s">
        <v>74</v>
      </c>
      <c r="BH960" t="s">
        <v>74</v>
      </c>
      <c r="BI960">
        <v>17</v>
      </c>
      <c r="BJ960" t="s">
        <v>1479</v>
      </c>
      <c r="BK960" t="s">
        <v>264</v>
      </c>
      <c r="BL960" t="s">
        <v>1479</v>
      </c>
      <c r="BM960" t="s">
        <v>17839</v>
      </c>
      <c r="BN960" t="s">
        <v>74</v>
      </c>
      <c r="BO960" t="s">
        <v>74</v>
      </c>
      <c r="BP960" t="s">
        <v>74</v>
      </c>
      <c r="BQ960" t="s">
        <v>74</v>
      </c>
      <c r="BR960" t="s">
        <v>100</v>
      </c>
      <c r="BS960" t="s">
        <v>17919</v>
      </c>
      <c r="BT960" t="str">
        <f>HYPERLINK("https%3A%2F%2Fwww.webofscience.com%2Fwos%2Fwoscc%2Ffull-record%2FWOS:000362964400008","View Full Record in Web of Science")</f>
        <v>View Full Record in Web of Science</v>
      </c>
    </row>
    <row r="961" spans="1:72" x14ac:dyDescent="0.15">
      <c r="A961" t="s">
        <v>72</v>
      </c>
      <c r="B961" t="s">
        <v>17920</v>
      </c>
      <c r="C961" t="s">
        <v>74</v>
      </c>
      <c r="D961" t="s">
        <v>74</v>
      </c>
      <c r="E961" t="s">
        <v>74</v>
      </c>
      <c r="F961" t="s">
        <v>17921</v>
      </c>
      <c r="G961" t="s">
        <v>74</v>
      </c>
      <c r="H961" t="s">
        <v>74</v>
      </c>
      <c r="I961" t="s">
        <v>17922</v>
      </c>
      <c r="J961" t="s">
        <v>9609</v>
      </c>
      <c r="K961" t="s">
        <v>74</v>
      </c>
      <c r="L961" t="s">
        <v>74</v>
      </c>
      <c r="M961" t="s">
        <v>200</v>
      </c>
      <c r="N961" t="s">
        <v>79</v>
      </c>
      <c r="O961" t="s">
        <v>74</v>
      </c>
      <c r="P961" t="s">
        <v>74</v>
      </c>
      <c r="Q961" t="s">
        <v>74</v>
      </c>
      <c r="R961" t="s">
        <v>74</v>
      </c>
      <c r="S961" t="s">
        <v>74</v>
      </c>
      <c r="T961" t="s">
        <v>17923</v>
      </c>
      <c r="U961" t="s">
        <v>17924</v>
      </c>
      <c r="V961" t="s">
        <v>17925</v>
      </c>
      <c r="W961" t="s">
        <v>17926</v>
      </c>
      <c r="X961" t="s">
        <v>17927</v>
      </c>
      <c r="Y961" t="s">
        <v>17928</v>
      </c>
      <c r="Z961" t="s">
        <v>17929</v>
      </c>
      <c r="AA961" t="s">
        <v>17930</v>
      </c>
      <c r="AB961" t="s">
        <v>17931</v>
      </c>
      <c r="AC961" t="s">
        <v>17932</v>
      </c>
      <c r="AD961" t="s">
        <v>17932</v>
      </c>
      <c r="AE961" t="s">
        <v>17933</v>
      </c>
      <c r="AF961" t="s">
        <v>74</v>
      </c>
      <c r="AG961">
        <v>48</v>
      </c>
      <c r="AH961">
        <v>12</v>
      </c>
      <c r="AI961">
        <v>12</v>
      </c>
      <c r="AJ961">
        <v>0</v>
      </c>
      <c r="AK961">
        <v>19</v>
      </c>
      <c r="AL961" t="s">
        <v>3560</v>
      </c>
      <c r="AM961" t="s">
        <v>4093</v>
      </c>
      <c r="AN961" t="s">
        <v>6706</v>
      </c>
      <c r="AO961" t="s">
        <v>9625</v>
      </c>
      <c r="AP961" t="s">
        <v>9626</v>
      </c>
      <c r="AQ961" t="s">
        <v>74</v>
      </c>
      <c r="AR961" t="s">
        <v>9609</v>
      </c>
      <c r="AS961" t="s">
        <v>9627</v>
      </c>
      <c r="AT961" t="s">
        <v>16633</v>
      </c>
      <c r="AU961">
        <v>2015</v>
      </c>
      <c r="AV961">
        <v>761</v>
      </c>
      <c r="AW961">
        <v>1</v>
      </c>
      <c r="AX961" t="s">
        <v>74</v>
      </c>
      <c r="AY961" t="s">
        <v>74</v>
      </c>
      <c r="AZ961" t="s">
        <v>74</v>
      </c>
      <c r="BA961" t="s">
        <v>74</v>
      </c>
      <c r="BB961">
        <v>181</v>
      </c>
      <c r="BC961">
        <v>194</v>
      </c>
      <c r="BD961" t="s">
        <v>74</v>
      </c>
      <c r="BE961" t="s">
        <v>17934</v>
      </c>
      <c r="BF961" t="str">
        <f>HYPERLINK("http://dx.doi.org/10.1007/s10750-015-2426-7","http://dx.doi.org/10.1007/s10750-015-2426-7")</f>
        <v>http://dx.doi.org/10.1007/s10750-015-2426-7</v>
      </c>
      <c r="BG961" t="s">
        <v>74</v>
      </c>
      <c r="BH961" t="s">
        <v>74</v>
      </c>
      <c r="BI961">
        <v>14</v>
      </c>
      <c r="BJ961" t="s">
        <v>1479</v>
      </c>
      <c r="BK961" t="s">
        <v>264</v>
      </c>
      <c r="BL961" t="s">
        <v>1479</v>
      </c>
      <c r="BM961" t="s">
        <v>17839</v>
      </c>
      <c r="BN961" t="s">
        <v>74</v>
      </c>
      <c r="BO961" t="s">
        <v>74</v>
      </c>
      <c r="BP961" t="s">
        <v>74</v>
      </c>
      <c r="BQ961" t="s">
        <v>74</v>
      </c>
      <c r="BR961" t="s">
        <v>100</v>
      </c>
      <c r="BS961" t="s">
        <v>17935</v>
      </c>
      <c r="BT961" t="str">
        <f>HYPERLINK("https%3A%2F%2Fwww.webofscience.com%2Fwos%2Fwoscc%2Ffull-record%2FWOS:000362964400010","View Full Record in Web of Science")</f>
        <v>View Full Record in Web of Science</v>
      </c>
    </row>
    <row r="962" spans="1:72" x14ac:dyDescent="0.15">
      <c r="A962" t="s">
        <v>72</v>
      </c>
      <c r="B962" t="s">
        <v>17936</v>
      </c>
      <c r="C962" t="s">
        <v>74</v>
      </c>
      <c r="D962" t="s">
        <v>74</v>
      </c>
      <c r="E962" t="s">
        <v>74</v>
      </c>
      <c r="F962" t="s">
        <v>17937</v>
      </c>
      <c r="G962" t="s">
        <v>74</v>
      </c>
      <c r="H962" t="s">
        <v>74</v>
      </c>
      <c r="I962" t="s">
        <v>17938</v>
      </c>
      <c r="J962" t="s">
        <v>9609</v>
      </c>
      <c r="K962" t="s">
        <v>74</v>
      </c>
      <c r="L962" t="s">
        <v>74</v>
      </c>
      <c r="M962" t="s">
        <v>200</v>
      </c>
      <c r="N962" t="s">
        <v>79</v>
      </c>
      <c r="O962" t="s">
        <v>74</v>
      </c>
      <c r="P962" t="s">
        <v>74</v>
      </c>
      <c r="Q962" t="s">
        <v>74</v>
      </c>
      <c r="R962" t="s">
        <v>74</v>
      </c>
      <c r="S962" t="s">
        <v>74</v>
      </c>
      <c r="T962" t="s">
        <v>17939</v>
      </c>
      <c r="U962" t="s">
        <v>17940</v>
      </c>
      <c r="V962" t="s">
        <v>17941</v>
      </c>
      <c r="W962" t="s">
        <v>17942</v>
      </c>
      <c r="X962" t="s">
        <v>17943</v>
      </c>
      <c r="Y962" t="s">
        <v>17944</v>
      </c>
      <c r="Z962" t="s">
        <v>6552</v>
      </c>
      <c r="AA962" t="s">
        <v>17945</v>
      </c>
      <c r="AB962" t="s">
        <v>17946</v>
      </c>
      <c r="AC962" t="s">
        <v>17947</v>
      </c>
      <c r="AD962" t="s">
        <v>17948</v>
      </c>
      <c r="AE962" t="s">
        <v>17949</v>
      </c>
      <c r="AF962" t="s">
        <v>74</v>
      </c>
      <c r="AG962">
        <v>40</v>
      </c>
      <c r="AH962">
        <v>1</v>
      </c>
      <c r="AI962">
        <v>2</v>
      </c>
      <c r="AJ962">
        <v>2</v>
      </c>
      <c r="AK962">
        <v>17</v>
      </c>
      <c r="AL962" t="s">
        <v>3560</v>
      </c>
      <c r="AM962" t="s">
        <v>4093</v>
      </c>
      <c r="AN962" t="s">
        <v>6706</v>
      </c>
      <c r="AO962" t="s">
        <v>9625</v>
      </c>
      <c r="AP962" t="s">
        <v>9626</v>
      </c>
      <c r="AQ962" t="s">
        <v>74</v>
      </c>
      <c r="AR962" t="s">
        <v>9609</v>
      </c>
      <c r="AS962" t="s">
        <v>9627</v>
      </c>
      <c r="AT962" t="s">
        <v>16633</v>
      </c>
      <c r="AU962">
        <v>2015</v>
      </c>
      <c r="AV962">
        <v>761</v>
      </c>
      <c r="AW962">
        <v>1</v>
      </c>
      <c r="AX962" t="s">
        <v>74</v>
      </c>
      <c r="AY962" t="s">
        <v>74</v>
      </c>
      <c r="AZ962" t="s">
        <v>74</v>
      </c>
      <c r="BA962" t="s">
        <v>74</v>
      </c>
      <c r="BB962">
        <v>249</v>
      </c>
      <c r="BC962">
        <v>259</v>
      </c>
      <c r="BD962" t="s">
        <v>74</v>
      </c>
      <c r="BE962" t="s">
        <v>17950</v>
      </c>
      <c r="BF962" t="str">
        <f>HYPERLINK("http://dx.doi.org/10.1007/s10750-015-2206-4","http://dx.doi.org/10.1007/s10750-015-2206-4")</f>
        <v>http://dx.doi.org/10.1007/s10750-015-2206-4</v>
      </c>
      <c r="BG962" t="s">
        <v>74</v>
      </c>
      <c r="BH962" t="s">
        <v>74</v>
      </c>
      <c r="BI962">
        <v>11</v>
      </c>
      <c r="BJ962" t="s">
        <v>1479</v>
      </c>
      <c r="BK962" t="s">
        <v>264</v>
      </c>
      <c r="BL962" t="s">
        <v>1479</v>
      </c>
      <c r="BM962" t="s">
        <v>17839</v>
      </c>
      <c r="BN962" t="s">
        <v>74</v>
      </c>
      <c r="BO962" t="s">
        <v>74</v>
      </c>
      <c r="BP962" t="s">
        <v>74</v>
      </c>
      <c r="BQ962" t="s">
        <v>74</v>
      </c>
      <c r="BR962" t="s">
        <v>100</v>
      </c>
      <c r="BS962" t="s">
        <v>17951</v>
      </c>
      <c r="BT962" t="str">
        <f>HYPERLINK("https%3A%2F%2Fwww.webofscience.com%2Fwos%2Fwoscc%2Ffull-record%2FWOS:000362964400014","View Full Record in Web of Science")</f>
        <v>View Full Record in Web of Science</v>
      </c>
    </row>
    <row r="963" spans="1:72" x14ac:dyDescent="0.15">
      <c r="A963" t="s">
        <v>72</v>
      </c>
      <c r="B963" t="s">
        <v>17952</v>
      </c>
      <c r="C963" t="s">
        <v>74</v>
      </c>
      <c r="D963" t="s">
        <v>74</v>
      </c>
      <c r="E963" t="s">
        <v>74</v>
      </c>
      <c r="F963" t="s">
        <v>17953</v>
      </c>
      <c r="G963" t="s">
        <v>74</v>
      </c>
      <c r="H963" t="s">
        <v>74</v>
      </c>
      <c r="I963" t="s">
        <v>17954</v>
      </c>
      <c r="J963" t="s">
        <v>9609</v>
      </c>
      <c r="K963" t="s">
        <v>74</v>
      </c>
      <c r="L963" t="s">
        <v>74</v>
      </c>
      <c r="M963" t="s">
        <v>200</v>
      </c>
      <c r="N963" t="s">
        <v>79</v>
      </c>
      <c r="O963" t="s">
        <v>74</v>
      </c>
      <c r="P963" t="s">
        <v>74</v>
      </c>
      <c r="Q963" t="s">
        <v>74</v>
      </c>
      <c r="R963" t="s">
        <v>74</v>
      </c>
      <c r="S963" t="s">
        <v>74</v>
      </c>
      <c r="T963" t="s">
        <v>17955</v>
      </c>
      <c r="U963" t="s">
        <v>17956</v>
      </c>
      <c r="V963" t="s">
        <v>17957</v>
      </c>
      <c r="W963" t="s">
        <v>17958</v>
      </c>
      <c r="X963" t="s">
        <v>17959</v>
      </c>
      <c r="Y963" t="s">
        <v>17960</v>
      </c>
      <c r="Z963" t="s">
        <v>9770</v>
      </c>
      <c r="AA963" t="s">
        <v>17961</v>
      </c>
      <c r="AB963" t="s">
        <v>17962</v>
      </c>
      <c r="AC963" t="s">
        <v>17963</v>
      </c>
      <c r="AD963" t="s">
        <v>17964</v>
      </c>
      <c r="AE963" t="s">
        <v>17965</v>
      </c>
      <c r="AF963" t="s">
        <v>74</v>
      </c>
      <c r="AG963">
        <v>44</v>
      </c>
      <c r="AH963">
        <v>23</v>
      </c>
      <c r="AI963">
        <v>23</v>
      </c>
      <c r="AJ963">
        <v>1</v>
      </c>
      <c r="AK963">
        <v>55</v>
      </c>
      <c r="AL963" t="s">
        <v>3560</v>
      </c>
      <c r="AM963" t="s">
        <v>4093</v>
      </c>
      <c r="AN963" t="s">
        <v>6706</v>
      </c>
      <c r="AO963" t="s">
        <v>9625</v>
      </c>
      <c r="AP963" t="s">
        <v>9626</v>
      </c>
      <c r="AQ963" t="s">
        <v>74</v>
      </c>
      <c r="AR963" t="s">
        <v>9609</v>
      </c>
      <c r="AS963" t="s">
        <v>9627</v>
      </c>
      <c r="AT963" t="s">
        <v>16633</v>
      </c>
      <c r="AU963">
        <v>2015</v>
      </c>
      <c r="AV963">
        <v>761</v>
      </c>
      <c r="AW963">
        <v>1</v>
      </c>
      <c r="AX963" t="s">
        <v>74</v>
      </c>
      <c r="AY963" t="s">
        <v>74</v>
      </c>
      <c r="AZ963" t="s">
        <v>74</v>
      </c>
      <c r="BA963" t="s">
        <v>74</v>
      </c>
      <c r="BB963">
        <v>277</v>
      </c>
      <c r="BC963">
        <v>291</v>
      </c>
      <c r="BD963" t="s">
        <v>74</v>
      </c>
      <c r="BE963" t="s">
        <v>17966</v>
      </c>
      <c r="BF963" t="str">
        <f>HYPERLINK("http://dx.doi.org/10.1007/s10750-015-2315-0","http://dx.doi.org/10.1007/s10750-015-2315-0")</f>
        <v>http://dx.doi.org/10.1007/s10750-015-2315-0</v>
      </c>
      <c r="BG963" t="s">
        <v>74</v>
      </c>
      <c r="BH963" t="s">
        <v>74</v>
      </c>
      <c r="BI963">
        <v>15</v>
      </c>
      <c r="BJ963" t="s">
        <v>1479</v>
      </c>
      <c r="BK963" t="s">
        <v>264</v>
      </c>
      <c r="BL963" t="s">
        <v>1479</v>
      </c>
      <c r="BM963" t="s">
        <v>17839</v>
      </c>
      <c r="BN963" t="s">
        <v>74</v>
      </c>
      <c r="BO963" t="s">
        <v>74</v>
      </c>
      <c r="BP963" t="s">
        <v>74</v>
      </c>
      <c r="BQ963" t="s">
        <v>74</v>
      </c>
      <c r="BR963" t="s">
        <v>100</v>
      </c>
      <c r="BS963" t="s">
        <v>17967</v>
      </c>
      <c r="BT963" t="str">
        <f>HYPERLINK("https%3A%2F%2Fwww.webofscience.com%2Fwos%2Fwoscc%2Ffull-record%2FWOS:000362964400016","View Full Record in Web of Science")</f>
        <v>View Full Record in Web of Science</v>
      </c>
    </row>
    <row r="964" spans="1:72" x14ac:dyDescent="0.15">
      <c r="A964" t="s">
        <v>72</v>
      </c>
      <c r="B964" t="s">
        <v>17968</v>
      </c>
      <c r="C964" t="s">
        <v>74</v>
      </c>
      <c r="D964" t="s">
        <v>74</v>
      </c>
      <c r="E964" t="s">
        <v>74</v>
      </c>
      <c r="F964" t="s">
        <v>17969</v>
      </c>
      <c r="G964" t="s">
        <v>74</v>
      </c>
      <c r="H964" t="s">
        <v>74</v>
      </c>
      <c r="I964" t="s">
        <v>17970</v>
      </c>
      <c r="J964" t="s">
        <v>9609</v>
      </c>
      <c r="K964" t="s">
        <v>74</v>
      </c>
      <c r="L964" t="s">
        <v>74</v>
      </c>
      <c r="M964" t="s">
        <v>200</v>
      </c>
      <c r="N964" t="s">
        <v>79</v>
      </c>
      <c r="O964" t="s">
        <v>74</v>
      </c>
      <c r="P964" t="s">
        <v>74</v>
      </c>
      <c r="Q964" t="s">
        <v>74</v>
      </c>
      <c r="R964" t="s">
        <v>74</v>
      </c>
      <c r="S964" t="s">
        <v>74</v>
      </c>
      <c r="T964" t="s">
        <v>17971</v>
      </c>
      <c r="U964" t="s">
        <v>17972</v>
      </c>
      <c r="V964" t="s">
        <v>17973</v>
      </c>
      <c r="W964" t="s">
        <v>17974</v>
      </c>
      <c r="X964" t="s">
        <v>17975</v>
      </c>
      <c r="Y964" t="s">
        <v>17976</v>
      </c>
      <c r="Z964" t="s">
        <v>7461</v>
      </c>
      <c r="AA964" t="s">
        <v>17977</v>
      </c>
      <c r="AB964" t="s">
        <v>17978</v>
      </c>
      <c r="AC964" t="s">
        <v>17979</v>
      </c>
      <c r="AD964" t="s">
        <v>17980</v>
      </c>
      <c r="AE964" t="s">
        <v>17981</v>
      </c>
      <c r="AF964" t="s">
        <v>74</v>
      </c>
      <c r="AG964">
        <v>188</v>
      </c>
      <c r="AH964">
        <v>13</v>
      </c>
      <c r="AI964">
        <v>14</v>
      </c>
      <c r="AJ964">
        <v>3</v>
      </c>
      <c r="AK964">
        <v>66</v>
      </c>
      <c r="AL964" t="s">
        <v>3560</v>
      </c>
      <c r="AM964" t="s">
        <v>4093</v>
      </c>
      <c r="AN964" t="s">
        <v>6706</v>
      </c>
      <c r="AO964" t="s">
        <v>9625</v>
      </c>
      <c r="AP964" t="s">
        <v>9626</v>
      </c>
      <c r="AQ964" t="s">
        <v>74</v>
      </c>
      <c r="AR964" t="s">
        <v>9609</v>
      </c>
      <c r="AS964" t="s">
        <v>9627</v>
      </c>
      <c r="AT964" t="s">
        <v>16633</v>
      </c>
      <c r="AU964">
        <v>2015</v>
      </c>
      <c r="AV964">
        <v>761</v>
      </c>
      <c r="AW964">
        <v>1</v>
      </c>
      <c r="AX964" t="s">
        <v>74</v>
      </c>
      <c r="AY964" t="s">
        <v>74</v>
      </c>
      <c r="AZ964" t="s">
        <v>74</v>
      </c>
      <c r="BA964" t="s">
        <v>74</v>
      </c>
      <c r="BB964">
        <v>293</v>
      </c>
      <c r="BC964">
        <v>312</v>
      </c>
      <c r="BD964" t="s">
        <v>74</v>
      </c>
      <c r="BE964" t="s">
        <v>17982</v>
      </c>
      <c r="BF964" t="str">
        <f>HYPERLINK("http://dx.doi.org/10.1007/s10750-015-2306-1","http://dx.doi.org/10.1007/s10750-015-2306-1")</f>
        <v>http://dx.doi.org/10.1007/s10750-015-2306-1</v>
      </c>
      <c r="BG964" t="s">
        <v>74</v>
      </c>
      <c r="BH964" t="s">
        <v>74</v>
      </c>
      <c r="BI964">
        <v>20</v>
      </c>
      <c r="BJ964" t="s">
        <v>1479</v>
      </c>
      <c r="BK964" t="s">
        <v>264</v>
      </c>
      <c r="BL964" t="s">
        <v>1479</v>
      </c>
      <c r="BM964" t="s">
        <v>17839</v>
      </c>
      <c r="BN964" t="s">
        <v>74</v>
      </c>
      <c r="BO964" t="s">
        <v>74</v>
      </c>
      <c r="BP964" t="s">
        <v>74</v>
      </c>
      <c r="BQ964" t="s">
        <v>74</v>
      </c>
      <c r="BR964" t="s">
        <v>100</v>
      </c>
      <c r="BS964" t="s">
        <v>17983</v>
      </c>
      <c r="BT964" t="str">
        <f>HYPERLINK("https%3A%2F%2Fwww.webofscience.com%2Fwos%2Fwoscc%2Ffull-record%2FWOS:000362964400017","View Full Record in Web of Science")</f>
        <v>View Full Record in Web of Science</v>
      </c>
    </row>
    <row r="965" spans="1:72" x14ac:dyDescent="0.15">
      <c r="A965" t="s">
        <v>72</v>
      </c>
      <c r="B965" t="s">
        <v>17984</v>
      </c>
      <c r="C965" t="s">
        <v>74</v>
      </c>
      <c r="D965" t="s">
        <v>74</v>
      </c>
      <c r="E965" t="s">
        <v>74</v>
      </c>
      <c r="F965" t="s">
        <v>17985</v>
      </c>
      <c r="G965" t="s">
        <v>74</v>
      </c>
      <c r="H965" t="s">
        <v>74</v>
      </c>
      <c r="I965" t="s">
        <v>17986</v>
      </c>
      <c r="J965" t="s">
        <v>9609</v>
      </c>
      <c r="K965" t="s">
        <v>74</v>
      </c>
      <c r="L965" t="s">
        <v>74</v>
      </c>
      <c r="M965" t="s">
        <v>200</v>
      </c>
      <c r="N965" t="s">
        <v>79</v>
      </c>
      <c r="O965" t="s">
        <v>74</v>
      </c>
      <c r="P965" t="s">
        <v>74</v>
      </c>
      <c r="Q965" t="s">
        <v>74</v>
      </c>
      <c r="R965" t="s">
        <v>74</v>
      </c>
      <c r="S965" t="s">
        <v>74</v>
      </c>
      <c r="T965" t="s">
        <v>17987</v>
      </c>
      <c r="U965" t="s">
        <v>17988</v>
      </c>
      <c r="V965" t="s">
        <v>17989</v>
      </c>
      <c r="W965" t="s">
        <v>17990</v>
      </c>
      <c r="X965" t="s">
        <v>17991</v>
      </c>
      <c r="Y965" t="s">
        <v>17992</v>
      </c>
      <c r="Z965" t="s">
        <v>17993</v>
      </c>
      <c r="AA965" t="s">
        <v>17994</v>
      </c>
      <c r="AB965" t="s">
        <v>17995</v>
      </c>
      <c r="AC965" t="s">
        <v>17996</v>
      </c>
      <c r="AD965" t="s">
        <v>17996</v>
      </c>
      <c r="AE965" t="s">
        <v>17997</v>
      </c>
      <c r="AF965" t="s">
        <v>74</v>
      </c>
      <c r="AG965">
        <v>51</v>
      </c>
      <c r="AH965">
        <v>3</v>
      </c>
      <c r="AI965">
        <v>5</v>
      </c>
      <c r="AJ965">
        <v>1</v>
      </c>
      <c r="AK965">
        <v>19</v>
      </c>
      <c r="AL965" t="s">
        <v>3560</v>
      </c>
      <c r="AM965" t="s">
        <v>4093</v>
      </c>
      <c r="AN965" t="s">
        <v>6706</v>
      </c>
      <c r="AO965" t="s">
        <v>9625</v>
      </c>
      <c r="AP965" t="s">
        <v>9626</v>
      </c>
      <c r="AQ965" t="s">
        <v>74</v>
      </c>
      <c r="AR965" t="s">
        <v>9609</v>
      </c>
      <c r="AS965" t="s">
        <v>9627</v>
      </c>
      <c r="AT965" t="s">
        <v>16633</v>
      </c>
      <c r="AU965">
        <v>2015</v>
      </c>
      <c r="AV965">
        <v>761</v>
      </c>
      <c r="AW965">
        <v>1</v>
      </c>
      <c r="AX965" t="s">
        <v>74</v>
      </c>
      <c r="AY965" t="s">
        <v>74</v>
      </c>
      <c r="AZ965" t="s">
        <v>74</v>
      </c>
      <c r="BA965" t="s">
        <v>74</v>
      </c>
      <c r="BB965">
        <v>315</v>
      </c>
      <c r="BC965">
        <v>333</v>
      </c>
      <c r="BD965" t="s">
        <v>74</v>
      </c>
      <c r="BE965" t="s">
        <v>17998</v>
      </c>
      <c r="BF965" t="str">
        <f>HYPERLINK("http://dx.doi.org/10.1007/s10750-015-2439-2","http://dx.doi.org/10.1007/s10750-015-2439-2")</f>
        <v>http://dx.doi.org/10.1007/s10750-015-2439-2</v>
      </c>
      <c r="BG965" t="s">
        <v>74</v>
      </c>
      <c r="BH965" t="s">
        <v>74</v>
      </c>
      <c r="BI965">
        <v>19</v>
      </c>
      <c r="BJ965" t="s">
        <v>1479</v>
      </c>
      <c r="BK965" t="s">
        <v>264</v>
      </c>
      <c r="BL965" t="s">
        <v>1479</v>
      </c>
      <c r="BM965" t="s">
        <v>17839</v>
      </c>
      <c r="BN965" t="s">
        <v>74</v>
      </c>
      <c r="BO965" t="s">
        <v>74</v>
      </c>
      <c r="BP965" t="s">
        <v>74</v>
      </c>
      <c r="BQ965" t="s">
        <v>74</v>
      </c>
      <c r="BR965" t="s">
        <v>100</v>
      </c>
      <c r="BS965" t="s">
        <v>17999</v>
      </c>
      <c r="BT965" t="str">
        <f>HYPERLINK("https%3A%2F%2Fwww.webofscience.com%2Fwos%2Fwoscc%2Ffull-record%2FWOS:000362964400019","View Full Record in Web of Science")</f>
        <v>View Full Record in Web of Science</v>
      </c>
    </row>
    <row r="966" spans="1:72" x14ac:dyDescent="0.15">
      <c r="A966" t="s">
        <v>72</v>
      </c>
      <c r="B966" t="s">
        <v>18000</v>
      </c>
      <c r="C966" t="s">
        <v>74</v>
      </c>
      <c r="D966" t="s">
        <v>74</v>
      </c>
      <c r="E966" t="s">
        <v>74</v>
      </c>
      <c r="F966" t="s">
        <v>18001</v>
      </c>
      <c r="G966" t="s">
        <v>74</v>
      </c>
      <c r="H966" t="s">
        <v>74</v>
      </c>
      <c r="I966" t="s">
        <v>18002</v>
      </c>
      <c r="J966" t="s">
        <v>9609</v>
      </c>
      <c r="K966" t="s">
        <v>74</v>
      </c>
      <c r="L966" t="s">
        <v>74</v>
      </c>
      <c r="M966" t="s">
        <v>200</v>
      </c>
      <c r="N966" t="s">
        <v>79</v>
      </c>
      <c r="O966" t="s">
        <v>74</v>
      </c>
      <c r="P966" t="s">
        <v>74</v>
      </c>
      <c r="Q966" t="s">
        <v>74</v>
      </c>
      <c r="R966" t="s">
        <v>74</v>
      </c>
      <c r="S966" t="s">
        <v>74</v>
      </c>
      <c r="T966" t="s">
        <v>18003</v>
      </c>
      <c r="U966" t="s">
        <v>18004</v>
      </c>
      <c r="V966" t="s">
        <v>18005</v>
      </c>
      <c r="W966" t="s">
        <v>18006</v>
      </c>
      <c r="X966" t="s">
        <v>18007</v>
      </c>
      <c r="Y966" t="s">
        <v>18008</v>
      </c>
      <c r="Z966" t="s">
        <v>18009</v>
      </c>
      <c r="AA966" t="s">
        <v>74</v>
      </c>
      <c r="AB966" t="s">
        <v>18010</v>
      </c>
      <c r="AC966" t="s">
        <v>18011</v>
      </c>
      <c r="AD966" t="s">
        <v>18011</v>
      </c>
      <c r="AE966" t="s">
        <v>18012</v>
      </c>
      <c r="AF966" t="s">
        <v>74</v>
      </c>
      <c r="AG966">
        <v>195</v>
      </c>
      <c r="AH966">
        <v>4</v>
      </c>
      <c r="AI966">
        <v>4</v>
      </c>
      <c r="AJ966">
        <v>0</v>
      </c>
      <c r="AK966">
        <v>20</v>
      </c>
      <c r="AL966" t="s">
        <v>3560</v>
      </c>
      <c r="AM966" t="s">
        <v>4093</v>
      </c>
      <c r="AN966" t="s">
        <v>6706</v>
      </c>
      <c r="AO966" t="s">
        <v>9625</v>
      </c>
      <c r="AP966" t="s">
        <v>9626</v>
      </c>
      <c r="AQ966" t="s">
        <v>74</v>
      </c>
      <c r="AR966" t="s">
        <v>9609</v>
      </c>
      <c r="AS966" t="s">
        <v>9627</v>
      </c>
      <c r="AT966" t="s">
        <v>16633</v>
      </c>
      <c r="AU966">
        <v>2015</v>
      </c>
      <c r="AV966">
        <v>761</v>
      </c>
      <c r="AW966">
        <v>1</v>
      </c>
      <c r="AX966" t="s">
        <v>74</v>
      </c>
      <c r="AY966" t="s">
        <v>74</v>
      </c>
      <c r="AZ966" t="s">
        <v>74</v>
      </c>
      <c r="BA966" t="s">
        <v>74</v>
      </c>
      <c r="BB966">
        <v>335</v>
      </c>
      <c r="BC966">
        <v>361</v>
      </c>
      <c r="BD966" t="s">
        <v>74</v>
      </c>
      <c r="BE966" t="s">
        <v>18013</v>
      </c>
      <c r="BF966" t="str">
        <f>HYPERLINK("http://dx.doi.org/10.1007/s10750-015-2425-8","http://dx.doi.org/10.1007/s10750-015-2425-8")</f>
        <v>http://dx.doi.org/10.1007/s10750-015-2425-8</v>
      </c>
      <c r="BG966" t="s">
        <v>74</v>
      </c>
      <c r="BH966" t="s">
        <v>74</v>
      </c>
      <c r="BI966">
        <v>27</v>
      </c>
      <c r="BJ966" t="s">
        <v>1479</v>
      </c>
      <c r="BK966" t="s">
        <v>264</v>
      </c>
      <c r="BL966" t="s">
        <v>1479</v>
      </c>
      <c r="BM966" t="s">
        <v>17839</v>
      </c>
      <c r="BN966" t="s">
        <v>74</v>
      </c>
      <c r="BO966" t="s">
        <v>74</v>
      </c>
      <c r="BP966" t="s">
        <v>74</v>
      </c>
      <c r="BQ966" t="s">
        <v>74</v>
      </c>
      <c r="BR966" t="s">
        <v>100</v>
      </c>
      <c r="BS966" t="s">
        <v>18014</v>
      </c>
      <c r="BT966" t="str">
        <f>HYPERLINK("https%3A%2F%2Fwww.webofscience.com%2Fwos%2Fwoscc%2Ffull-record%2FWOS:000362964400020","View Full Record in Web of Science")</f>
        <v>View Full Record in Web of Science</v>
      </c>
    </row>
    <row r="967" spans="1:72" x14ac:dyDescent="0.15">
      <c r="A967" t="s">
        <v>72</v>
      </c>
      <c r="B967" t="s">
        <v>18015</v>
      </c>
      <c r="C967" t="s">
        <v>74</v>
      </c>
      <c r="D967" t="s">
        <v>74</v>
      </c>
      <c r="E967" t="s">
        <v>74</v>
      </c>
      <c r="F967" t="s">
        <v>18016</v>
      </c>
      <c r="G967" t="s">
        <v>74</v>
      </c>
      <c r="H967" t="s">
        <v>74</v>
      </c>
      <c r="I967" t="s">
        <v>18017</v>
      </c>
      <c r="J967" t="s">
        <v>9609</v>
      </c>
      <c r="K967" t="s">
        <v>74</v>
      </c>
      <c r="L967" t="s">
        <v>74</v>
      </c>
      <c r="M967" t="s">
        <v>200</v>
      </c>
      <c r="N967" t="s">
        <v>13789</v>
      </c>
      <c r="O967" t="s">
        <v>74</v>
      </c>
      <c r="P967" t="s">
        <v>74</v>
      </c>
      <c r="Q967" t="s">
        <v>74</v>
      </c>
      <c r="R967" t="s">
        <v>74</v>
      </c>
      <c r="S967" t="s">
        <v>74</v>
      </c>
      <c r="T967" t="s">
        <v>74</v>
      </c>
      <c r="U967" t="s">
        <v>74</v>
      </c>
      <c r="V967" t="s">
        <v>74</v>
      </c>
      <c r="W967" t="s">
        <v>18018</v>
      </c>
      <c r="X967" t="s">
        <v>18019</v>
      </c>
      <c r="Y967" t="s">
        <v>18020</v>
      </c>
      <c r="Z967" t="s">
        <v>18021</v>
      </c>
      <c r="AA967" t="s">
        <v>18022</v>
      </c>
      <c r="AB967" t="s">
        <v>18023</v>
      </c>
      <c r="AC967" t="s">
        <v>74</v>
      </c>
      <c r="AD967" t="s">
        <v>74</v>
      </c>
      <c r="AE967" t="s">
        <v>74</v>
      </c>
      <c r="AF967" t="s">
        <v>74</v>
      </c>
      <c r="AG967">
        <v>2</v>
      </c>
      <c r="AH967">
        <v>0</v>
      </c>
      <c r="AI967">
        <v>0</v>
      </c>
      <c r="AJ967">
        <v>3</v>
      </c>
      <c r="AK967">
        <v>23</v>
      </c>
      <c r="AL967" t="s">
        <v>3560</v>
      </c>
      <c r="AM967" t="s">
        <v>4093</v>
      </c>
      <c r="AN967" t="s">
        <v>6706</v>
      </c>
      <c r="AO967" t="s">
        <v>9625</v>
      </c>
      <c r="AP967" t="s">
        <v>9626</v>
      </c>
      <c r="AQ967" t="s">
        <v>74</v>
      </c>
      <c r="AR967" t="s">
        <v>9609</v>
      </c>
      <c r="AS967" t="s">
        <v>9627</v>
      </c>
      <c r="AT967" t="s">
        <v>16633</v>
      </c>
      <c r="AU967">
        <v>2015</v>
      </c>
      <c r="AV967">
        <v>761</v>
      </c>
      <c r="AW967">
        <v>1</v>
      </c>
      <c r="AX967" t="s">
        <v>74</v>
      </c>
      <c r="AY967" t="s">
        <v>74</v>
      </c>
      <c r="AZ967" t="s">
        <v>74</v>
      </c>
      <c r="BA967" t="s">
        <v>74</v>
      </c>
      <c r="BB967">
        <v>415</v>
      </c>
      <c r="BC967">
        <v>415</v>
      </c>
      <c r="BD967" t="s">
        <v>74</v>
      </c>
      <c r="BE967" t="s">
        <v>18024</v>
      </c>
      <c r="BF967" t="str">
        <f>HYPERLINK("http://dx.doi.org/10.1007/s10750-015-2513-9","http://dx.doi.org/10.1007/s10750-015-2513-9")</f>
        <v>http://dx.doi.org/10.1007/s10750-015-2513-9</v>
      </c>
      <c r="BG967" t="s">
        <v>74</v>
      </c>
      <c r="BH967" t="s">
        <v>74</v>
      </c>
      <c r="BI967">
        <v>1</v>
      </c>
      <c r="BJ967" t="s">
        <v>1479</v>
      </c>
      <c r="BK967" t="s">
        <v>264</v>
      </c>
      <c r="BL967" t="s">
        <v>1479</v>
      </c>
      <c r="BM967" t="s">
        <v>17839</v>
      </c>
      <c r="BN967" t="s">
        <v>74</v>
      </c>
      <c r="BO967" t="s">
        <v>486</v>
      </c>
      <c r="BP967" t="s">
        <v>74</v>
      </c>
      <c r="BQ967" t="s">
        <v>74</v>
      </c>
      <c r="BR967" t="s">
        <v>100</v>
      </c>
      <c r="BS967" t="s">
        <v>18025</v>
      </c>
      <c r="BT967" t="str">
        <f>HYPERLINK("https%3A%2F%2Fwww.webofscience.com%2Fwos%2Fwoscc%2Ffull-record%2FWOS:000362964400024","View Full Record in Web of Science")</f>
        <v>View Full Record in Web of Science</v>
      </c>
    </row>
    <row r="968" spans="1:72" x14ac:dyDescent="0.15">
      <c r="A968" t="s">
        <v>72</v>
      </c>
      <c r="B968" t="s">
        <v>8183</v>
      </c>
      <c r="C968" t="s">
        <v>74</v>
      </c>
      <c r="D968" t="s">
        <v>74</v>
      </c>
      <c r="E968" t="s">
        <v>74</v>
      </c>
      <c r="F968" t="s">
        <v>8185</v>
      </c>
      <c r="G968" t="s">
        <v>74</v>
      </c>
      <c r="H968" t="s">
        <v>74</v>
      </c>
      <c r="I968" t="s">
        <v>18026</v>
      </c>
      <c r="J968" t="s">
        <v>9609</v>
      </c>
      <c r="K968" t="s">
        <v>74</v>
      </c>
      <c r="L968" t="s">
        <v>74</v>
      </c>
      <c r="M968" t="s">
        <v>200</v>
      </c>
      <c r="N968" t="s">
        <v>79</v>
      </c>
      <c r="O968" t="s">
        <v>74</v>
      </c>
      <c r="P968" t="s">
        <v>74</v>
      </c>
      <c r="Q968" t="s">
        <v>74</v>
      </c>
      <c r="R968" t="s">
        <v>74</v>
      </c>
      <c r="S968" t="s">
        <v>74</v>
      </c>
      <c r="T968" t="s">
        <v>18027</v>
      </c>
      <c r="U968" t="s">
        <v>18028</v>
      </c>
      <c r="V968" t="s">
        <v>18029</v>
      </c>
      <c r="W968" t="s">
        <v>18030</v>
      </c>
      <c r="X968" t="s">
        <v>8191</v>
      </c>
      <c r="Y968" t="s">
        <v>18031</v>
      </c>
      <c r="Z968" t="s">
        <v>18032</v>
      </c>
      <c r="AA968" t="s">
        <v>74</v>
      </c>
      <c r="AB968" t="s">
        <v>74</v>
      </c>
      <c r="AC968" t="s">
        <v>18033</v>
      </c>
      <c r="AD968" t="s">
        <v>18034</v>
      </c>
      <c r="AE968" t="s">
        <v>18035</v>
      </c>
      <c r="AF968" t="s">
        <v>74</v>
      </c>
      <c r="AG968">
        <v>138</v>
      </c>
      <c r="AH968">
        <v>16</v>
      </c>
      <c r="AI968">
        <v>19</v>
      </c>
      <c r="AJ968">
        <v>3</v>
      </c>
      <c r="AK968">
        <v>49</v>
      </c>
      <c r="AL968" t="s">
        <v>3560</v>
      </c>
      <c r="AM968" t="s">
        <v>4093</v>
      </c>
      <c r="AN968" t="s">
        <v>6706</v>
      </c>
      <c r="AO968" t="s">
        <v>9625</v>
      </c>
      <c r="AP968" t="s">
        <v>9626</v>
      </c>
      <c r="AQ968" t="s">
        <v>74</v>
      </c>
      <c r="AR968" t="s">
        <v>9609</v>
      </c>
      <c r="AS968" t="s">
        <v>9627</v>
      </c>
      <c r="AT968" t="s">
        <v>16633</v>
      </c>
      <c r="AU968">
        <v>2015</v>
      </c>
      <c r="AV968">
        <v>761</v>
      </c>
      <c r="AW968">
        <v>1</v>
      </c>
      <c r="AX968" t="s">
        <v>74</v>
      </c>
      <c r="AY968" t="s">
        <v>74</v>
      </c>
      <c r="AZ968" t="s">
        <v>74</v>
      </c>
      <c r="BA968" t="s">
        <v>74</v>
      </c>
      <c r="BB968">
        <v>417</v>
      </c>
      <c r="BC968">
        <v>441</v>
      </c>
      <c r="BD968" t="s">
        <v>74</v>
      </c>
      <c r="BE968" t="s">
        <v>18036</v>
      </c>
      <c r="BF968" t="str">
        <f>HYPERLINK("http://dx.doi.org/10.1007/s10750-015-2497-5","http://dx.doi.org/10.1007/s10750-015-2497-5")</f>
        <v>http://dx.doi.org/10.1007/s10750-015-2497-5</v>
      </c>
      <c r="BG968" t="s">
        <v>74</v>
      </c>
      <c r="BH968" t="s">
        <v>74</v>
      </c>
      <c r="BI968">
        <v>25</v>
      </c>
      <c r="BJ968" t="s">
        <v>1479</v>
      </c>
      <c r="BK968" t="s">
        <v>264</v>
      </c>
      <c r="BL968" t="s">
        <v>1479</v>
      </c>
      <c r="BM968" t="s">
        <v>17839</v>
      </c>
      <c r="BN968" t="s">
        <v>74</v>
      </c>
      <c r="BO968" t="s">
        <v>74</v>
      </c>
      <c r="BP968" t="s">
        <v>74</v>
      </c>
      <c r="BQ968" t="s">
        <v>74</v>
      </c>
      <c r="BR968" t="s">
        <v>100</v>
      </c>
      <c r="BS968" t="s">
        <v>18037</v>
      </c>
      <c r="BT968" t="str">
        <f>HYPERLINK("https%3A%2F%2Fwww.webofscience.com%2Fwos%2Fwoscc%2Ffull-record%2FWOS:000362964400025","View Full Record in Web of Science")</f>
        <v>View Full Record in Web of Science</v>
      </c>
    </row>
    <row r="969" spans="1:72" x14ac:dyDescent="0.15">
      <c r="A969" t="s">
        <v>72</v>
      </c>
      <c r="B969" t="s">
        <v>18038</v>
      </c>
      <c r="C969" t="s">
        <v>74</v>
      </c>
      <c r="D969" t="s">
        <v>74</v>
      </c>
      <c r="E969" t="s">
        <v>74</v>
      </c>
      <c r="F969" t="s">
        <v>18039</v>
      </c>
      <c r="G969" t="s">
        <v>74</v>
      </c>
      <c r="H969" t="s">
        <v>74</v>
      </c>
      <c r="I969" t="s">
        <v>18040</v>
      </c>
      <c r="J969" t="s">
        <v>18041</v>
      </c>
      <c r="K969" t="s">
        <v>74</v>
      </c>
      <c r="L969" t="s">
        <v>74</v>
      </c>
      <c r="M969" t="s">
        <v>200</v>
      </c>
      <c r="N969" t="s">
        <v>79</v>
      </c>
      <c r="O969" t="s">
        <v>74</v>
      </c>
      <c r="P969" t="s">
        <v>74</v>
      </c>
      <c r="Q969" t="s">
        <v>74</v>
      </c>
      <c r="R969" t="s">
        <v>74</v>
      </c>
      <c r="S969" t="s">
        <v>74</v>
      </c>
      <c r="T969" t="s">
        <v>18042</v>
      </c>
      <c r="U969" t="s">
        <v>18043</v>
      </c>
      <c r="V969" t="s">
        <v>18044</v>
      </c>
      <c r="W969" t="s">
        <v>18045</v>
      </c>
      <c r="X969" t="s">
        <v>18046</v>
      </c>
      <c r="Y969" t="s">
        <v>18047</v>
      </c>
      <c r="Z969" t="s">
        <v>18048</v>
      </c>
      <c r="AA969" t="s">
        <v>18049</v>
      </c>
      <c r="AB969" t="s">
        <v>18050</v>
      </c>
      <c r="AC969" t="s">
        <v>74</v>
      </c>
      <c r="AD969" t="s">
        <v>74</v>
      </c>
      <c r="AE969" t="s">
        <v>74</v>
      </c>
      <c r="AF969" t="s">
        <v>74</v>
      </c>
      <c r="AG969">
        <v>66</v>
      </c>
      <c r="AH969">
        <v>23</v>
      </c>
      <c r="AI969">
        <v>25</v>
      </c>
      <c r="AJ969">
        <v>0</v>
      </c>
      <c r="AK969">
        <v>19</v>
      </c>
      <c r="AL969" t="s">
        <v>2239</v>
      </c>
      <c r="AM969" t="s">
        <v>289</v>
      </c>
      <c r="AN969" t="s">
        <v>7089</v>
      </c>
      <c r="AO969" t="s">
        <v>18051</v>
      </c>
      <c r="AP969" t="s">
        <v>18052</v>
      </c>
      <c r="AQ969" t="s">
        <v>74</v>
      </c>
      <c r="AR969" t="s">
        <v>18053</v>
      </c>
      <c r="AS969" t="s">
        <v>18054</v>
      </c>
      <c r="AT969" t="s">
        <v>16633</v>
      </c>
      <c r="AU969">
        <v>2015</v>
      </c>
      <c r="AV969">
        <v>95</v>
      </c>
      <c r="AW969">
        <v>7</v>
      </c>
      <c r="AX969" t="s">
        <v>74</v>
      </c>
      <c r="AY969" t="s">
        <v>74</v>
      </c>
      <c r="AZ969" t="s">
        <v>2540</v>
      </c>
      <c r="BA969" t="s">
        <v>74</v>
      </c>
      <c r="BB969">
        <v>1311</v>
      </c>
      <c r="BC969">
        <v>1342</v>
      </c>
      <c r="BD969" t="s">
        <v>74</v>
      </c>
      <c r="BE969" t="s">
        <v>18055</v>
      </c>
      <c r="BF969" t="str">
        <f>HYPERLINK("http://dx.doi.org/10.1017/S0025315413001100","http://dx.doi.org/10.1017/S0025315413001100")</f>
        <v>http://dx.doi.org/10.1017/S0025315413001100</v>
      </c>
      <c r="BG969" t="s">
        <v>74</v>
      </c>
      <c r="BH969" t="s">
        <v>74</v>
      </c>
      <c r="BI969">
        <v>32</v>
      </c>
      <c r="BJ969" t="s">
        <v>1479</v>
      </c>
      <c r="BK969" t="s">
        <v>264</v>
      </c>
      <c r="BL969" t="s">
        <v>1479</v>
      </c>
      <c r="BM969" t="s">
        <v>18056</v>
      </c>
      <c r="BN969" t="s">
        <v>74</v>
      </c>
      <c r="BO969" t="s">
        <v>74</v>
      </c>
      <c r="BP969" t="s">
        <v>74</v>
      </c>
      <c r="BQ969" t="s">
        <v>74</v>
      </c>
      <c r="BR969" t="s">
        <v>100</v>
      </c>
      <c r="BS969" t="s">
        <v>18057</v>
      </c>
      <c r="BT969" t="str">
        <f>HYPERLINK("https%3A%2F%2Fwww.webofscience.com%2Fwos%2Fwoscc%2Ffull-record%2FWOS:000362910300004","View Full Record in Web of Science")</f>
        <v>View Full Record in Web of Science</v>
      </c>
    </row>
    <row r="970" spans="1:72" x14ac:dyDescent="0.15">
      <c r="A970" t="s">
        <v>72</v>
      </c>
      <c r="B970" t="s">
        <v>18058</v>
      </c>
      <c r="C970" t="s">
        <v>74</v>
      </c>
      <c r="D970" t="s">
        <v>74</v>
      </c>
      <c r="E970" t="s">
        <v>74</v>
      </c>
      <c r="F970" t="s">
        <v>18059</v>
      </c>
      <c r="G970" t="s">
        <v>74</v>
      </c>
      <c r="H970" t="s">
        <v>74</v>
      </c>
      <c r="I970" t="s">
        <v>18060</v>
      </c>
      <c r="J970" t="s">
        <v>7083</v>
      </c>
      <c r="K970" t="s">
        <v>74</v>
      </c>
      <c r="L970" t="s">
        <v>74</v>
      </c>
      <c r="M970" t="s">
        <v>200</v>
      </c>
      <c r="N970" t="s">
        <v>79</v>
      </c>
      <c r="O970" t="s">
        <v>74</v>
      </c>
      <c r="P970" t="s">
        <v>74</v>
      </c>
      <c r="Q970" t="s">
        <v>74</v>
      </c>
      <c r="R970" t="s">
        <v>74</v>
      </c>
      <c r="S970" t="s">
        <v>74</v>
      </c>
      <c r="T970" t="s">
        <v>74</v>
      </c>
      <c r="U970" t="s">
        <v>18061</v>
      </c>
      <c r="V970" t="s">
        <v>18062</v>
      </c>
      <c r="W970" t="s">
        <v>18063</v>
      </c>
      <c r="X970" t="s">
        <v>18064</v>
      </c>
      <c r="Y970" t="s">
        <v>18065</v>
      </c>
      <c r="Z970" t="s">
        <v>18066</v>
      </c>
      <c r="AA970" t="s">
        <v>18067</v>
      </c>
      <c r="AB970" t="s">
        <v>18068</v>
      </c>
      <c r="AC970" t="s">
        <v>18069</v>
      </c>
      <c r="AD970" t="s">
        <v>18070</v>
      </c>
      <c r="AE970" t="s">
        <v>18071</v>
      </c>
      <c r="AF970" t="s">
        <v>74</v>
      </c>
      <c r="AG970">
        <v>64</v>
      </c>
      <c r="AH970">
        <v>56</v>
      </c>
      <c r="AI970">
        <v>59</v>
      </c>
      <c r="AJ970">
        <v>1</v>
      </c>
      <c r="AK970">
        <v>55</v>
      </c>
      <c r="AL970" t="s">
        <v>2239</v>
      </c>
      <c r="AM970" t="s">
        <v>289</v>
      </c>
      <c r="AN970" t="s">
        <v>7089</v>
      </c>
      <c r="AO970" t="s">
        <v>7090</v>
      </c>
      <c r="AP970" t="s">
        <v>7091</v>
      </c>
      <c r="AQ970" t="s">
        <v>74</v>
      </c>
      <c r="AR970" t="s">
        <v>7092</v>
      </c>
      <c r="AS970" t="s">
        <v>7093</v>
      </c>
      <c r="AT970" t="s">
        <v>16633</v>
      </c>
      <c r="AU970">
        <v>2015</v>
      </c>
      <c r="AV970">
        <v>51</v>
      </c>
      <c r="AW970">
        <v>6</v>
      </c>
      <c r="AX970" t="s">
        <v>74</v>
      </c>
      <c r="AY970" t="s">
        <v>74</v>
      </c>
      <c r="AZ970" t="s">
        <v>74</v>
      </c>
      <c r="BA970" t="s">
        <v>74</v>
      </c>
      <c r="BB970">
        <v>637</v>
      </c>
      <c r="BC970">
        <v>643</v>
      </c>
      <c r="BD970" t="s">
        <v>74</v>
      </c>
      <c r="BE970" t="s">
        <v>18072</v>
      </c>
      <c r="BF970" t="str">
        <f>HYPERLINK("http://dx.doi.org/10.1017/S0032247414000916","http://dx.doi.org/10.1017/S0032247414000916")</f>
        <v>http://dx.doi.org/10.1017/S0032247414000916</v>
      </c>
      <c r="BG970" t="s">
        <v>74</v>
      </c>
      <c r="BH970" t="s">
        <v>74</v>
      </c>
      <c r="BI970">
        <v>7</v>
      </c>
      <c r="BJ970" t="s">
        <v>7095</v>
      </c>
      <c r="BK970" t="s">
        <v>264</v>
      </c>
      <c r="BL970" t="s">
        <v>2887</v>
      </c>
      <c r="BM970" t="s">
        <v>18073</v>
      </c>
      <c r="BN970" t="s">
        <v>74</v>
      </c>
      <c r="BO970" t="s">
        <v>2987</v>
      </c>
      <c r="BP970" t="s">
        <v>74</v>
      </c>
      <c r="BQ970" t="s">
        <v>74</v>
      </c>
      <c r="BR970" t="s">
        <v>100</v>
      </c>
      <c r="BS970" t="s">
        <v>18074</v>
      </c>
      <c r="BT970" t="str">
        <f>HYPERLINK("https%3A%2F%2Fwww.webofscience.com%2Fwos%2Fwoscc%2Ffull-record%2FWOS:000363027200005","View Full Record in Web of Science")</f>
        <v>View Full Record in Web of Science</v>
      </c>
    </row>
    <row r="971" spans="1:72" x14ac:dyDescent="0.15">
      <c r="A971" t="s">
        <v>72</v>
      </c>
      <c r="B971" t="s">
        <v>18075</v>
      </c>
      <c r="C971" t="s">
        <v>74</v>
      </c>
      <c r="D971" t="s">
        <v>74</v>
      </c>
      <c r="E971" t="s">
        <v>74</v>
      </c>
      <c r="F971" t="s">
        <v>18076</v>
      </c>
      <c r="G971" t="s">
        <v>74</v>
      </c>
      <c r="H971" t="s">
        <v>74</v>
      </c>
      <c r="I971" t="s">
        <v>18077</v>
      </c>
      <c r="J971" t="s">
        <v>7083</v>
      </c>
      <c r="K971" t="s">
        <v>74</v>
      </c>
      <c r="L971" t="s">
        <v>74</v>
      </c>
      <c r="M971" t="s">
        <v>200</v>
      </c>
      <c r="N971" t="s">
        <v>79</v>
      </c>
      <c r="O971" t="s">
        <v>74</v>
      </c>
      <c r="P971" t="s">
        <v>74</v>
      </c>
      <c r="Q971" t="s">
        <v>74</v>
      </c>
      <c r="R971" t="s">
        <v>74</v>
      </c>
      <c r="S971" t="s">
        <v>74</v>
      </c>
      <c r="T971" t="s">
        <v>74</v>
      </c>
      <c r="U971" t="s">
        <v>74</v>
      </c>
      <c r="V971" t="s">
        <v>18078</v>
      </c>
      <c r="W971" t="s">
        <v>74</v>
      </c>
      <c r="X971" t="s">
        <v>74</v>
      </c>
      <c r="Y971" t="s">
        <v>18079</v>
      </c>
      <c r="Z971" t="s">
        <v>18080</v>
      </c>
      <c r="AA971" t="s">
        <v>74</v>
      </c>
      <c r="AB971" t="s">
        <v>74</v>
      </c>
      <c r="AC971" t="s">
        <v>74</v>
      </c>
      <c r="AD971" t="s">
        <v>74</v>
      </c>
      <c r="AE971" t="s">
        <v>74</v>
      </c>
      <c r="AF971" t="s">
        <v>74</v>
      </c>
      <c r="AG971">
        <v>37</v>
      </c>
      <c r="AH971">
        <v>0</v>
      </c>
      <c r="AI971">
        <v>0</v>
      </c>
      <c r="AJ971">
        <v>0</v>
      </c>
      <c r="AK971">
        <v>0</v>
      </c>
      <c r="AL971" t="s">
        <v>2239</v>
      </c>
      <c r="AM971" t="s">
        <v>289</v>
      </c>
      <c r="AN971" t="s">
        <v>7089</v>
      </c>
      <c r="AO971" t="s">
        <v>7090</v>
      </c>
      <c r="AP971" t="s">
        <v>7091</v>
      </c>
      <c r="AQ971" t="s">
        <v>74</v>
      </c>
      <c r="AR971" t="s">
        <v>7092</v>
      </c>
      <c r="AS971" t="s">
        <v>7093</v>
      </c>
      <c r="AT971" t="s">
        <v>16633</v>
      </c>
      <c r="AU971">
        <v>2015</v>
      </c>
      <c r="AV971">
        <v>51</v>
      </c>
      <c r="AW971">
        <v>6</v>
      </c>
      <c r="AX971" t="s">
        <v>74</v>
      </c>
      <c r="AY971" t="s">
        <v>74</v>
      </c>
      <c r="AZ971" t="s">
        <v>74</v>
      </c>
      <c r="BA971" t="s">
        <v>74</v>
      </c>
      <c r="BB971">
        <v>644</v>
      </c>
      <c r="BC971">
        <v>654</v>
      </c>
      <c r="BD971" t="s">
        <v>74</v>
      </c>
      <c r="BE971" t="s">
        <v>18081</v>
      </c>
      <c r="BF971" t="str">
        <f>HYPERLINK("http://dx.doi.org/10.1017/S0032247414000783","http://dx.doi.org/10.1017/S0032247414000783")</f>
        <v>http://dx.doi.org/10.1017/S0032247414000783</v>
      </c>
      <c r="BG971" t="s">
        <v>74</v>
      </c>
      <c r="BH971" t="s">
        <v>74</v>
      </c>
      <c r="BI971">
        <v>11</v>
      </c>
      <c r="BJ971" t="s">
        <v>7095</v>
      </c>
      <c r="BK971" t="s">
        <v>264</v>
      </c>
      <c r="BL971" t="s">
        <v>2887</v>
      </c>
      <c r="BM971" t="s">
        <v>18073</v>
      </c>
      <c r="BN971" t="s">
        <v>74</v>
      </c>
      <c r="BO971" t="s">
        <v>74</v>
      </c>
      <c r="BP971" t="s">
        <v>74</v>
      </c>
      <c r="BQ971" t="s">
        <v>74</v>
      </c>
      <c r="BR971" t="s">
        <v>100</v>
      </c>
      <c r="BS971" t="s">
        <v>18082</v>
      </c>
      <c r="BT971" t="str">
        <f>HYPERLINK("https%3A%2F%2Fwww.webofscience.com%2Fwos%2Fwoscc%2Ffull-record%2FWOS:000363027200006","View Full Record in Web of Science")</f>
        <v>View Full Record in Web of Science</v>
      </c>
    </row>
    <row r="972" spans="1:72" x14ac:dyDescent="0.15">
      <c r="A972" t="s">
        <v>72</v>
      </c>
      <c r="B972" t="s">
        <v>18083</v>
      </c>
      <c r="C972" t="s">
        <v>74</v>
      </c>
      <c r="D972" t="s">
        <v>74</v>
      </c>
      <c r="E972" t="s">
        <v>74</v>
      </c>
      <c r="F972" t="s">
        <v>18084</v>
      </c>
      <c r="G972" t="s">
        <v>74</v>
      </c>
      <c r="H972" t="s">
        <v>74</v>
      </c>
      <c r="I972" t="s">
        <v>18085</v>
      </c>
      <c r="J972" t="s">
        <v>7083</v>
      </c>
      <c r="K972" t="s">
        <v>74</v>
      </c>
      <c r="L972" t="s">
        <v>74</v>
      </c>
      <c r="M972" t="s">
        <v>200</v>
      </c>
      <c r="N972" t="s">
        <v>79</v>
      </c>
      <c r="O972" t="s">
        <v>74</v>
      </c>
      <c r="P972" t="s">
        <v>74</v>
      </c>
      <c r="Q972" t="s">
        <v>74</v>
      </c>
      <c r="R972" t="s">
        <v>74</v>
      </c>
      <c r="S972" t="s">
        <v>74</v>
      </c>
      <c r="T972" t="s">
        <v>74</v>
      </c>
      <c r="U972" t="s">
        <v>74</v>
      </c>
      <c r="V972" t="s">
        <v>18086</v>
      </c>
      <c r="W972" t="s">
        <v>74</v>
      </c>
      <c r="X972" t="s">
        <v>74</v>
      </c>
      <c r="Y972" t="s">
        <v>18087</v>
      </c>
      <c r="Z972" t="s">
        <v>18088</v>
      </c>
      <c r="AA972" t="s">
        <v>74</v>
      </c>
      <c r="AB972" t="s">
        <v>74</v>
      </c>
      <c r="AC972" t="s">
        <v>74</v>
      </c>
      <c r="AD972" t="s">
        <v>74</v>
      </c>
      <c r="AE972" t="s">
        <v>74</v>
      </c>
      <c r="AF972" t="s">
        <v>74</v>
      </c>
      <c r="AG972">
        <v>53</v>
      </c>
      <c r="AH972">
        <v>3</v>
      </c>
      <c r="AI972">
        <v>3</v>
      </c>
      <c r="AJ972">
        <v>0</v>
      </c>
      <c r="AK972">
        <v>2</v>
      </c>
      <c r="AL972" t="s">
        <v>2239</v>
      </c>
      <c r="AM972" t="s">
        <v>289</v>
      </c>
      <c r="AN972" t="s">
        <v>7089</v>
      </c>
      <c r="AO972" t="s">
        <v>7090</v>
      </c>
      <c r="AP972" t="s">
        <v>7091</v>
      </c>
      <c r="AQ972" t="s">
        <v>74</v>
      </c>
      <c r="AR972" t="s">
        <v>7092</v>
      </c>
      <c r="AS972" t="s">
        <v>7093</v>
      </c>
      <c r="AT972" t="s">
        <v>16633</v>
      </c>
      <c r="AU972">
        <v>2015</v>
      </c>
      <c r="AV972">
        <v>51</v>
      </c>
      <c r="AW972">
        <v>6</v>
      </c>
      <c r="AX972" t="s">
        <v>74</v>
      </c>
      <c r="AY972" t="s">
        <v>74</v>
      </c>
      <c r="AZ972" t="s">
        <v>74</v>
      </c>
      <c r="BA972" t="s">
        <v>74</v>
      </c>
      <c r="BB972">
        <v>655</v>
      </c>
      <c r="BC972">
        <v>666</v>
      </c>
      <c r="BD972" t="s">
        <v>74</v>
      </c>
      <c r="BE972" t="s">
        <v>18089</v>
      </c>
      <c r="BF972" t="str">
        <f>HYPERLINK("http://dx.doi.org/10.1017/S0032247415000029","http://dx.doi.org/10.1017/S0032247415000029")</f>
        <v>http://dx.doi.org/10.1017/S0032247415000029</v>
      </c>
      <c r="BG972" t="s">
        <v>74</v>
      </c>
      <c r="BH972" t="s">
        <v>74</v>
      </c>
      <c r="BI972">
        <v>12</v>
      </c>
      <c r="BJ972" t="s">
        <v>7095</v>
      </c>
      <c r="BK972" t="s">
        <v>18090</v>
      </c>
      <c r="BL972" t="s">
        <v>2887</v>
      </c>
      <c r="BM972" t="s">
        <v>18073</v>
      </c>
      <c r="BN972" t="s">
        <v>74</v>
      </c>
      <c r="BO972" t="s">
        <v>74</v>
      </c>
      <c r="BP972" t="s">
        <v>74</v>
      </c>
      <c r="BQ972" t="s">
        <v>74</v>
      </c>
      <c r="BR972" t="s">
        <v>100</v>
      </c>
      <c r="BS972" t="s">
        <v>18091</v>
      </c>
      <c r="BT972" t="str">
        <f>HYPERLINK("https%3A%2F%2Fwww.webofscience.com%2Fwos%2Fwoscc%2Ffull-record%2FWOS:000363027200007","View Full Record in Web of Science")</f>
        <v>View Full Record in Web of Science</v>
      </c>
    </row>
    <row r="973" spans="1:72" x14ac:dyDescent="0.15">
      <c r="A973" t="s">
        <v>72</v>
      </c>
      <c r="B973" t="s">
        <v>18092</v>
      </c>
      <c r="C973" t="s">
        <v>74</v>
      </c>
      <c r="D973" t="s">
        <v>74</v>
      </c>
      <c r="E973" t="s">
        <v>74</v>
      </c>
      <c r="F973" t="s">
        <v>18093</v>
      </c>
      <c r="G973" t="s">
        <v>74</v>
      </c>
      <c r="H973" t="s">
        <v>74</v>
      </c>
      <c r="I973" t="s">
        <v>18094</v>
      </c>
      <c r="J973" t="s">
        <v>7083</v>
      </c>
      <c r="K973" t="s">
        <v>74</v>
      </c>
      <c r="L973" t="s">
        <v>74</v>
      </c>
      <c r="M973" t="s">
        <v>200</v>
      </c>
      <c r="N973" t="s">
        <v>79</v>
      </c>
      <c r="O973" t="s">
        <v>74</v>
      </c>
      <c r="P973" t="s">
        <v>74</v>
      </c>
      <c r="Q973" t="s">
        <v>74</v>
      </c>
      <c r="R973" t="s">
        <v>74</v>
      </c>
      <c r="S973" t="s">
        <v>74</v>
      </c>
      <c r="T973" t="s">
        <v>74</v>
      </c>
      <c r="U973" t="s">
        <v>18095</v>
      </c>
      <c r="V973" t="s">
        <v>18096</v>
      </c>
      <c r="W973" t="s">
        <v>18097</v>
      </c>
      <c r="X973" t="s">
        <v>18098</v>
      </c>
      <c r="Y973" t="s">
        <v>18099</v>
      </c>
      <c r="Z973" t="s">
        <v>18100</v>
      </c>
      <c r="AA973" t="s">
        <v>18101</v>
      </c>
      <c r="AB973" t="s">
        <v>74</v>
      </c>
      <c r="AC973" t="s">
        <v>74</v>
      </c>
      <c r="AD973" t="s">
        <v>74</v>
      </c>
      <c r="AE973" t="s">
        <v>74</v>
      </c>
      <c r="AF973" t="s">
        <v>74</v>
      </c>
      <c r="AG973">
        <v>42</v>
      </c>
      <c r="AH973">
        <v>2</v>
      </c>
      <c r="AI973">
        <v>2</v>
      </c>
      <c r="AJ973">
        <v>1</v>
      </c>
      <c r="AK973">
        <v>14</v>
      </c>
      <c r="AL973" t="s">
        <v>2239</v>
      </c>
      <c r="AM973" t="s">
        <v>289</v>
      </c>
      <c r="AN973" t="s">
        <v>7089</v>
      </c>
      <c r="AO973" t="s">
        <v>7090</v>
      </c>
      <c r="AP973" t="s">
        <v>7091</v>
      </c>
      <c r="AQ973" t="s">
        <v>74</v>
      </c>
      <c r="AR973" t="s">
        <v>7092</v>
      </c>
      <c r="AS973" t="s">
        <v>7093</v>
      </c>
      <c r="AT973" t="s">
        <v>16633</v>
      </c>
      <c r="AU973">
        <v>2015</v>
      </c>
      <c r="AV973">
        <v>51</v>
      </c>
      <c r="AW973">
        <v>6</v>
      </c>
      <c r="AX973" t="s">
        <v>74</v>
      </c>
      <c r="AY973" t="s">
        <v>74</v>
      </c>
      <c r="AZ973" t="s">
        <v>74</v>
      </c>
      <c r="BA973" t="s">
        <v>74</v>
      </c>
      <c r="BB973">
        <v>680</v>
      </c>
      <c r="BC973">
        <v>691</v>
      </c>
      <c r="BD973" t="s">
        <v>74</v>
      </c>
      <c r="BE973" t="s">
        <v>18102</v>
      </c>
      <c r="BF973" t="str">
        <f>HYPERLINK("http://dx.doi.org/10.1017/S0032247415000030","http://dx.doi.org/10.1017/S0032247415000030")</f>
        <v>http://dx.doi.org/10.1017/S0032247415000030</v>
      </c>
      <c r="BG973" t="s">
        <v>74</v>
      </c>
      <c r="BH973" t="s">
        <v>74</v>
      </c>
      <c r="BI973">
        <v>12</v>
      </c>
      <c r="BJ973" t="s">
        <v>7095</v>
      </c>
      <c r="BK973" t="s">
        <v>264</v>
      </c>
      <c r="BL973" t="s">
        <v>2887</v>
      </c>
      <c r="BM973" t="s">
        <v>18073</v>
      </c>
      <c r="BN973" t="s">
        <v>74</v>
      </c>
      <c r="BO973" t="s">
        <v>74</v>
      </c>
      <c r="BP973" t="s">
        <v>74</v>
      </c>
      <c r="BQ973" t="s">
        <v>74</v>
      </c>
      <c r="BR973" t="s">
        <v>100</v>
      </c>
      <c r="BS973" t="s">
        <v>18103</v>
      </c>
      <c r="BT973" t="str">
        <f>HYPERLINK("https%3A%2F%2Fwww.webofscience.com%2Fwos%2Fwoscc%2Ffull-record%2FWOS:000363027200010","View Full Record in Web of Science")</f>
        <v>View Full Record in Web of Science</v>
      </c>
    </row>
    <row r="974" spans="1:72" x14ac:dyDescent="0.15">
      <c r="A974" t="s">
        <v>72</v>
      </c>
      <c r="B974" t="s">
        <v>18104</v>
      </c>
      <c r="C974" t="s">
        <v>74</v>
      </c>
      <c r="D974" t="s">
        <v>74</v>
      </c>
      <c r="E974" t="s">
        <v>74</v>
      </c>
      <c r="F974" t="s">
        <v>18105</v>
      </c>
      <c r="G974" t="s">
        <v>74</v>
      </c>
      <c r="H974" t="s">
        <v>74</v>
      </c>
      <c r="I974" t="s">
        <v>18106</v>
      </c>
      <c r="J974" t="s">
        <v>17497</v>
      </c>
      <c r="K974" t="s">
        <v>74</v>
      </c>
      <c r="L974" t="s">
        <v>74</v>
      </c>
      <c r="M974" t="s">
        <v>200</v>
      </c>
      <c r="N974" t="s">
        <v>79</v>
      </c>
      <c r="O974" t="s">
        <v>74</v>
      </c>
      <c r="P974" t="s">
        <v>74</v>
      </c>
      <c r="Q974" t="s">
        <v>74</v>
      </c>
      <c r="R974" t="s">
        <v>74</v>
      </c>
      <c r="S974" t="s">
        <v>74</v>
      </c>
      <c r="T974" t="s">
        <v>74</v>
      </c>
      <c r="U974" t="s">
        <v>18107</v>
      </c>
      <c r="V974" t="s">
        <v>18108</v>
      </c>
      <c r="W974" t="s">
        <v>18109</v>
      </c>
      <c r="X974" t="s">
        <v>18110</v>
      </c>
      <c r="Y974" t="s">
        <v>18111</v>
      </c>
      <c r="Z974" t="s">
        <v>18112</v>
      </c>
      <c r="AA974" t="s">
        <v>18113</v>
      </c>
      <c r="AB974" t="s">
        <v>18114</v>
      </c>
      <c r="AC974" t="s">
        <v>18115</v>
      </c>
      <c r="AD974" t="s">
        <v>18116</v>
      </c>
      <c r="AE974" t="s">
        <v>18117</v>
      </c>
      <c r="AF974" t="s">
        <v>74</v>
      </c>
      <c r="AG974">
        <v>41</v>
      </c>
      <c r="AH974">
        <v>27</v>
      </c>
      <c r="AI974">
        <v>32</v>
      </c>
      <c r="AJ974">
        <v>2</v>
      </c>
      <c r="AK974">
        <v>43</v>
      </c>
      <c r="AL974" t="s">
        <v>17501</v>
      </c>
      <c r="AM974" t="s">
        <v>6161</v>
      </c>
      <c r="AN974" t="s">
        <v>17502</v>
      </c>
      <c r="AO974" t="s">
        <v>17503</v>
      </c>
      <c r="AP974" t="s">
        <v>17504</v>
      </c>
      <c r="AQ974" t="s">
        <v>74</v>
      </c>
      <c r="AR974" t="s">
        <v>17505</v>
      </c>
      <c r="AS974" t="s">
        <v>17506</v>
      </c>
      <c r="AT974" t="s">
        <v>16633</v>
      </c>
      <c r="AU974">
        <v>2015</v>
      </c>
      <c r="AV974">
        <v>47</v>
      </c>
      <c r="AW974">
        <v>4</v>
      </c>
      <c r="AX974" t="s">
        <v>74</v>
      </c>
      <c r="AY974" t="s">
        <v>74</v>
      </c>
      <c r="AZ974" t="s">
        <v>74</v>
      </c>
      <c r="BA974" t="s">
        <v>74</v>
      </c>
      <c r="BB974">
        <v>611</v>
      </c>
      <c r="BC974">
        <v>625</v>
      </c>
      <c r="BD974" t="s">
        <v>74</v>
      </c>
      <c r="BE974" t="s">
        <v>18118</v>
      </c>
      <c r="BF974" t="str">
        <f>HYPERLINK("http://dx.doi.org/10.1657/AAAR0014-050","http://dx.doi.org/10.1657/AAAR0014-050")</f>
        <v>http://dx.doi.org/10.1657/AAAR0014-050</v>
      </c>
      <c r="BG974" t="s">
        <v>74</v>
      </c>
      <c r="BH974" t="s">
        <v>74</v>
      </c>
      <c r="BI974">
        <v>15</v>
      </c>
      <c r="BJ974" t="s">
        <v>17508</v>
      </c>
      <c r="BK974" t="s">
        <v>264</v>
      </c>
      <c r="BL974" t="s">
        <v>17509</v>
      </c>
      <c r="BM974" t="s">
        <v>17510</v>
      </c>
      <c r="BN974" t="s">
        <v>74</v>
      </c>
      <c r="BO974" t="s">
        <v>3183</v>
      </c>
      <c r="BP974" t="s">
        <v>74</v>
      </c>
      <c r="BQ974" t="s">
        <v>74</v>
      </c>
      <c r="BR974" t="s">
        <v>100</v>
      </c>
      <c r="BS974" t="s">
        <v>18119</v>
      </c>
      <c r="BT974" t="str">
        <f>HYPERLINK("https%3A%2F%2Fwww.webofscience.com%2Fwos%2Fwoscc%2Ffull-record%2FWOS:000363863300003","View Full Record in Web of Science")</f>
        <v>View Full Record in Web of Science</v>
      </c>
    </row>
    <row r="975" spans="1:72" x14ac:dyDescent="0.15">
      <c r="A975" t="s">
        <v>72</v>
      </c>
      <c r="B975" t="s">
        <v>18120</v>
      </c>
      <c r="C975" t="s">
        <v>74</v>
      </c>
      <c r="D975" t="s">
        <v>74</v>
      </c>
      <c r="E975" t="s">
        <v>74</v>
      </c>
      <c r="F975" t="s">
        <v>18121</v>
      </c>
      <c r="G975" t="s">
        <v>74</v>
      </c>
      <c r="H975" t="s">
        <v>74</v>
      </c>
      <c r="I975" t="s">
        <v>18122</v>
      </c>
      <c r="J975" t="s">
        <v>17497</v>
      </c>
      <c r="K975" t="s">
        <v>74</v>
      </c>
      <c r="L975" t="s">
        <v>74</v>
      </c>
      <c r="M975" t="s">
        <v>200</v>
      </c>
      <c r="N975" t="s">
        <v>79</v>
      </c>
      <c r="O975" t="s">
        <v>74</v>
      </c>
      <c r="P975" t="s">
        <v>74</v>
      </c>
      <c r="Q975" t="s">
        <v>74</v>
      </c>
      <c r="R975" t="s">
        <v>74</v>
      </c>
      <c r="S975" t="s">
        <v>74</v>
      </c>
      <c r="T975" t="s">
        <v>74</v>
      </c>
      <c r="U975" t="s">
        <v>18123</v>
      </c>
      <c r="V975" t="s">
        <v>18124</v>
      </c>
      <c r="W975" t="s">
        <v>18125</v>
      </c>
      <c r="X975" t="s">
        <v>18126</v>
      </c>
      <c r="Y975" t="s">
        <v>18127</v>
      </c>
      <c r="Z975" t="s">
        <v>18128</v>
      </c>
      <c r="AA975" t="s">
        <v>74</v>
      </c>
      <c r="AB975" t="s">
        <v>74</v>
      </c>
      <c r="AC975" t="s">
        <v>74</v>
      </c>
      <c r="AD975" t="s">
        <v>74</v>
      </c>
      <c r="AE975" t="s">
        <v>74</v>
      </c>
      <c r="AF975" t="s">
        <v>74</v>
      </c>
      <c r="AG975">
        <v>44</v>
      </c>
      <c r="AH975">
        <v>7</v>
      </c>
      <c r="AI975">
        <v>9</v>
      </c>
      <c r="AJ975">
        <v>0</v>
      </c>
      <c r="AK975">
        <v>17</v>
      </c>
      <c r="AL975" t="s">
        <v>502</v>
      </c>
      <c r="AM975" t="s">
        <v>503</v>
      </c>
      <c r="AN975" t="s">
        <v>504</v>
      </c>
      <c r="AO975" t="s">
        <v>17503</v>
      </c>
      <c r="AP975" t="s">
        <v>17504</v>
      </c>
      <c r="AQ975" t="s">
        <v>74</v>
      </c>
      <c r="AR975" t="s">
        <v>17505</v>
      </c>
      <c r="AS975" t="s">
        <v>17506</v>
      </c>
      <c r="AT975" t="s">
        <v>16633</v>
      </c>
      <c r="AU975">
        <v>2015</v>
      </c>
      <c r="AV975">
        <v>47</v>
      </c>
      <c r="AW975">
        <v>4</v>
      </c>
      <c r="AX975" t="s">
        <v>74</v>
      </c>
      <c r="AY975" t="s">
        <v>74</v>
      </c>
      <c r="AZ975" t="s">
        <v>74</v>
      </c>
      <c r="BA975" t="s">
        <v>74</v>
      </c>
      <c r="BB975">
        <v>671</v>
      </c>
      <c r="BC975">
        <v>680</v>
      </c>
      <c r="BD975" t="s">
        <v>74</v>
      </c>
      <c r="BE975" t="s">
        <v>18129</v>
      </c>
      <c r="BF975" t="str">
        <f>HYPERLINK("http://dx.doi.org/10.1657/AAAR0014-083","http://dx.doi.org/10.1657/AAAR0014-083")</f>
        <v>http://dx.doi.org/10.1657/AAAR0014-083</v>
      </c>
      <c r="BG975" t="s">
        <v>74</v>
      </c>
      <c r="BH975" t="s">
        <v>74</v>
      </c>
      <c r="BI975">
        <v>10</v>
      </c>
      <c r="BJ975" t="s">
        <v>17508</v>
      </c>
      <c r="BK975" t="s">
        <v>264</v>
      </c>
      <c r="BL975" t="s">
        <v>17509</v>
      </c>
      <c r="BM975" t="s">
        <v>17510</v>
      </c>
      <c r="BN975" t="s">
        <v>74</v>
      </c>
      <c r="BO975" t="s">
        <v>7618</v>
      </c>
      <c r="BP975" t="s">
        <v>74</v>
      </c>
      <c r="BQ975" t="s">
        <v>74</v>
      </c>
      <c r="BR975" t="s">
        <v>100</v>
      </c>
      <c r="BS975" t="s">
        <v>18130</v>
      </c>
      <c r="BT975" t="str">
        <f>HYPERLINK("https%3A%2F%2Fwww.webofscience.com%2Fwos%2Fwoscc%2Ffull-record%2FWOS:000363863300007","View Full Record in Web of Science")</f>
        <v>View Full Record in Web of Science</v>
      </c>
    </row>
    <row r="976" spans="1:72" x14ac:dyDescent="0.15">
      <c r="A976" t="s">
        <v>72</v>
      </c>
      <c r="B976" t="s">
        <v>18131</v>
      </c>
      <c r="C976" t="s">
        <v>74</v>
      </c>
      <c r="D976" t="s">
        <v>74</v>
      </c>
      <c r="E976" t="s">
        <v>74</v>
      </c>
      <c r="F976" t="s">
        <v>18132</v>
      </c>
      <c r="G976" t="s">
        <v>74</v>
      </c>
      <c r="H976" t="s">
        <v>74</v>
      </c>
      <c r="I976" t="s">
        <v>18133</v>
      </c>
      <c r="J976" t="s">
        <v>17497</v>
      </c>
      <c r="K976" t="s">
        <v>74</v>
      </c>
      <c r="L976" t="s">
        <v>74</v>
      </c>
      <c r="M976" t="s">
        <v>200</v>
      </c>
      <c r="N976" t="s">
        <v>79</v>
      </c>
      <c r="O976" t="s">
        <v>74</v>
      </c>
      <c r="P976" t="s">
        <v>74</v>
      </c>
      <c r="Q976" t="s">
        <v>74</v>
      </c>
      <c r="R976" t="s">
        <v>74</v>
      </c>
      <c r="S976" t="s">
        <v>74</v>
      </c>
      <c r="T976" t="s">
        <v>74</v>
      </c>
      <c r="U976" t="s">
        <v>18134</v>
      </c>
      <c r="V976" t="s">
        <v>18135</v>
      </c>
      <c r="W976" t="s">
        <v>18136</v>
      </c>
      <c r="X976" t="s">
        <v>18137</v>
      </c>
      <c r="Y976" t="s">
        <v>18138</v>
      </c>
      <c r="Z976" t="s">
        <v>18139</v>
      </c>
      <c r="AA976" t="s">
        <v>74</v>
      </c>
      <c r="AB976" t="s">
        <v>74</v>
      </c>
      <c r="AC976" t="s">
        <v>18140</v>
      </c>
      <c r="AD976" t="s">
        <v>18141</v>
      </c>
      <c r="AE976" t="s">
        <v>18142</v>
      </c>
      <c r="AF976" t="s">
        <v>74</v>
      </c>
      <c r="AG976">
        <v>66</v>
      </c>
      <c r="AH976">
        <v>41</v>
      </c>
      <c r="AI976">
        <v>51</v>
      </c>
      <c r="AJ976">
        <v>0</v>
      </c>
      <c r="AK976">
        <v>39</v>
      </c>
      <c r="AL976" t="s">
        <v>17501</v>
      </c>
      <c r="AM976" t="s">
        <v>6161</v>
      </c>
      <c r="AN976" t="s">
        <v>17502</v>
      </c>
      <c r="AO976" t="s">
        <v>17503</v>
      </c>
      <c r="AP976" t="s">
        <v>17504</v>
      </c>
      <c r="AQ976" t="s">
        <v>74</v>
      </c>
      <c r="AR976" t="s">
        <v>17505</v>
      </c>
      <c r="AS976" t="s">
        <v>17506</v>
      </c>
      <c r="AT976" t="s">
        <v>16633</v>
      </c>
      <c r="AU976">
        <v>2015</v>
      </c>
      <c r="AV976">
        <v>47</v>
      </c>
      <c r="AW976">
        <v>4</v>
      </c>
      <c r="AX976" t="s">
        <v>74</v>
      </c>
      <c r="AY976" t="s">
        <v>74</v>
      </c>
      <c r="AZ976" t="s">
        <v>74</v>
      </c>
      <c r="BA976" t="s">
        <v>74</v>
      </c>
      <c r="BB976">
        <v>681</v>
      </c>
      <c r="BC976">
        <v>692</v>
      </c>
      <c r="BD976" t="s">
        <v>74</v>
      </c>
      <c r="BE976" t="s">
        <v>18143</v>
      </c>
      <c r="BF976" t="str">
        <f>HYPERLINK("http://dx.doi.org/10.1657/AAAR0014-025","http://dx.doi.org/10.1657/AAAR0014-025")</f>
        <v>http://dx.doi.org/10.1657/AAAR0014-025</v>
      </c>
      <c r="BG976" t="s">
        <v>74</v>
      </c>
      <c r="BH976" t="s">
        <v>74</v>
      </c>
      <c r="BI976">
        <v>12</v>
      </c>
      <c r="BJ976" t="s">
        <v>17508</v>
      </c>
      <c r="BK976" t="s">
        <v>264</v>
      </c>
      <c r="BL976" t="s">
        <v>17509</v>
      </c>
      <c r="BM976" t="s">
        <v>17510</v>
      </c>
      <c r="BN976" t="s">
        <v>74</v>
      </c>
      <c r="BO976" t="s">
        <v>7618</v>
      </c>
      <c r="BP976" t="s">
        <v>74</v>
      </c>
      <c r="BQ976" t="s">
        <v>74</v>
      </c>
      <c r="BR976" t="s">
        <v>100</v>
      </c>
      <c r="BS976" t="s">
        <v>18144</v>
      </c>
      <c r="BT976" t="str">
        <f>HYPERLINK("https%3A%2F%2Fwww.webofscience.com%2Fwos%2Fwoscc%2Ffull-record%2FWOS:000363863300008","View Full Record in Web of Science")</f>
        <v>View Full Record in Web of Science</v>
      </c>
    </row>
    <row r="977" spans="1:72" x14ac:dyDescent="0.15">
      <c r="A977" t="s">
        <v>72</v>
      </c>
      <c r="B977" t="s">
        <v>18145</v>
      </c>
      <c r="C977" t="s">
        <v>74</v>
      </c>
      <c r="D977" t="s">
        <v>74</v>
      </c>
      <c r="E977" t="s">
        <v>74</v>
      </c>
      <c r="F977" t="s">
        <v>18146</v>
      </c>
      <c r="G977" t="s">
        <v>74</v>
      </c>
      <c r="H977" t="s">
        <v>74</v>
      </c>
      <c r="I977" t="s">
        <v>18147</v>
      </c>
      <c r="J977" t="s">
        <v>17497</v>
      </c>
      <c r="K977" t="s">
        <v>74</v>
      </c>
      <c r="L977" t="s">
        <v>74</v>
      </c>
      <c r="M977" t="s">
        <v>200</v>
      </c>
      <c r="N977" t="s">
        <v>79</v>
      </c>
      <c r="O977" t="s">
        <v>74</v>
      </c>
      <c r="P977" t="s">
        <v>74</v>
      </c>
      <c r="Q977" t="s">
        <v>74</v>
      </c>
      <c r="R977" t="s">
        <v>74</v>
      </c>
      <c r="S977" t="s">
        <v>74</v>
      </c>
      <c r="T977" t="s">
        <v>74</v>
      </c>
      <c r="U977" t="s">
        <v>18148</v>
      </c>
      <c r="V977" t="s">
        <v>18149</v>
      </c>
      <c r="W977" t="s">
        <v>18150</v>
      </c>
      <c r="X977" t="s">
        <v>18151</v>
      </c>
      <c r="Y977" t="s">
        <v>18152</v>
      </c>
      <c r="Z977" t="s">
        <v>18153</v>
      </c>
      <c r="AA977" t="s">
        <v>18154</v>
      </c>
      <c r="AB977" t="s">
        <v>18155</v>
      </c>
      <c r="AC977" t="s">
        <v>18156</v>
      </c>
      <c r="AD977" t="s">
        <v>18157</v>
      </c>
      <c r="AE977" t="s">
        <v>18158</v>
      </c>
      <c r="AF977" t="s">
        <v>74</v>
      </c>
      <c r="AG977">
        <v>7</v>
      </c>
      <c r="AH977">
        <v>11</v>
      </c>
      <c r="AI977">
        <v>11</v>
      </c>
      <c r="AJ977">
        <v>3</v>
      </c>
      <c r="AK977">
        <v>45</v>
      </c>
      <c r="AL977" t="s">
        <v>502</v>
      </c>
      <c r="AM977" t="s">
        <v>503</v>
      </c>
      <c r="AN977" t="s">
        <v>504</v>
      </c>
      <c r="AO977" t="s">
        <v>17503</v>
      </c>
      <c r="AP977" t="s">
        <v>17504</v>
      </c>
      <c r="AQ977" t="s">
        <v>74</v>
      </c>
      <c r="AR977" t="s">
        <v>17505</v>
      </c>
      <c r="AS977" t="s">
        <v>17506</v>
      </c>
      <c r="AT977" t="s">
        <v>16633</v>
      </c>
      <c r="AU977">
        <v>2015</v>
      </c>
      <c r="AV977">
        <v>47</v>
      </c>
      <c r="AW977">
        <v>4</v>
      </c>
      <c r="AX977" t="s">
        <v>74</v>
      </c>
      <c r="AY977" t="s">
        <v>74</v>
      </c>
      <c r="AZ977" t="s">
        <v>74</v>
      </c>
      <c r="BA977" t="s">
        <v>74</v>
      </c>
      <c r="BB977">
        <v>693</v>
      </c>
      <c r="BC977">
        <v>702</v>
      </c>
      <c r="BD977" t="s">
        <v>74</v>
      </c>
      <c r="BE977" t="s">
        <v>18159</v>
      </c>
      <c r="BF977" t="str">
        <f>HYPERLINK("http://dx.doi.org/10.1657/AAAR0014-085","http://dx.doi.org/10.1657/AAAR0014-085")</f>
        <v>http://dx.doi.org/10.1657/AAAR0014-085</v>
      </c>
      <c r="BG977" t="s">
        <v>74</v>
      </c>
      <c r="BH977" t="s">
        <v>74</v>
      </c>
      <c r="BI977">
        <v>10</v>
      </c>
      <c r="BJ977" t="s">
        <v>17508</v>
      </c>
      <c r="BK977" t="s">
        <v>264</v>
      </c>
      <c r="BL977" t="s">
        <v>17509</v>
      </c>
      <c r="BM977" t="s">
        <v>17510</v>
      </c>
      <c r="BN977" t="s">
        <v>74</v>
      </c>
      <c r="BO977" t="s">
        <v>5821</v>
      </c>
      <c r="BP977" t="s">
        <v>74</v>
      </c>
      <c r="BQ977" t="s">
        <v>74</v>
      </c>
      <c r="BR977" t="s">
        <v>100</v>
      </c>
      <c r="BS977" t="s">
        <v>18160</v>
      </c>
      <c r="BT977" t="str">
        <f>HYPERLINK("https%3A%2F%2Fwww.webofscience.com%2Fwos%2Fwoscc%2Ffull-record%2FWOS:000363863300009","View Full Record in Web of Science")</f>
        <v>View Full Record in Web of Science</v>
      </c>
    </row>
    <row r="978" spans="1:72" x14ac:dyDescent="0.15">
      <c r="A978" t="s">
        <v>72</v>
      </c>
      <c r="B978" t="s">
        <v>18161</v>
      </c>
      <c r="C978" t="s">
        <v>74</v>
      </c>
      <c r="D978" t="s">
        <v>74</v>
      </c>
      <c r="E978" t="s">
        <v>74</v>
      </c>
      <c r="F978" t="s">
        <v>18162</v>
      </c>
      <c r="G978" t="s">
        <v>74</v>
      </c>
      <c r="H978" t="s">
        <v>74</v>
      </c>
      <c r="I978" t="s">
        <v>18163</v>
      </c>
      <c r="J978" t="s">
        <v>17497</v>
      </c>
      <c r="K978" t="s">
        <v>74</v>
      </c>
      <c r="L978" t="s">
        <v>74</v>
      </c>
      <c r="M978" t="s">
        <v>200</v>
      </c>
      <c r="N978" t="s">
        <v>79</v>
      </c>
      <c r="O978" t="s">
        <v>74</v>
      </c>
      <c r="P978" t="s">
        <v>74</v>
      </c>
      <c r="Q978" t="s">
        <v>74</v>
      </c>
      <c r="R978" t="s">
        <v>74</v>
      </c>
      <c r="S978" t="s">
        <v>74</v>
      </c>
      <c r="T978" t="s">
        <v>74</v>
      </c>
      <c r="U978" t="s">
        <v>18164</v>
      </c>
      <c r="V978" t="s">
        <v>18165</v>
      </c>
      <c r="W978" t="s">
        <v>18166</v>
      </c>
      <c r="X978" t="s">
        <v>18167</v>
      </c>
      <c r="Y978" t="s">
        <v>18168</v>
      </c>
      <c r="Z978" t="s">
        <v>18169</v>
      </c>
      <c r="AA978" t="s">
        <v>18170</v>
      </c>
      <c r="AB978" t="s">
        <v>18171</v>
      </c>
      <c r="AC978" t="s">
        <v>18172</v>
      </c>
      <c r="AD978" t="s">
        <v>18173</v>
      </c>
      <c r="AE978" t="s">
        <v>18174</v>
      </c>
      <c r="AF978" t="s">
        <v>74</v>
      </c>
      <c r="AG978">
        <v>46</v>
      </c>
      <c r="AH978">
        <v>24</v>
      </c>
      <c r="AI978">
        <v>27</v>
      </c>
      <c r="AJ978">
        <v>3</v>
      </c>
      <c r="AK978">
        <v>38</v>
      </c>
      <c r="AL978" t="s">
        <v>502</v>
      </c>
      <c r="AM978" t="s">
        <v>503</v>
      </c>
      <c r="AN978" t="s">
        <v>504</v>
      </c>
      <c r="AO978" t="s">
        <v>17503</v>
      </c>
      <c r="AP978" t="s">
        <v>17504</v>
      </c>
      <c r="AQ978" t="s">
        <v>74</v>
      </c>
      <c r="AR978" t="s">
        <v>17505</v>
      </c>
      <c r="AS978" t="s">
        <v>17506</v>
      </c>
      <c r="AT978" t="s">
        <v>16633</v>
      </c>
      <c r="AU978">
        <v>2015</v>
      </c>
      <c r="AV978">
        <v>47</v>
      </c>
      <c r="AW978">
        <v>4</v>
      </c>
      <c r="AX978" t="s">
        <v>74</v>
      </c>
      <c r="AY978" t="s">
        <v>74</v>
      </c>
      <c r="AZ978" t="s">
        <v>74</v>
      </c>
      <c r="BA978" t="s">
        <v>74</v>
      </c>
      <c r="BB978">
        <v>719</v>
      </c>
      <c r="BC978">
        <v>728</v>
      </c>
      <c r="BD978" t="s">
        <v>74</v>
      </c>
      <c r="BE978" t="s">
        <v>18175</v>
      </c>
      <c r="BF978" t="str">
        <f>HYPERLINK("http://dx.doi.org/10.1657/AAAR00C-13-128","http://dx.doi.org/10.1657/AAAR00C-13-128")</f>
        <v>http://dx.doi.org/10.1657/AAAR00C-13-128</v>
      </c>
      <c r="BG978" t="s">
        <v>74</v>
      </c>
      <c r="BH978" t="s">
        <v>74</v>
      </c>
      <c r="BI978">
        <v>10</v>
      </c>
      <c r="BJ978" t="s">
        <v>17508</v>
      </c>
      <c r="BK978" t="s">
        <v>264</v>
      </c>
      <c r="BL978" t="s">
        <v>17509</v>
      </c>
      <c r="BM978" t="s">
        <v>17510</v>
      </c>
      <c r="BN978" t="s">
        <v>74</v>
      </c>
      <c r="BO978" t="s">
        <v>3183</v>
      </c>
      <c r="BP978" t="s">
        <v>74</v>
      </c>
      <c r="BQ978" t="s">
        <v>74</v>
      </c>
      <c r="BR978" t="s">
        <v>100</v>
      </c>
      <c r="BS978" t="s">
        <v>18176</v>
      </c>
      <c r="BT978" t="str">
        <f>HYPERLINK("https%3A%2F%2Fwww.webofscience.com%2Fwos%2Fwoscc%2Ffull-record%2FWOS:000363863300011","View Full Record in Web of Science")</f>
        <v>View Full Record in Web of Science</v>
      </c>
    </row>
    <row r="979" spans="1:72" x14ac:dyDescent="0.15">
      <c r="A979" t="s">
        <v>72</v>
      </c>
      <c r="B979" t="s">
        <v>18177</v>
      </c>
      <c r="C979" t="s">
        <v>74</v>
      </c>
      <c r="D979" t="s">
        <v>74</v>
      </c>
      <c r="E979" t="s">
        <v>74</v>
      </c>
      <c r="F979" t="s">
        <v>18178</v>
      </c>
      <c r="G979" t="s">
        <v>74</v>
      </c>
      <c r="H979" t="s">
        <v>74</v>
      </c>
      <c r="I979" t="s">
        <v>18179</v>
      </c>
      <c r="J979" t="s">
        <v>17497</v>
      </c>
      <c r="K979" t="s">
        <v>74</v>
      </c>
      <c r="L979" t="s">
        <v>74</v>
      </c>
      <c r="M979" t="s">
        <v>200</v>
      </c>
      <c r="N979" t="s">
        <v>79</v>
      </c>
      <c r="O979" t="s">
        <v>74</v>
      </c>
      <c r="P979" t="s">
        <v>74</v>
      </c>
      <c r="Q979" t="s">
        <v>74</v>
      </c>
      <c r="R979" t="s">
        <v>74</v>
      </c>
      <c r="S979" t="s">
        <v>74</v>
      </c>
      <c r="T979" t="s">
        <v>74</v>
      </c>
      <c r="U979" t="s">
        <v>18180</v>
      </c>
      <c r="V979" t="s">
        <v>18181</v>
      </c>
      <c r="W979" t="s">
        <v>18182</v>
      </c>
      <c r="X979" t="s">
        <v>18183</v>
      </c>
      <c r="Y979" t="s">
        <v>18184</v>
      </c>
      <c r="Z979" t="s">
        <v>18185</v>
      </c>
      <c r="AA979" t="s">
        <v>18186</v>
      </c>
      <c r="AB979" t="s">
        <v>18187</v>
      </c>
      <c r="AC979" t="s">
        <v>18188</v>
      </c>
      <c r="AD979" t="s">
        <v>18189</v>
      </c>
      <c r="AE979" t="s">
        <v>18190</v>
      </c>
      <c r="AF979" t="s">
        <v>74</v>
      </c>
      <c r="AG979">
        <v>66</v>
      </c>
      <c r="AH979">
        <v>40</v>
      </c>
      <c r="AI979">
        <v>44</v>
      </c>
      <c r="AJ979">
        <v>3</v>
      </c>
      <c r="AK979">
        <v>47</v>
      </c>
      <c r="AL979" t="s">
        <v>17501</v>
      </c>
      <c r="AM979" t="s">
        <v>6161</v>
      </c>
      <c r="AN979" t="s">
        <v>17502</v>
      </c>
      <c r="AO979" t="s">
        <v>17503</v>
      </c>
      <c r="AP979" t="s">
        <v>17504</v>
      </c>
      <c r="AQ979" t="s">
        <v>74</v>
      </c>
      <c r="AR979" t="s">
        <v>17505</v>
      </c>
      <c r="AS979" t="s">
        <v>17506</v>
      </c>
      <c r="AT979" t="s">
        <v>16633</v>
      </c>
      <c r="AU979">
        <v>2015</v>
      </c>
      <c r="AV979">
        <v>47</v>
      </c>
      <c r="AW979">
        <v>4</v>
      </c>
      <c r="AX979" t="s">
        <v>74</v>
      </c>
      <c r="AY979" t="s">
        <v>74</v>
      </c>
      <c r="AZ979" t="s">
        <v>74</v>
      </c>
      <c r="BA979" t="s">
        <v>74</v>
      </c>
      <c r="BB979">
        <v>729</v>
      </c>
      <c r="BC979">
        <v>749</v>
      </c>
      <c r="BD979" t="s">
        <v>74</v>
      </c>
      <c r="BE979" t="s">
        <v>18191</v>
      </c>
      <c r="BF979" t="str">
        <f>HYPERLINK("http://dx.doi.org/10.1657/AAAR0014-071","http://dx.doi.org/10.1657/AAAR0014-071")</f>
        <v>http://dx.doi.org/10.1657/AAAR0014-071</v>
      </c>
      <c r="BG979" t="s">
        <v>74</v>
      </c>
      <c r="BH979" t="s">
        <v>74</v>
      </c>
      <c r="BI979">
        <v>21</v>
      </c>
      <c r="BJ979" t="s">
        <v>17508</v>
      </c>
      <c r="BK979" t="s">
        <v>264</v>
      </c>
      <c r="BL979" t="s">
        <v>17509</v>
      </c>
      <c r="BM979" t="s">
        <v>17510</v>
      </c>
      <c r="BN979" t="s">
        <v>74</v>
      </c>
      <c r="BO979" t="s">
        <v>7618</v>
      </c>
      <c r="BP979" t="s">
        <v>74</v>
      </c>
      <c r="BQ979" t="s">
        <v>74</v>
      </c>
      <c r="BR979" t="s">
        <v>100</v>
      </c>
      <c r="BS979" t="s">
        <v>18192</v>
      </c>
      <c r="BT979" t="str">
        <f>HYPERLINK("https%3A%2F%2Fwww.webofscience.com%2Fwos%2Fwoscc%2Ffull-record%2FWOS:000363863300012","View Full Record in Web of Science")</f>
        <v>View Full Record in Web of Science</v>
      </c>
    </row>
    <row r="980" spans="1:72" x14ac:dyDescent="0.15">
      <c r="A980" t="s">
        <v>72</v>
      </c>
      <c r="B980" t="s">
        <v>18193</v>
      </c>
      <c r="C980" t="s">
        <v>74</v>
      </c>
      <c r="D980" t="s">
        <v>74</v>
      </c>
      <c r="E980" t="s">
        <v>74</v>
      </c>
      <c r="F980" t="s">
        <v>18194</v>
      </c>
      <c r="G980" t="s">
        <v>74</v>
      </c>
      <c r="H980" t="s">
        <v>74</v>
      </c>
      <c r="I980" t="s">
        <v>18195</v>
      </c>
      <c r="J980" t="s">
        <v>17497</v>
      </c>
      <c r="K980" t="s">
        <v>74</v>
      </c>
      <c r="L980" t="s">
        <v>74</v>
      </c>
      <c r="M980" t="s">
        <v>200</v>
      </c>
      <c r="N980" t="s">
        <v>79</v>
      </c>
      <c r="O980" t="s">
        <v>74</v>
      </c>
      <c r="P980" t="s">
        <v>74</v>
      </c>
      <c r="Q980" t="s">
        <v>74</v>
      </c>
      <c r="R980" t="s">
        <v>74</v>
      </c>
      <c r="S980" t="s">
        <v>74</v>
      </c>
      <c r="T980" t="s">
        <v>74</v>
      </c>
      <c r="U980" t="s">
        <v>18196</v>
      </c>
      <c r="V980" t="s">
        <v>18197</v>
      </c>
      <c r="W980" t="s">
        <v>18198</v>
      </c>
      <c r="X980" t="s">
        <v>18199</v>
      </c>
      <c r="Y980" t="s">
        <v>18200</v>
      </c>
      <c r="Z980" t="s">
        <v>18201</v>
      </c>
      <c r="AA980" t="s">
        <v>18202</v>
      </c>
      <c r="AB980" t="s">
        <v>18203</v>
      </c>
      <c r="AC980" t="s">
        <v>18204</v>
      </c>
      <c r="AD980" t="s">
        <v>18205</v>
      </c>
      <c r="AE980" t="s">
        <v>18206</v>
      </c>
      <c r="AF980" t="s">
        <v>74</v>
      </c>
      <c r="AG980">
        <v>75</v>
      </c>
      <c r="AH980">
        <v>40</v>
      </c>
      <c r="AI980">
        <v>44</v>
      </c>
      <c r="AJ980">
        <v>1</v>
      </c>
      <c r="AK980">
        <v>49</v>
      </c>
      <c r="AL980" t="s">
        <v>502</v>
      </c>
      <c r="AM980" t="s">
        <v>503</v>
      </c>
      <c r="AN980" t="s">
        <v>504</v>
      </c>
      <c r="AO980" t="s">
        <v>17503</v>
      </c>
      <c r="AP980" t="s">
        <v>17504</v>
      </c>
      <c r="AQ980" t="s">
        <v>74</v>
      </c>
      <c r="AR980" t="s">
        <v>17505</v>
      </c>
      <c r="AS980" t="s">
        <v>17506</v>
      </c>
      <c r="AT980" t="s">
        <v>16633</v>
      </c>
      <c r="AU980">
        <v>2015</v>
      </c>
      <c r="AV980">
        <v>47</v>
      </c>
      <c r="AW980">
        <v>4</v>
      </c>
      <c r="AX980" t="s">
        <v>74</v>
      </c>
      <c r="AY980" t="s">
        <v>74</v>
      </c>
      <c r="AZ980" t="s">
        <v>74</v>
      </c>
      <c r="BA980" t="s">
        <v>74</v>
      </c>
      <c r="BB980">
        <v>773</v>
      </c>
      <c r="BC980">
        <v>783</v>
      </c>
      <c r="BD980" t="s">
        <v>74</v>
      </c>
      <c r="BE980" t="s">
        <v>18207</v>
      </c>
      <c r="BF980" t="str">
        <f>HYPERLINK("http://dx.doi.org/10.1657/AAAR0015-001","http://dx.doi.org/10.1657/AAAR0015-001")</f>
        <v>http://dx.doi.org/10.1657/AAAR0015-001</v>
      </c>
      <c r="BG980" t="s">
        <v>74</v>
      </c>
      <c r="BH980" t="s">
        <v>74</v>
      </c>
      <c r="BI980">
        <v>11</v>
      </c>
      <c r="BJ980" t="s">
        <v>17508</v>
      </c>
      <c r="BK980" t="s">
        <v>264</v>
      </c>
      <c r="BL980" t="s">
        <v>17509</v>
      </c>
      <c r="BM980" t="s">
        <v>17510</v>
      </c>
      <c r="BN980" t="s">
        <v>74</v>
      </c>
      <c r="BO980" t="s">
        <v>5821</v>
      </c>
      <c r="BP980" t="s">
        <v>74</v>
      </c>
      <c r="BQ980" t="s">
        <v>74</v>
      </c>
      <c r="BR980" t="s">
        <v>100</v>
      </c>
      <c r="BS980" t="s">
        <v>18208</v>
      </c>
      <c r="BT980" t="str">
        <f>HYPERLINK("https%3A%2F%2Fwww.webofscience.com%2Fwos%2Fwoscc%2Ffull-record%2FWOS:000363863300014","View Full Record in Web of Science")</f>
        <v>View Full Record in Web of Science</v>
      </c>
    </row>
    <row r="981" spans="1:72" x14ac:dyDescent="0.15">
      <c r="A981" t="s">
        <v>72</v>
      </c>
      <c r="B981" t="s">
        <v>18209</v>
      </c>
      <c r="C981" t="s">
        <v>74</v>
      </c>
      <c r="D981" t="s">
        <v>74</v>
      </c>
      <c r="E981" t="s">
        <v>74</v>
      </c>
      <c r="F981" t="s">
        <v>18210</v>
      </c>
      <c r="G981" t="s">
        <v>74</v>
      </c>
      <c r="H981" t="s">
        <v>74</v>
      </c>
      <c r="I981" t="s">
        <v>18211</v>
      </c>
      <c r="J981" t="s">
        <v>18212</v>
      </c>
      <c r="K981" t="s">
        <v>74</v>
      </c>
      <c r="L981" t="s">
        <v>74</v>
      </c>
      <c r="M981" t="s">
        <v>200</v>
      </c>
      <c r="N981" t="s">
        <v>79</v>
      </c>
      <c r="O981" t="s">
        <v>74</v>
      </c>
      <c r="P981" t="s">
        <v>74</v>
      </c>
      <c r="Q981" t="s">
        <v>74</v>
      </c>
      <c r="R981" t="s">
        <v>74</v>
      </c>
      <c r="S981" t="s">
        <v>74</v>
      </c>
      <c r="T981" t="s">
        <v>18213</v>
      </c>
      <c r="U981" t="s">
        <v>18214</v>
      </c>
      <c r="V981" t="s">
        <v>18215</v>
      </c>
      <c r="W981" t="s">
        <v>18216</v>
      </c>
      <c r="X981" t="s">
        <v>18217</v>
      </c>
      <c r="Y981" t="s">
        <v>18218</v>
      </c>
      <c r="Z981" t="s">
        <v>18219</v>
      </c>
      <c r="AA981" t="s">
        <v>18220</v>
      </c>
      <c r="AB981" t="s">
        <v>74</v>
      </c>
      <c r="AC981" t="s">
        <v>74</v>
      </c>
      <c r="AD981" t="s">
        <v>74</v>
      </c>
      <c r="AE981" t="s">
        <v>74</v>
      </c>
      <c r="AF981" t="s">
        <v>74</v>
      </c>
      <c r="AG981">
        <v>33</v>
      </c>
      <c r="AH981">
        <v>16</v>
      </c>
      <c r="AI981">
        <v>17</v>
      </c>
      <c r="AJ981">
        <v>0</v>
      </c>
      <c r="AK981">
        <v>6</v>
      </c>
      <c r="AL981" t="s">
        <v>13141</v>
      </c>
      <c r="AM981" t="s">
        <v>88</v>
      </c>
      <c r="AN981" t="s">
        <v>13142</v>
      </c>
      <c r="AO981" t="s">
        <v>18221</v>
      </c>
      <c r="AP981" t="s">
        <v>18222</v>
      </c>
      <c r="AQ981" t="s">
        <v>74</v>
      </c>
      <c r="AR981" t="s">
        <v>18223</v>
      </c>
      <c r="AS981" t="s">
        <v>18224</v>
      </c>
      <c r="AT981" t="s">
        <v>16633</v>
      </c>
      <c r="AU981">
        <v>2015</v>
      </c>
      <c r="AV981">
        <v>28</v>
      </c>
      <c r="AW981">
        <v>6</v>
      </c>
      <c r="AX981" t="s">
        <v>74</v>
      </c>
      <c r="AY981" t="s">
        <v>74</v>
      </c>
      <c r="AZ981" t="s">
        <v>74</v>
      </c>
      <c r="BA981" t="s">
        <v>74</v>
      </c>
      <c r="BB981">
        <v>575</v>
      </c>
      <c r="BC981">
        <v>584</v>
      </c>
      <c r="BD981" t="s">
        <v>74</v>
      </c>
      <c r="BE981" t="s">
        <v>18225</v>
      </c>
      <c r="BF981" t="str">
        <f>HYPERLINK("http://dx.doi.org/10.1134/S1024856015060196","http://dx.doi.org/10.1134/S1024856015060196")</f>
        <v>http://dx.doi.org/10.1134/S1024856015060196</v>
      </c>
      <c r="BG981" t="s">
        <v>74</v>
      </c>
      <c r="BH981" t="s">
        <v>74</v>
      </c>
      <c r="BI981">
        <v>10</v>
      </c>
      <c r="BJ981" t="s">
        <v>16366</v>
      </c>
      <c r="BK981" t="s">
        <v>96</v>
      </c>
      <c r="BL981" t="s">
        <v>16366</v>
      </c>
      <c r="BM981" t="s">
        <v>18226</v>
      </c>
      <c r="BN981" t="s">
        <v>74</v>
      </c>
      <c r="BO981" t="s">
        <v>74</v>
      </c>
      <c r="BP981" t="s">
        <v>74</v>
      </c>
      <c r="BQ981" t="s">
        <v>74</v>
      </c>
      <c r="BR981" t="s">
        <v>100</v>
      </c>
      <c r="BS981" t="s">
        <v>18227</v>
      </c>
      <c r="BT981" t="str">
        <f>HYPERLINK("https%3A%2F%2Fwww.webofscience.com%2Fwos%2Fwoscc%2Ffull-record%2FWOS:000428980300014","View Full Record in Web of Science")</f>
        <v>View Full Record in Web of Science</v>
      </c>
    </row>
    <row r="982" spans="1:72" x14ac:dyDescent="0.15">
      <c r="A982" t="s">
        <v>72</v>
      </c>
      <c r="B982" t="s">
        <v>18228</v>
      </c>
      <c r="C982" t="s">
        <v>74</v>
      </c>
      <c r="D982" t="s">
        <v>74</v>
      </c>
      <c r="E982" t="s">
        <v>74</v>
      </c>
      <c r="F982" t="s">
        <v>18229</v>
      </c>
      <c r="G982" t="s">
        <v>74</v>
      </c>
      <c r="H982" t="s">
        <v>74</v>
      </c>
      <c r="I982" t="s">
        <v>18230</v>
      </c>
      <c r="J982" t="s">
        <v>18231</v>
      </c>
      <c r="K982" t="s">
        <v>74</v>
      </c>
      <c r="L982" t="s">
        <v>74</v>
      </c>
      <c r="M982" t="s">
        <v>200</v>
      </c>
      <c r="N982" t="s">
        <v>79</v>
      </c>
      <c r="O982" t="s">
        <v>74</v>
      </c>
      <c r="P982" t="s">
        <v>74</v>
      </c>
      <c r="Q982" t="s">
        <v>74</v>
      </c>
      <c r="R982" t="s">
        <v>74</v>
      </c>
      <c r="S982" t="s">
        <v>74</v>
      </c>
      <c r="T982" t="s">
        <v>18232</v>
      </c>
      <c r="U982" t="s">
        <v>18233</v>
      </c>
      <c r="V982" t="s">
        <v>18234</v>
      </c>
      <c r="W982" t="s">
        <v>18235</v>
      </c>
      <c r="X982" t="s">
        <v>18236</v>
      </c>
      <c r="Y982" t="s">
        <v>18237</v>
      </c>
      <c r="Z982" t="s">
        <v>18238</v>
      </c>
      <c r="AA982" t="s">
        <v>18239</v>
      </c>
      <c r="AB982" t="s">
        <v>18240</v>
      </c>
      <c r="AC982" t="s">
        <v>18241</v>
      </c>
      <c r="AD982" t="s">
        <v>18242</v>
      </c>
      <c r="AE982" t="s">
        <v>18243</v>
      </c>
      <c r="AF982" t="s">
        <v>74</v>
      </c>
      <c r="AG982">
        <v>45</v>
      </c>
      <c r="AH982">
        <v>16</v>
      </c>
      <c r="AI982">
        <v>18</v>
      </c>
      <c r="AJ982">
        <v>5</v>
      </c>
      <c r="AK982">
        <v>48</v>
      </c>
      <c r="AL982" t="s">
        <v>5888</v>
      </c>
      <c r="AM982" t="s">
        <v>1386</v>
      </c>
      <c r="AN982" t="s">
        <v>5889</v>
      </c>
      <c r="AO982" t="s">
        <v>18244</v>
      </c>
      <c r="AP982" t="s">
        <v>18245</v>
      </c>
      <c r="AQ982" t="s">
        <v>74</v>
      </c>
      <c r="AR982" t="s">
        <v>18231</v>
      </c>
      <c r="AS982" t="s">
        <v>18246</v>
      </c>
      <c r="AT982" t="s">
        <v>16633</v>
      </c>
      <c r="AU982">
        <v>2015</v>
      </c>
      <c r="AV982">
        <v>138</v>
      </c>
      <c r="AW982" t="s">
        <v>74</v>
      </c>
      <c r="AX982" t="s">
        <v>74</v>
      </c>
      <c r="AY982" t="s">
        <v>74</v>
      </c>
      <c r="AZ982" t="s">
        <v>74</v>
      </c>
      <c r="BA982" t="s">
        <v>74</v>
      </c>
      <c r="BB982">
        <v>916</v>
      </c>
      <c r="BC982">
        <v>923</v>
      </c>
      <c r="BD982" t="s">
        <v>74</v>
      </c>
      <c r="BE982" t="s">
        <v>18247</v>
      </c>
      <c r="BF982" t="str">
        <f>HYPERLINK("http://dx.doi.org/10.1016/j.chemosphere.2014.10.094","http://dx.doi.org/10.1016/j.chemosphere.2014.10.094")</f>
        <v>http://dx.doi.org/10.1016/j.chemosphere.2014.10.094</v>
      </c>
      <c r="BG982" t="s">
        <v>74</v>
      </c>
      <c r="BH982" t="s">
        <v>74</v>
      </c>
      <c r="BI982">
        <v>8</v>
      </c>
      <c r="BJ982" t="s">
        <v>5155</v>
      </c>
      <c r="BK982" t="s">
        <v>264</v>
      </c>
      <c r="BL982" t="s">
        <v>2887</v>
      </c>
      <c r="BM982" t="s">
        <v>18248</v>
      </c>
      <c r="BN982">
        <v>25550109</v>
      </c>
      <c r="BO982" t="s">
        <v>74</v>
      </c>
      <c r="BP982" t="s">
        <v>74</v>
      </c>
      <c r="BQ982" t="s">
        <v>74</v>
      </c>
      <c r="BR982" t="s">
        <v>100</v>
      </c>
      <c r="BS982" t="s">
        <v>18249</v>
      </c>
      <c r="BT982" t="str">
        <f>HYPERLINK("https%3A%2F%2Fwww.webofscience.com%2Fwos%2Fwoscc%2Ffull-record%2FWOS:000361772800120","View Full Record in Web of Science")</f>
        <v>View Full Record in Web of Science</v>
      </c>
    </row>
    <row r="983" spans="1:72" x14ac:dyDescent="0.15">
      <c r="A983" t="s">
        <v>72</v>
      </c>
      <c r="B983" t="s">
        <v>18250</v>
      </c>
      <c r="C983" t="s">
        <v>74</v>
      </c>
      <c r="D983" t="s">
        <v>74</v>
      </c>
      <c r="E983" t="s">
        <v>74</v>
      </c>
      <c r="F983" t="s">
        <v>18251</v>
      </c>
      <c r="G983" t="s">
        <v>74</v>
      </c>
      <c r="H983" t="s">
        <v>74</v>
      </c>
      <c r="I983" t="s">
        <v>18252</v>
      </c>
      <c r="J983" t="s">
        <v>6092</v>
      </c>
      <c r="K983" t="s">
        <v>74</v>
      </c>
      <c r="L983" t="s">
        <v>74</v>
      </c>
      <c r="M983" t="s">
        <v>200</v>
      </c>
      <c r="N983" t="s">
        <v>79</v>
      </c>
      <c r="O983" t="s">
        <v>74</v>
      </c>
      <c r="P983" t="s">
        <v>74</v>
      </c>
      <c r="Q983" t="s">
        <v>74</v>
      </c>
      <c r="R983" t="s">
        <v>74</v>
      </c>
      <c r="S983" t="s">
        <v>74</v>
      </c>
      <c r="T983" t="s">
        <v>18253</v>
      </c>
      <c r="U983" t="s">
        <v>18254</v>
      </c>
      <c r="V983" t="s">
        <v>18255</v>
      </c>
      <c r="W983" t="s">
        <v>18256</v>
      </c>
      <c r="X983" t="s">
        <v>18257</v>
      </c>
      <c r="Y983" t="s">
        <v>18258</v>
      </c>
      <c r="Z983" t="s">
        <v>18259</v>
      </c>
      <c r="AA983" t="s">
        <v>18260</v>
      </c>
      <c r="AB983" t="s">
        <v>18261</v>
      </c>
      <c r="AC983" t="s">
        <v>18262</v>
      </c>
      <c r="AD983" t="s">
        <v>18263</v>
      </c>
      <c r="AE983" t="s">
        <v>18264</v>
      </c>
      <c r="AF983" t="s">
        <v>74</v>
      </c>
      <c r="AG983">
        <v>77</v>
      </c>
      <c r="AH983">
        <v>10</v>
      </c>
      <c r="AI983">
        <v>10</v>
      </c>
      <c r="AJ983">
        <v>2</v>
      </c>
      <c r="AK983">
        <v>30</v>
      </c>
      <c r="AL983" t="s">
        <v>3560</v>
      </c>
      <c r="AM983" t="s">
        <v>289</v>
      </c>
      <c r="AN983" t="s">
        <v>6124</v>
      </c>
      <c r="AO983" t="s">
        <v>6102</v>
      </c>
      <c r="AP983" t="s">
        <v>6103</v>
      </c>
      <c r="AQ983" t="s">
        <v>74</v>
      </c>
      <c r="AR983" t="s">
        <v>6104</v>
      </c>
      <c r="AS983" t="s">
        <v>6105</v>
      </c>
      <c r="AT983" t="s">
        <v>16633</v>
      </c>
      <c r="AU983">
        <v>2015</v>
      </c>
      <c r="AV983">
        <v>45</v>
      </c>
      <c r="AW983" t="s">
        <v>18265</v>
      </c>
      <c r="AX983" t="s">
        <v>74</v>
      </c>
      <c r="AY983" t="s">
        <v>74</v>
      </c>
      <c r="AZ983" t="s">
        <v>74</v>
      </c>
      <c r="BA983" t="s">
        <v>74</v>
      </c>
      <c r="BB983">
        <v>2885</v>
      </c>
      <c r="BC983">
        <v>2899</v>
      </c>
      <c r="BD983" t="s">
        <v>74</v>
      </c>
      <c r="BE983" t="s">
        <v>18266</v>
      </c>
      <c r="BF983" t="str">
        <f>HYPERLINK("http://dx.doi.org/10.1007/s00382-015-2512-6","http://dx.doi.org/10.1007/s00382-015-2512-6")</f>
        <v>http://dx.doi.org/10.1007/s00382-015-2512-6</v>
      </c>
      <c r="BG983" t="s">
        <v>74</v>
      </c>
      <c r="BH983" t="s">
        <v>74</v>
      </c>
      <c r="BI983">
        <v>15</v>
      </c>
      <c r="BJ983" t="s">
        <v>1721</v>
      </c>
      <c r="BK983" t="s">
        <v>264</v>
      </c>
      <c r="BL983" t="s">
        <v>1721</v>
      </c>
      <c r="BM983" t="s">
        <v>18267</v>
      </c>
      <c r="BN983" t="s">
        <v>74</v>
      </c>
      <c r="BO983" t="s">
        <v>241</v>
      </c>
      <c r="BP983" t="s">
        <v>74</v>
      </c>
      <c r="BQ983" t="s">
        <v>74</v>
      </c>
      <c r="BR983" t="s">
        <v>100</v>
      </c>
      <c r="BS983" t="s">
        <v>18268</v>
      </c>
      <c r="BT983" t="str">
        <f>HYPERLINK("https%3A%2F%2Fwww.webofscience.com%2Fwos%2Fwoscc%2Ffull-record%2FWOS:000363952100036","View Full Record in Web of Science")</f>
        <v>View Full Record in Web of Science</v>
      </c>
    </row>
    <row r="984" spans="1:72" x14ac:dyDescent="0.15">
      <c r="A984" t="s">
        <v>72</v>
      </c>
      <c r="B984" t="s">
        <v>18269</v>
      </c>
      <c r="C984" t="s">
        <v>74</v>
      </c>
      <c r="D984" t="s">
        <v>74</v>
      </c>
      <c r="E984" t="s">
        <v>74</v>
      </c>
      <c r="F984" t="s">
        <v>18270</v>
      </c>
      <c r="G984" t="s">
        <v>74</v>
      </c>
      <c r="H984" t="s">
        <v>74</v>
      </c>
      <c r="I984" t="s">
        <v>18271</v>
      </c>
      <c r="J984" t="s">
        <v>14414</v>
      </c>
      <c r="K984" t="s">
        <v>74</v>
      </c>
      <c r="L984" t="s">
        <v>74</v>
      </c>
      <c r="M984" t="s">
        <v>200</v>
      </c>
      <c r="N984" t="s">
        <v>79</v>
      </c>
      <c r="O984" t="s">
        <v>74</v>
      </c>
      <c r="P984" t="s">
        <v>74</v>
      </c>
      <c r="Q984" t="s">
        <v>74</v>
      </c>
      <c r="R984" t="s">
        <v>74</v>
      </c>
      <c r="S984" t="s">
        <v>74</v>
      </c>
      <c r="T984" t="s">
        <v>18272</v>
      </c>
      <c r="U984" t="s">
        <v>18273</v>
      </c>
      <c r="V984" t="s">
        <v>18274</v>
      </c>
      <c r="W984" t="s">
        <v>18275</v>
      </c>
      <c r="X984" t="s">
        <v>18276</v>
      </c>
      <c r="Y984" t="s">
        <v>18277</v>
      </c>
      <c r="Z984" t="s">
        <v>18278</v>
      </c>
      <c r="AA984" t="s">
        <v>74</v>
      </c>
      <c r="AB984" t="s">
        <v>18279</v>
      </c>
      <c r="AC984" t="s">
        <v>18280</v>
      </c>
      <c r="AD984" t="s">
        <v>18281</v>
      </c>
      <c r="AE984" t="s">
        <v>18282</v>
      </c>
      <c r="AF984" t="s">
        <v>74</v>
      </c>
      <c r="AG984">
        <v>48</v>
      </c>
      <c r="AH984">
        <v>37</v>
      </c>
      <c r="AI984">
        <v>37</v>
      </c>
      <c r="AJ984">
        <v>1</v>
      </c>
      <c r="AK984">
        <v>41</v>
      </c>
      <c r="AL984" t="s">
        <v>208</v>
      </c>
      <c r="AM984" t="s">
        <v>209</v>
      </c>
      <c r="AN984" t="s">
        <v>7114</v>
      </c>
      <c r="AO984" t="s">
        <v>14423</v>
      </c>
      <c r="AP984" t="s">
        <v>14424</v>
      </c>
      <c r="AQ984" t="s">
        <v>74</v>
      </c>
      <c r="AR984" t="s">
        <v>14425</v>
      </c>
      <c r="AS984" t="s">
        <v>14426</v>
      </c>
      <c r="AT984" t="s">
        <v>16633</v>
      </c>
      <c r="AU984">
        <v>2015</v>
      </c>
      <c r="AV984">
        <v>119</v>
      </c>
      <c r="AW984" t="s">
        <v>74</v>
      </c>
      <c r="AX984" t="s">
        <v>74</v>
      </c>
      <c r="AY984" t="s">
        <v>74</v>
      </c>
      <c r="AZ984" t="s">
        <v>74</v>
      </c>
      <c r="BA984" t="s">
        <v>74</v>
      </c>
      <c r="BB984">
        <v>61</v>
      </c>
      <c r="BC984">
        <v>67</v>
      </c>
      <c r="BD984" t="s">
        <v>74</v>
      </c>
      <c r="BE984" t="s">
        <v>18283</v>
      </c>
      <c r="BF984" t="str">
        <f>HYPERLINK("http://dx.doi.org/10.1016/j.coldregions.2015.07.005","http://dx.doi.org/10.1016/j.coldregions.2015.07.005")</f>
        <v>http://dx.doi.org/10.1016/j.coldregions.2015.07.005</v>
      </c>
      <c r="BG984" t="s">
        <v>74</v>
      </c>
      <c r="BH984" t="s">
        <v>74</v>
      </c>
      <c r="BI984">
        <v>7</v>
      </c>
      <c r="BJ984" t="s">
        <v>14428</v>
      </c>
      <c r="BK984" t="s">
        <v>264</v>
      </c>
      <c r="BL984" t="s">
        <v>14429</v>
      </c>
      <c r="BM984" t="s">
        <v>18284</v>
      </c>
      <c r="BN984" t="s">
        <v>74</v>
      </c>
      <c r="BO984" t="s">
        <v>241</v>
      </c>
      <c r="BP984" t="s">
        <v>74</v>
      </c>
      <c r="BQ984" t="s">
        <v>74</v>
      </c>
      <c r="BR984" t="s">
        <v>100</v>
      </c>
      <c r="BS984" t="s">
        <v>18285</v>
      </c>
      <c r="BT984" t="str">
        <f>HYPERLINK("https%3A%2F%2Fwww.webofscience.com%2Fwos%2Fwoscc%2Ffull-record%2FWOS:000362381900006","View Full Record in Web of Science")</f>
        <v>View Full Record in Web of Science</v>
      </c>
    </row>
    <row r="985" spans="1:72" x14ac:dyDescent="0.15">
      <c r="A985" t="s">
        <v>72</v>
      </c>
      <c r="B985" t="s">
        <v>18286</v>
      </c>
      <c r="C985" t="s">
        <v>74</v>
      </c>
      <c r="D985" t="s">
        <v>74</v>
      </c>
      <c r="E985" t="s">
        <v>74</v>
      </c>
      <c r="F985" t="s">
        <v>18287</v>
      </c>
      <c r="G985" t="s">
        <v>74</v>
      </c>
      <c r="H985" t="s">
        <v>74</v>
      </c>
      <c r="I985" t="s">
        <v>18288</v>
      </c>
      <c r="J985" t="s">
        <v>5875</v>
      </c>
      <c r="K985" t="s">
        <v>74</v>
      </c>
      <c r="L985" t="s">
        <v>74</v>
      </c>
      <c r="M985" t="s">
        <v>200</v>
      </c>
      <c r="N985" t="s">
        <v>79</v>
      </c>
      <c r="O985" t="s">
        <v>74</v>
      </c>
      <c r="P985" t="s">
        <v>74</v>
      </c>
      <c r="Q985" t="s">
        <v>74</v>
      </c>
      <c r="R985" t="s">
        <v>74</v>
      </c>
      <c r="S985" t="s">
        <v>74</v>
      </c>
      <c r="T985" t="s">
        <v>18289</v>
      </c>
      <c r="U985" t="s">
        <v>18290</v>
      </c>
      <c r="V985" t="s">
        <v>18291</v>
      </c>
      <c r="W985" t="s">
        <v>18292</v>
      </c>
      <c r="X985" t="s">
        <v>18293</v>
      </c>
      <c r="Y985" t="s">
        <v>18294</v>
      </c>
      <c r="Z985" t="s">
        <v>18295</v>
      </c>
      <c r="AA985" t="s">
        <v>74</v>
      </c>
      <c r="AB985" t="s">
        <v>74</v>
      </c>
      <c r="AC985" t="s">
        <v>18296</v>
      </c>
      <c r="AD985" t="s">
        <v>18297</v>
      </c>
      <c r="AE985" t="s">
        <v>18298</v>
      </c>
      <c r="AF985" t="s">
        <v>74</v>
      </c>
      <c r="AG985">
        <v>55</v>
      </c>
      <c r="AH985">
        <v>15</v>
      </c>
      <c r="AI985">
        <v>16</v>
      </c>
      <c r="AJ985">
        <v>1</v>
      </c>
      <c r="AK985">
        <v>14</v>
      </c>
      <c r="AL985" t="s">
        <v>5888</v>
      </c>
      <c r="AM985" t="s">
        <v>1386</v>
      </c>
      <c r="AN985" t="s">
        <v>5889</v>
      </c>
      <c r="AO985" t="s">
        <v>5890</v>
      </c>
      <c r="AP985" t="s">
        <v>5891</v>
      </c>
      <c r="AQ985" t="s">
        <v>74</v>
      </c>
      <c r="AR985" t="s">
        <v>5892</v>
      </c>
      <c r="AS985" t="s">
        <v>5893</v>
      </c>
      <c r="AT985" t="s">
        <v>16633</v>
      </c>
      <c r="AU985">
        <v>2015</v>
      </c>
      <c r="AV985">
        <v>121</v>
      </c>
      <c r="AW985" t="s">
        <v>74</v>
      </c>
      <c r="AX985" t="s">
        <v>74</v>
      </c>
      <c r="AY985" t="s">
        <v>74</v>
      </c>
      <c r="AZ985" t="s">
        <v>2540</v>
      </c>
      <c r="BA985" t="s">
        <v>74</v>
      </c>
      <c r="BB985">
        <v>53</v>
      </c>
      <c r="BC985">
        <v>61</v>
      </c>
      <c r="BD985" t="s">
        <v>74</v>
      </c>
      <c r="BE985" t="s">
        <v>18299</v>
      </c>
      <c r="BF985" t="str">
        <f>HYPERLINK("http://dx.doi.org/10.1016/j.dsr2.2015.04.028","http://dx.doi.org/10.1016/j.dsr2.2015.04.028")</f>
        <v>http://dx.doi.org/10.1016/j.dsr2.2015.04.028</v>
      </c>
      <c r="BG985" t="s">
        <v>74</v>
      </c>
      <c r="BH985" t="s">
        <v>74</v>
      </c>
      <c r="BI985">
        <v>9</v>
      </c>
      <c r="BJ985" t="s">
        <v>5339</v>
      </c>
      <c r="BK985" t="s">
        <v>264</v>
      </c>
      <c r="BL985" t="s">
        <v>5339</v>
      </c>
      <c r="BM985" t="s">
        <v>18300</v>
      </c>
      <c r="BN985" t="s">
        <v>74</v>
      </c>
      <c r="BO985" t="s">
        <v>5581</v>
      </c>
      <c r="BP985" t="s">
        <v>74</v>
      </c>
      <c r="BQ985" t="s">
        <v>74</v>
      </c>
      <c r="BR985" t="s">
        <v>100</v>
      </c>
      <c r="BS985" t="s">
        <v>18301</v>
      </c>
      <c r="BT985" t="str">
        <f>HYPERLINK("https%3A%2F%2Fwww.webofscience.com%2Fwos%2Fwoscc%2Ffull-record%2FWOS:000365379500007","View Full Record in Web of Science")</f>
        <v>View Full Record in Web of Science</v>
      </c>
    </row>
    <row r="986" spans="1:72" x14ac:dyDescent="0.15">
      <c r="A986" t="s">
        <v>72</v>
      </c>
      <c r="B986" t="s">
        <v>18302</v>
      </c>
      <c r="C986" t="s">
        <v>74</v>
      </c>
      <c r="D986" t="s">
        <v>74</v>
      </c>
      <c r="E986" t="s">
        <v>74</v>
      </c>
      <c r="F986" t="s">
        <v>18303</v>
      </c>
      <c r="G986" t="s">
        <v>74</v>
      </c>
      <c r="H986" t="s">
        <v>74</v>
      </c>
      <c r="I986" t="s">
        <v>18304</v>
      </c>
      <c r="J986" t="s">
        <v>18305</v>
      </c>
      <c r="K986" t="s">
        <v>74</v>
      </c>
      <c r="L986" t="s">
        <v>74</v>
      </c>
      <c r="M986" t="s">
        <v>200</v>
      </c>
      <c r="N986" t="s">
        <v>79</v>
      </c>
      <c r="O986" t="s">
        <v>74</v>
      </c>
      <c r="P986" t="s">
        <v>74</v>
      </c>
      <c r="Q986" t="s">
        <v>74</v>
      </c>
      <c r="R986" t="s">
        <v>74</v>
      </c>
      <c r="S986" t="s">
        <v>74</v>
      </c>
      <c r="T986" t="s">
        <v>18306</v>
      </c>
      <c r="U986" t="s">
        <v>18307</v>
      </c>
      <c r="V986" t="s">
        <v>18308</v>
      </c>
      <c r="W986" t="s">
        <v>18309</v>
      </c>
      <c r="X986" t="s">
        <v>468</v>
      </c>
      <c r="Y986" t="s">
        <v>18310</v>
      </c>
      <c r="Z986" t="s">
        <v>18311</v>
      </c>
      <c r="AA986" t="s">
        <v>18312</v>
      </c>
      <c r="AB986" t="s">
        <v>18313</v>
      </c>
      <c r="AC986" t="s">
        <v>18314</v>
      </c>
      <c r="AD986" t="s">
        <v>18315</v>
      </c>
      <c r="AE986" t="s">
        <v>18316</v>
      </c>
      <c r="AF986" t="s">
        <v>74</v>
      </c>
      <c r="AG986">
        <v>77</v>
      </c>
      <c r="AH986">
        <v>13</v>
      </c>
      <c r="AI986">
        <v>14</v>
      </c>
      <c r="AJ986">
        <v>1</v>
      </c>
      <c r="AK986">
        <v>52</v>
      </c>
      <c r="AL986" t="s">
        <v>5464</v>
      </c>
      <c r="AM986" t="s">
        <v>5465</v>
      </c>
      <c r="AN986" t="s">
        <v>5466</v>
      </c>
      <c r="AO986" t="s">
        <v>18317</v>
      </c>
      <c r="AP986" t="s">
        <v>18318</v>
      </c>
      <c r="AQ986" t="s">
        <v>74</v>
      </c>
      <c r="AR986" t="s">
        <v>18319</v>
      </c>
      <c r="AS986" t="s">
        <v>18320</v>
      </c>
      <c r="AT986" t="s">
        <v>16633</v>
      </c>
      <c r="AU986">
        <v>2015</v>
      </c>
      <c r="AV986">
        <v>21</v>
      </c>
      <c r="AW986">
        <v>11</v>
      </c>
      <c r="AX986" t="s">
        <v>74</v>
      </c>
      <c r="AY986" t="s">
        <v>74</v>
      </c>
      <c r="AZ986" t="s">
        <v>74</v>
      </c>
      <c r="BA986" t="s">
        <v>74</v>
      </c>
      <c r="BB986">
        <v>1339</v>
      </c>
      <c r="BC986">
        <v>1348</v>
      </c>
      <c r="BD986" t="s">
        <v>74</v>
      </c>
      <c r="BE986" t="s">
        <v>18321</v>
      </c>
      <c r="BF986" t="str">
        <f>HYPERLINK("http://dx.doi.org/10.1111/ddi.12366","http://dx.doi.org/10.1111/ddi.12366")</f>
        <v>http://dx.doi.org/10.1111/ddi.12366</v>
      </c>
      <c r="BG986" t="s">
        <v>74</v>
      </c>
      <c r="BH986" t="s">
        <v>74</v>
      </c>
      <c r="BI986">
        <v>10</v>
      </c>
      <c r="BJ986" t="s">
        <v>6475</v>
      </c>
      <c r="BK986" t="s">
        <v>264</v>
      </c>
      <c r="BL986" t="s">
        <v>6476</v>
      </c>
      <c r="BM986" t="s">
        <v>18322</v>
      </c>
      <c r="BN986" t="s">
        <v>74</v>
      </c>
      <c r="BO986" t="s">
        <v>8238</v>
      </c>
      <c r="BP986" t="s">
        <v>74</v>
      </c>
      <c r="BQ986" t="s">
        <v>74</v>
      </c>
      <c r="BR986" t="s">
        <v>100</v>
      </c>
      <c r="BS986" t="s">
        <v>18323</v>
      </c>
      <c r="BT986" t="str">
        <f>HYPERLINK("https%3A%2F%2Fwww.webofscience.com%2Fwos%2Fwoscc%2Ffull-record%2FWOS:000362795700007","View Full Record in Web of Science")</f>
        <v>View Full Record in Web of Science</v>
      </c>
    </row>
    <row r="987" spans="1:72" x14ac:dyDescent="0.15">
      <c r="A987" t="s">
        <v>72</v>
      </c>
      <c r="B987" t="s">
        <v>18324</v>
      </c>
      <c r="C987" t="s">
        <v>74</v>
      </c>
      <c r="D987" t="s">
        <v>74</v>
      </c>
      <c r="E987" t="s">
        <v>74</v>
      </c>
      <c r="F987" t="s">
        <v>18325</v>
      </c>
      <c r="G987" t="s">
        <v>74</v>
      </c>
      <c r="H987" t="s">
        <v>74</v>
      </c>
      <c r="I987" t="s">
        <v>18326</v>
      </c>
      <c r="J987" t="s">
        <v>7101</v>
      </c>
      <c r="K987" t="s">
        <v>74</v>
      </c>
      <c r="L987" t="s">
        <v>74</v>
      </c>
      <c r="M987" t="s">
        <v>200</v>
      </c>
      <c r="N987" t="s">
        <v>79</v>
      </c>
      <c r="O987" t="s">
        <v>74</v>
      </c>
      <c r="P987" t="s">
        <v>74</v>
      </c>
      <c r="Q987" t="s">
        <v>74</v>
      </c>
      <c r="R987" t="s">
        <v>74</v>
      </c>
      <c r="S987" t="s">
        <v>74</v>
      </c>
      <c r="T987" t="s">
        <v>18327</v>
      </c>
      <c r="U987" t="s">
        <v>18328</v>
      </c>
      <c r="V987" t="s">
        <v>18329</v>
      </c>
      <c r="W987" t="s">
        <v>18330</v>
      </c>
      <c r="X987" t="s">
        <v>18331</v>
      </c>
      <c r="Y987" t="s">
        <v>18332</v>
      </c>
      <c r="Z987" t="s">
        <v>18333</v>
      </c>
      <c r="AA987" t="s">
        <v>18334</v>
      </c>
      <c r="AB987" t="s">
        <v>18335</v>
      </c>
      <c r="AC987" t="s">
        <v>18336</v>
      </c>
      <c r="AD987" t="s">
        <v>18337</v>
      </c>
      <c r="AE987" t="s">
        <v>18338</v>
      </c>
      <c r="AF987" t="s">
        <v>74</v>
      </c>
      <c r="AG987">
        <v>50</v>
      </c>
      <c r="AH987">
        <v>42</v>
      </c>
      <c r="AI987">
        <v>47</v>
      </c>
      <c r="AJ987">
        <v>0</v>
      </c>
      <c r="AK987">
        <v>20</v>
      </c>
      <c r="AL987" t="s">
        <v>208</v>
      </c>
      <c r="AM987" t="s">
        <v>209</v>
      </c>
      <c r="AN987" t="s">
        <v>7114</v>
      </c>
      <c r="AO987" t="s">
        <v>7115</v>
      </c>
      <c r="AP987" t="s">
        <v>7116</v>
      </c>
      <c r="AQ987" t="s">
        <v>74</v>
      </c>
      <c r="AR987" t="s">
        <v>7117</v>
      </c>
      <c r="AS987" t="s">
        <v>7118</v>
      </c>
      <c r="AT987" t="s">
        <v>17646</v>
      </c>
      <c r="AU987">
        <v>2015</v>
      </c>
      <c r="AV987">
        <v>429</v>
      </c>
      <c r="AW987" t="s">
        <v>74</v>
      </c>
      <c r="AX987" t="s">
        <v>74</v>
      </c>
      <c r="AY987" t="s">
        <v>74</v>
      </c>
      <c r="AZ987" t="s">
        <v>74</v>
      </c>
      <c r="BA987" t="s">
        <v>74</v>
      </c>
      <c r="BB987">
        <v>157</v>
      </c>
      <c r="BC987">
        <v>169</v>
      </c>
      <c r="BD987" t="s">
        <v>74</v>
      </c>
      <c r="BE987" t="s">
        <v>18339</v>
      </c>
      <c r="BF987" t="str">
        <f>HYPERLINK("http://dx.doi.org/10.1016/j.epsl.2015.07.030","http://dx.doi.org/10.1016/j.epsl.2015.07.030")</f>
        <v>http://dx.doi.org/10.1016/j.epsl.2015.07.030</v>
      </c>
      <c r="BG987" t="s">
        <v>74</v>
      </c>
      <c r="BH987" t="s">
        <v>74</v>
      </c>
      <c r="BI987">
        <v>13</v>
      </c>
      <c r="BJ987" t="s">
        <v>4474</v>
      </c>
      <c r="BK987" t="s">
        <v>264</v>
      </c>
      <c r="BL987" t="s">
        <v>4474</v>
      </c>
      <c r="BM987" t="s">
        <v>18340</v>
      </c>
      <c r="BN987" t="s">
        <v>74</v>
      </c>
      <c r="BO987" t="s">
        <v>18341</v>
      </c>
      <c r="BP987" t="s">
        <v>74</v>
      </c>
      <c r="BQ987" t="s">
        <v>74</v>
      </c>
      <c r="BR987" t="s">
        <v>100</v>
      </c>
      <c r="BS987" t="s">
        <v>18342</v>
      </c>
      <c r="BT987" t="str">
        <f>HYPERLINK("https%3A%2F%2Fwww.webofscience.com%2Fwos%2Fwoscc%2Ffull-record%2FWOS:000362060200017","View Full Record in Web of Science")</f>
        <v>View Full Record in Web of Science</v>
      </c>
    </row>
    <row r="988" spans="1:72" x14ac:dyDescent="0.15">
      <c r="A988" t="s">
        <v>72</v>
      </c>
      <c r="B988" t="s">
        <v>18343</v>
      </c>
      <c r="C988" t="s">
        <v>74</v>
      </c>
      <c r="D988" t="s">
        <v>74</v>
      </c>
      <c r="E988" t="s">
        <v>74</v>
      </c>
      <c r="F988" t="s">
        <v>18344</v>
      </c>
      <c r="G988" t="s">
        <v>74</v>
      </c>
      <c r="H988" t="s">
        <v>74</v>
      </c>
      <c r="I988" t="s">
        <v>18345</v>
      </c>
      <c r="J988" t="s">
        <v>18346</v>
      </c>
      <c r="K988" t="s">
        <v>74</v>
      </c>
      <c r="L988" t="s">
        <v>74</v>
      </c>
      <c r="M988" t="s">
        <v>200</v>
      </c>
      <c r="N988" t="s">
        <v>79</v>
      </c>
      <c r="O988" t="s">
        <v>74</v>
      </c>
      <c r="P988" t="s">
        <v>74</v>
      </c>
      <c r="Q988" t="s">
        <v>74</v>
      </c>
      <c r="R988" t="s">
        <v>74</v>
      </c>
      <c r="S988" t="s">
        <v>74</v>
      </c>
      <c r="T988" t="s">
        <v>18347</v>
      </c>
      <c r="U988" t="s">
        <v>18348</v>
      </c>
      <c r="V988" t="s">
        <v>18349</v>
      </c>
      <c r="W988" t="s">
        <v>18350</v>
      </c>
      <c r="X988" t="s">
        <v>18351</v>
      </c>
      <c r="Y988" t="s">
        <v>18352</v>
      </c>
      <c r="Z988" t="s">
        <v>18353</v>
      </c>
      <c r="AA988" t="s">
        <v>18354</v>
      </c>
      <c r="AB988" t="s">
        <v>18355</v>
      </c>
      <c r="AC988" t="s">
        <v>18356</v>
      </c>
      <c r="AD988" t="s">
        <v>18357</v>
      </c>
      <c r="AE988" t="s">
        <v>18358</v>
      </c>
      <c r="AF988" t="s">
        <v>74</v>
      </c>
      <c r="AG988">
        <v>199</v>
      </c>
      <c r="AH988">
        <v>97</v>
      </c>
      <c r="AI988">
        <v>110</v>
      </c>
      <c r="AJ988">
        <v>1</v>
      </c>
      <c r="AK988">
        <v>50</v>
      </c>
      <c r="AL988" t="s">
        <v>208</v>
      </c>
      <c r="AM988" t="s">
        <v>209</v>
      </c>
      <c r="AN988" t="s">
        <v>7114</v>
      </c>
      <c r="AO988" t="s">
        <v>18359</v>
      </c>
      <c r="AP988" t="s">
        <v>18360</v>
      </c>
      <c r="AQ988" t="s">
        <v>74</v>
      </c>
      <c r="AR988" t="s">
        <v>18361</v>
      </c>
      <c r="AS988" t="s">
        <v>18362</v>
      </c>
      <c r="AT988" t="s">
        <v>16633</v>
      </c>
      <c r="AU988">
        <v>2015</v>
      </c>
      <c r="AV988">
        <v>150</v>
      </c>
      <c r="AW988" t="s">
        <v>74</v>
      </c>
      <c r="AX988" t="s">
        <v>74</v>
      </c>
      <c r="AY988" t="s">
        <v>74</v>
      </c>
      <c r="AZ988" t="s">
        <v>74</v>
      </c>
      <c r="BA988" t="s">
        <v>74</v>
      </c>
      <c r="BB988">
        <v>724</v>
      </c>
      <c r="BC988">
        <v>745</v>
      </c>
      <c r="BD988" t="s">
        <v>74</v>
      </c>
      <c r="BE988" t="s">
        <v>18363</v>
      </c>
      <c r="BF988" t="str">
        <f>HYPERLINK("http://dx.doi.org/10.1016/j.earscirev.2015.09.004","http://dx.doi.org/10.1016/j.earscirev.2015.09.004")</f>
        <v>http://dx.doi.org/10.1016/j.earscirev.2015.09.004</v>
      </c>
      <c r="BG988" t="s">
        <v>74</v>
      </c>
      <c r="BH988" t="s">
        <v>74</v>
      </c>
      <c r="BI988">
        <v>22</v>
      </c>
      <c r="BJ988" t="s">
        <v>95</v>
      </c>
      <c r="BK988" t="s">
        <v>264</v>
      </c>
      <c r="BL988" t="s">
        <v>97</v>
      </c>
      <c r="BM988" t="s">
        <v>18364</v>
      </c>
      <c r="BN988" t="s">
        <v>74</v>
      </c>
      <c r="BO988" t="s">
        <v>18365</v>
      </c>
      <c r="BP988" t="s">
        <v>74</v>
      </c>
      <c r="BQ988" t="s">
        <v>74</v>
      </c>
      <c r="BR988" t="s">
        <v>100</v>
      </c>
      <c r="BS988" t="s">
        <v>18366</v>
      </c>
      <c r="BT988" t="str">
        <f>HYPERLINK("https%3A%2F%2Fwww.webofscience.com%2Fwos%2Fwoscc%2Ffull-record%2FWOS:000364796200033","View Full Record in Web of Science")</f>
        <v>View Full Record in Web of Science</v>
      </c>
    </row>
    <row r="989" spans="1:72" x14ac:dyDescent="0.15">
      <c r="A989" t="s">
        <v>72</v>
      </c>
      <c r="B989" t="s">
        <v>18367</v>
      </c>
      <c r="C989" t="s">
        <v>74</v>
      </c>
      <c r="D989" t="s">
        <v>74</v>
      </c>
      <c r="E989" t="s">
        <v>74</v>
      </c>
      <c r="F989" t="s">
        <v>18368</v>
      </c>
      <c r="G989" t="s">
        <v>74</v>
      </c>
      <c r="H989" t="s">
        <v>74</v>
      </c>
      <c r="I989" t="s">
        <v>18369</v>
      </c>
      <c r="J989" t="s">
        <v>18370</v>
      </c>
      <c r="K989" t="s">
        <v>74</v>
      </c>
      <c r="L989" t="s">
        <v>74</v>
      </c>
      <c r="M989" t="s">
        <v>200</v>
      </c>
      <c r="N989" t="s">
        <v>79</v>
      </c>
      <c r="O989" t="s">
        <v>74</v>
      </c>
      <c r="P989" t="s">
        <v>74</v>
      </c>
      <c r="Q989" t="s">
        <v>74</v>
      </c>
      <c r="R989" t="s">
        <v>74</v>
      </c>
      <c r="S989" t="s">
        <v>74</v>
      </c>
      <c r="T989" t="s">
        <v>18371</v>
      </c>
      <c r="U989" t="s">
        <v>18372</v>
      </c>
      <c r="V989" t="s">
        <v>18373</v>
      </c>
      <c r="W989" t="s">
        <v>18374</v>
      </c>
      <c r="X989" t="s">
        <v>18375</v>
      </c>
      <c r="Y989" t="s">
        <v>18376</v>
      </c>
      <c r="Z989" t="s">
        <v>18377</v>
      </c>
      <c r="AA989" t="s">
        <v>18378</v>
      </c>
      <c r="AB989" t="s">
        <v>18379</v>
      </c>
      <c r="AC989" t="s">
        <v>18380</v>
      </c>
      <c r="AD989" t="s">
        <v>18381</v>
      </c>
      <c r="AE989" t="s">
        <v>18382</v>
      </c>
      <c r="AF989" t="s">
        <v>74</v>
      </c>
      <c r="AG989">
        <v>99</v>
      </c>
      <c r="AH989">
        <v>54</v>
      </c>
      <c r="AI989">
        <v>63</v>
      </c>
      <c r="AJ989">
        <v>3</v>
      </c>
      <c r="AK989">
        <v>93</v>
      </c>
      <c r="AL989" t="s">
        <v>5464</v>
      </c>
      <c r="AM989" t="s">
        <v>5465</v>
      </c>
      <c r="AN989" t="s">
        <v>5466</v>
      </c>
      <c r="AO989" t="s">
        <v>18383</v>
      </c>
      <c r="AP989" t="s">
        <v>18384</v>
      </c>
      <c r="AQ989" t="s">
        <v>74</v>
      </c>
      <c r="AR989" t="s">
        <v>18385</v>
      </c>
      <c r="AS989" t="s">
        <v>18386</v>
      </c>
      <c r="AT989" t="s">
        <v>16633</v>
      </c>
      <c r="AU989">
        <v>2015</v>
      </c>
      <c r="AV989">
        <v>85</v>
      </c>
      <c r="AW989">
        <v>4</v>
      </c>
      <c r="AX989" t="s">
        <v>74</v>
      </c>
      <c r="AY989" t="s">
        <v>74</v>
      </c>
      <c r="AZ989" t="s">
        <v>74</v>
      </c>
      <c r="BA989" t="s">
        <v>74</v>
      </c>
      <c r="BB989">
        <v>605</v>
      </c>
      <c r="BC989">
        <v>624</v>
      </c>
      <c r="BD989" t="s">
        <v>74</v>
      </c>
      <c r="BE989" t="s">
        <v>18387</v>
      </c>
      <c r="BF989" t="str">
        <f>HYPERLINK("http://dx.doi.org/10.1890/14-1834.1","http://dx.doi.org/10.1890/14-1834.1")</f>
        <v>http://dx.doi.org/10.1890/14-1834.1</v>
      </c>
      <c r="BG989" t="s">
        <v>74</v>
      </c>
      <c r="BH989" t="s">
        <v>74</v>
      </c>
      <c r="BI989">
        <v>20</v>
      </c>
      <c r="BJ989" t="s">
        <v>5445</v>
      </c>
      <c r="BK989" t="s">
        <v>264</v>
      </c>
      <c r="BL989" t="s">
        <v>2887</v>
      </c>
      <c r="BM989" t="s">
        <v>18388</v>
      </c>
      <c r="BN989" t="s">
        <v>74</v>
      </c>
      <c r="BO989" t="s">
        <v>11333</v>
      </c>
      <c r="BP989" t="s">
        <v>74</v>
      </c>
      <c r="BQ989" t="s">
        <v>74</v>
      </c>
      <c r="BR989" t="s">
        <v>100</v>
      </c>
      <c r="BS989" t="s">
        <v>18389</v>
      </c>
      <c r="BT989" t="str">
        <f>HYPERLINK("https%3A%2F%2Fwww.webofscience.com%2Fwos%2Fwoscc%2Ffull-record%2FWOS:000364962200006","View Full Record in Web of Science")</f>
        <v>View Full Record in Web of Science</v>
      </c>
    </row>
    <row r="990" spans="1:72" x14ac:dyDescent="0.15">
      <c r="A990" t="s">
        <v>72</v>
      </c>
      <c r="B990" t="s">
        <v>18390</v>
      </c>
      <c r="C990" t="s">
        <v>74</v>
      </c>
      <c r="D990" t="s">
        <v>74</v>
      </c>
      <c r="E990" t="s">
        <v>74</v>
      </c>
      <c r="F990" t="s">
        <v>18391</v>
      </c>
      <c r="G990" t="s">
        <v>74</v>
      </c>
      <c r="H990" t="s">
        <v>74</v>
      </c>
      <c r="I990" t="s">
        <v>18392</v>
      </c>
      <c r="J990" t="s">
        <v>18393</v>
      </c>
      <c r="K990" t="s">
        <v>74</v>
      </c>
      <c r="L990" t="s">
        <v>74</v>
      </c>
      <c r="M990" t="s">
        <v>200</v>
      </c>
      <c r="N990" t="s">
        <v>79</v>
      </c>
      <c r="O990" t="s">
        <v>74</v>
      </c>
      <c r="P990" t="s">
        <v>74</v>
      </c>
      <c r="Q990" t="s">
        <v>74</v>
      </c>
      <c r="R990" t="s">
        <v>74</v>
      </c>
      <c r="S990" t="s">
        <v>74</v>
      </c>
      <c r="T990" t="s">
        <v>18394</v>
      </c>
      <c r="U990" t="s">
        <v>18395</v>
      </c>
      <c r="V990" t="s">
        <v>18396</v>
      </c>
      <c r="W990" t="s">
        <v>18397</v>
      </c>
      <c r="X990" t="s">
        <v>18398</v>
      </c>
      <c r="Y990" t="s">
        <v>18399</v>
      </c>
      <c r="Z990" t="s">
        <v>18400</v>
      </c>
      <c r="AA990" t="s">
        <v>18401</v>
      </c>
      <c r="AB990" t="s">
        <v>18402</v>
      </c>
      <c r="AC990" t="s">
        <v>18403</v>
      </c>
      <c r="AD990" t="s">
        <v>18404</v>
      </c>
      <c r="AE990" t="s">
        <v>18405</v>
      </c>
      <c r="AF990" t="s">
        <v>74</v>
      </c>
      <c r="AG990">
        <v>40</v>
      </c>
      <c r="AH990">
        <v>4</v>
      </c>
      <c r="AI990">
        <v>4</v>
      </c>
      <c r="AJ990">
        <v>0</v>
      </c>
      <c r="AK990">
        <v>15</v>
      </c>
      <c r="AL990" t="s">
        <v>3560</v>
      </c>
      <c r="AM990" t="s">
        <v>289</v>
      </c>
      <c r="AN990" t="s">
        <v>6124</v>
      </c>
      <c r="AO990" t="s">
        <v>18406</v>
      </c>
      <c r="AP990" t="s">
        <v>18407</v>
      </c>
      <c r="AQ990" t="s">
        <v>74</v>
      </c>
      <c r="AR990" t="s">
        <v>18408</v>
      </c>
      <c r="AS990" t="s">
        <v>18409</v>
      </c>
      <c r="AT990" t="s">
        <v>16633</v>
      </c>
      <c r="AU990">
        <v>2015</v>
      </c>
      <c r="AV990">
        <v>74</v>
      </c>
      <c r="AW990">
        <v>10</v>
      </c>
      <c r="AX990" t="s">
        <v>74</v>
      </c>
      <c r="AY990" t="s">
        <v>74</v>
      </c>
      <c r="AZ990" t="s">
        <v>74</v>
      </c>
      <c r="BA990" t="s">
        <v>74</v>
      </c>
      <c r="BB990">
        <v>7239</v>
      </c>
      <c r="BC990">
        <v>7253</v>
      </c>
      <c r="BD990" t="s">
        <v>74</v>
      </c>
      <c r="BE990" t="s">
        <v>18410</v>
      </c>
      <c r="BF990" t="str">
        <f>HYPERLINK("http://dx.doi.org/10.1007/s12665-015-4705-z","http://dx.doi.org/10.1007/s12665-015-4705-z")</f>
        <v>http://dx.doi.org/10.1007/s12665-015-4705-z</v>
      </c>
      <c r="BG990" t="s">
        <v>74</v>
      </c>
      <c r="BH990" t="s">
        <v>74</v>
      </c>
      <c r="BI990">
        <v>15</v>
      </c>
      <c r="BJ990" t="s">
        <v>18411</v>
      </c>
      <c r="BK990" t="s">
        <v>264</v>
      </c>
      <c r="BL990" t="s">
        <v>18412</v>
      </c>
      <c r="BM990" t="s">
        <v>18413</v>
      </c>
      <c r="BN990" t="s">
        <v>74</v>
      </c>
      <c r="BO990" t="s">
        <v>74</v>
      </c>
      <c r="BP990" t="s">
        <v>74</v>
      </c>
      <c r="BQ990" t="s">
        <v>74</v>
      </c>
      <c r="BR990" t="s">
        <v>100</v>
      </c>
      <c r="BS990" t="s">
        <v>18414</v>
      </c>
      <c r="BT990" t="str">
        <f>HYPERLINK("https%3A%2F%2Fwww.webofscience.com%2Fwos%2Fwoscc%2Ffull-record%2FWOS:000362903400021","View Full Record in Web of Science")</f>
        <v>View Full Record in Web of Science</v>
      </c>
    </row>
    <row r="991" spans="1:72" x14ac:dyDescent="0.15">
      <c r="A991" t="s">
        <v>72</v>
      </c>
      <c r="B991" t="s">
        <v>18415</v>
      </c>
      <c r="C991" t="s">
        <v>74</v>
      </c>
      <c r="D991" t="s">
        <v>74</v>
      </c>
      <c r="E991" t="s">
        <v>74</v>
      </c>
      <c r="F991" t="s">
        <v>18416</v>
      </c>
      <c r="G991" t="s">
        <v>74</v>
      </c>
      <c r="H991" t="s">
        <v>74</v>
      </c>
      <c r="I991" t="s">
        <v>18417</v>
      </c>
      <c r="J991" t="s">
        <v>18418</v>
      </c>
      <c r="K991" t="s">
        <v>74</v>
      </c>
      <c r="L991" t="s">
        <v>74</v>
      </c>
      <c r="M991" t="s">
        <v>200</v>
      </c>
      <c r="N991" t="s">
        <v>8638</v>
      </c>
      <c r="O991" t="s">
        <v>74</v>
      </c>
      <c r="P991" t="s">
        <v>74</v>
      </c>
      <c r="Q991" t="s">
        <v>74</v>
      </c>
      <c r="R991" t="s">
        <v>74</v>
      </c>
      <c r="S991" t="s">
        <v>74</v>
      </c>
      <c r="T991" t="s">
        <v>74</v>
      </c>
      <c r="U991" t="s">
        <v>18419</v>
      </c>
      <c r="V991" t="s">
        <v>18420</v>
      </c>
      <c r="W991" t="s">
        <v>18421</v>
      </c>
      <c r="X991" t="s">
        <v>18422</v>
      </c>
      <c r="Y991" t="s">
        <v>18423</v>
      </c>
      <c r="Z991" t="s">
        <v>74</v>
      </c>
      <c r="AA991" t="s">
        <v>18424</v>
      </c>
      <c r="AB991" t="s">
        <v>18425</v>
      </c>
      <c r="AC991" t="s">
        <v>18426</v>
      </c>
      <c r="AD991" t="s">
        <v>7515</v>
      </c>
      <c r="AE991" t="s">
        <v>74</v>
      </c>
      <c r="AF991" t="s">
        <v>74</v>
      </c>
      <c r="AG991">
        <v>74</v>
      </c>
      <c r="AH991">
        <v>15</v>
      </c>
      <c r="AI991">
        <v>20</v>
      </c>
      <c r="AJ991">
        <v>4</v>
      </c>
      <c r="AK991">
        <v>47</v>
      </c>
      <c r="AL991" t="s">
        <v>11870</v>
      </c>
      <c r="AM991" t="s">
        <v>11871</v>
      </c>
      <c r="AN991" t="s">
        <v>11872</v>
      </c>
      <c r="AO991" t="s">
        <v>18427</v>
      </c>
      <c r="AP991" t="s">
        <v>74</v>
      </c>
      <c r="AQ991" t="s">
        <v>74</v>
      </c>
      <c r="AR991" t="s">
        <v>18428</v>
      </c>
      <c r="AS991" t="s">
        <v>18429</v>
      </c>
      <c r="AT991" t="s">
        <v>16633</v>
      </c>
      <c r="AU991">
        <v>2015</v>
      </c>
      <c r="AV991">
        <v>10</v>
      </c>
      <c r="AW991">
        <v>11</v>
      </c>
      <c r="AX991" t="s">
        <v>74</v>
      </c>
      <c r="AY991" t="s">
        <v>74</v>
      </c>
      <c r="AZ991" t="s">
        <v>74</v>
      </c>
      <c r="BA991" t="s">
        <v>74</v>
      </c>
      <c r="BB991" t="s">
        <v>74</v>
      </c>
      <c r="BC991" t="s">
        <v>74</v>
      </c>
      <c r="BD991">
        <v>110201</v>
      </c>
      <c r="BE991" t="s">
        <v>18430</v>
      </c>
      <c r="BF991" t="str">
        <f>HYPERLINK("http://dx.doi.org/10.1088/1748-9326/10/11/110201","http://dx.doi.org/10.1088/1748-9326/10/11/110201")</f>
        <v>http://dx.doi.org/10.1088/1748-9326/10/11/110201</v>
      </c>
      <c r="BG991" t="s">
        <v>74</v>
      </c>
      <c r="BH991" t="s">
        <v>74</v>
      </c>
      <c r="BI991">
        <v>7</v>
      </c>
      <c r="BJ991" t="s">
        <v>3244</v>
      </c>
      <c r="BK991" t="s">
        <v>264</v>
      </c>
      <c r="BL991" t="s">
        <v>3245</v>
      </c>
      <c r="BM991" t="s">
        <v>18431</v>
      </c>
      <c r="BN991" t="s">
        <v>74</v>
      </c>
      <c r="BO991" t="s">
        <v>9178</v>
      </c>
      <c r="BP991" t="s">
        <v>74</v>
      </c>
      <c r="BQ991" t="s">
        <v>74</v>
      </c>
      <c r="BR991" t="s">
        <v>100</v>
      </c>
      <c r="BS991" t="s">
        <v>18432</v>
      </c>
      <c r="BT991" t="str">
        <f>HYPERLINK("https%3A%2F%2Fwww.webofscience.com%2Fwos%2Fwoscc%2Ffull-record%2FWOS:000367249900001","View Full Record in Web of Science")</f>
        <v>View Full Record in Web of Science</v>
      </c>
    </row>
    <row r="992" spans="1:72" x14ac:dyDescent="0.15">
      <c r="A992" t="s">
        <v>72</v>
      </c>
      <c r="B992" t="s">
        <v>18433</v>
      </c>
      <c r="C992" t="s">
        <v>74</v>
      </c>
      <c r="D992" t="s">
        <v>74</v>
      </c>
      <c r="E992" t="s">
        <v>74</v>
      </c>
      <c r="F992" t="s">
        <v>18434</v>
      </c>
      <c r="G992" t="s">
        <v>74</v>
      </c>
      <c r="H992" t="s">
        <v>74</v>
      </c>
      <c r="I992" t="s">
        <v>18435</v>
      </c>
      <c r="J992" t="s">
        <v>13481</v>
      </c>
      <c r="K992" t="s">
        <v>74</v>
      </c>
      <c r="L992" t="s">
        <v>74</v>
      </c>
      <c r="M992" t="s">
        <v>200</v>
      </c>
      <c r="N992" t="s">
        <v>79</v>
      </c>
      <c r="O992" t="s">
        <v>74</v>
      </c>
      <c r="P992" t="s">
        <v>74</v>
      </c>
      <c r="Q992" t="s">
        <v>74</v>
      </c>
      <c r="R992" t="s">
        <v>74</v>
      </c>
      <c r="S992" t="s">
        <v>74</v>
      </c>
      <c r="T992" t="s">
        <v>18436</v>
      </c>
      <c r="U992" t="s">
        <v>18437</v>
      </c>
      <c r="V992" t="s">
        <v>18438</v>
      </c>
      <c r="W992" t="s">
        <v>18439</v>
      </c>
      <c r="X992" t="s">
        <v>13657</v>
      </c>
      <c r="Y992" t="s">
        <v>18440</v>
      </c>
      <c r="Z992" t="s">
        <v>18441</v>
      </c>
      <c r="AA992" t="s">
        <v>18442</v>
      </c>
      <c r="AB992" t="s">
        <v>18443</v>
      </c>
      <c r="AC992" t="s">
        <v>18444</v>
      </c>
      <c r="AD992" t="s">
        <v>18445</v>
      </c>
      <c r="AE992" t="s">
        <v>18446</v>
      </c>
      <c r="AF992" t="s">
        <v>74</v>
      </c>
      <c r="AG992">
        <v>23</v>
      </c>
      <c r="AH992">
        <v>23</v>
      </c>
      <c r="AI992">
        <v>23</v>
      </c>
      <c r="AJ992">
        <v>0</v>
      </c>
      <c r="AK992">
        <v>31</v>
      </c>
      <c r="AL992" t="s">
        <v>5110</v>
      </c>
      <c r="AM992" t="s">
        <v>289</v>
      </c>
      <c r="AN992" t="s">
        <v>5111</v>
      </c>
      <c r="AO992" t="s">
        <v>13493</v>
      </c>
      <c r="AP992" t="s">
        <v>13494</v>
      </c>
      <c r="AQ992" t="s">
        <v>74</v>
      </c>
      <c r="AR992" t="s">
        <v>13495</v>
      </c>
      <c r="AS992" t="s">
        <v>13496</v>
      </c>
      <c r="AT992" t="s">
        <v>16633</v>
      </c>
      <c r="AU992">
        <v>2015</v>
      </c>
      <c r="AV992">
        <v>48</v>
      </c>
      <c r="AW992">
        <v>11</v>
      </c>
      <c r="AX992" t="s">
        <v>74</v>
      </c>
      <c r="AY992" t="s">
        <v>74</v>
      </c>
      <c r="AZ992" t="s">
        <v>74</v>
      </c>
      <c r="BA992" t="s">
        <v>74</v>
      </c>
      <c r="BB992">
        <v>1207</v>
      </c>
      <c r="BC992">
        <v>1211</v>
      </c>
      <c r="BD992" t="s">
        <v>74</v>
      </c>
      <c r="BE992" t="s">
        <v>18447</v>
      </c>
      <c r="BF992" t="str">
        <f>HYPERLINK("http://dx.doi.org/10.1134/S1064229315110046","http://dx.doi.org/10.1134/S1064229315110046")</f>
        <v>http://dx.doi.org/10.1134/S1064229315110046</v>
      </c>
      <c r="BG992" t="s">
        <v>74</v>
      </c>
      <c r="BH992" t="s">
        <v>74</v>
      </c>
      <c r="BI992">
        <v>5</v>
      </c>
      <c r="BJ992" t="s">
        <v>6796</v>
      </c>
      <c r="BK992" t="s">
        <v>264</v>
      </c>
      <c r="BL992" t="s">
        <v>6797</v>
      </c>
      <c r="BM992" t="s">
        <v>18448</v>
      </c>
      <c r="BN992" t="s">
        <v>74</v>
      </c>
      <c r="BO992" t="s">
        <v>74</v>
      </c>
      <c r="BP992" t="s">
        <v>74</v>
      </c>
      <c r="BQ992" t="s">
        <v>74</v>
      </c>
      <c r="BR992" t="s">
        <v>100</v>
      </c>
      <c r="BS992" t="s">
        <v>18449</v>
      </c>
      <c r="BT992" t="str">
        <f>HYPERLINK("https%3A%2F%2Fwww.webofscience.com%2Fwos%2Fwoscc%2Ffull-record%2FWOS:000364222800004","View Full Record in Web of Science")</f>
        <v>View Full Record in Web of Science</v>
      </c>
    </row>
    <row r="993" spans="1:72" x14ac:dyDescent="0.15">
      <c r="A993" t="s">
        <v>72</v>
      </c>
      <c r="B993" t="s">
        <v>18450</v>
      </c>
      <c r="C993" t="s">
        <v>74</v>
      </c>
      <c r="D993" t="s">
        <v>74</v>
      </c>
      <c r="E993" t="s">
        <v>74</v>
      </c>
      <c r="F993" t="s">
        <v>18451</v>
      </c>
      <c r="G993" t="s">
        <v>74</v>
      </c>
      <c r="H993" t="s">
        <v>74</v>
      </c>
      <c r="I993" t="s">
        <v>18452</v>
      </c>
      <c r="J993" t="s">
        <v>18453</v>
      </c>
      <c r="K993" t="s">
        <v>74</v>
      </c>
      <c r="L993" t="s">
        <v>74</v>
      </c>
      <c r="M993" t="s">
        <v>200</v>
      </c>
      <c r="N993" t="s">
        <v>79</v>
      </c>
      <c r="O993" t="s">
        <v>74</v>
      </c>
      <c r="P993" t="s">
        <v>74</v>
      </c>
      <c r="Q993" t="s">
        <v>74</v>
      </c>
      <c r="R993" t="s">
        <v>74</v>
      </c>
      <c r="S993" t="s">
        <v>74</v>
      </c>
      <c r="T993" t="s">
        <v>18454</v>
      </c>
      <c r="U993" t="s">
        <v>18455</v>
      </c>
      <c r="V993" t="s">
        <v>18456</v>
      </c>
      <c r="W993" t="s">
        <v>18457</v>
      </c>
      <c r="X993" t="s">
        <v>18458</v>
      </c>
      <c r="Y993" t="s">
        <v>18459</v>
      </c>
      <c r="Z993" t="s">
        <v>18460</v>
      </c>
      <c r="AA993" t="s">
        <v>74</v>
      </c>
      <c r="AB993" t="s">
        <v>74</v>
      </c>
      <c r="AC993" t="s">
        <v>18461</v>
      </c>
      <c r="AD993" t="s">
        <v>18462</v>
      </c>
      <c r="AE993" t="s">
        <v>18463</v>
      </c>
      <c r="AF993" t="s">
        <v>74</v>
      </c>
      <c r="AG993">
        <v>44</v>
      </c>
      <c r="AH993">
        <v>60</v>
      </c>
      <c r="AI993">
        <v>67</v>
      </c>
      <c r="AJ993">
        <v>0</v>
      </c>
      <c r="AK993">
        <v>34</v>
      </c>
      <c r="AL993" t="s">
        <v>18464</v>
      </c>
      <c r="AM993" t="s">
        <v>3175</v>
      </c>
      <c r="AN993" t="s">
        <v>18465</v>
      </c>
      <c r="AO993" t="s">
        <v>18466</v>
      </c>
      <c r="AP993" t="s">
        <v>18467</v>
      </c>
      <c r="AQ993" t="s">
        <v>74</v>
      </c>
      <c r="AR993" t="s">
        <v>18453</v>
      </c>
      <c r="AS993" t="s">
        <v>18468</v>
      </c>
      <c r="AT993" t="s">
        <v>16633</v>
      </c>
      <c r="AU993">
        <v>2015</v>
      </c>
      <c r="AV993">
        <v>19</v>
      </c>
      <c r="AW993">
        <v>6</v>
      </c>
      <c r="AX993" t="s">
        <v>74</v>
      </c>
      <c r="AY993" t="s">
        <v>74</v>
      </c>
      <c r="AZ993" t="s">
        <v>74</v>
      </c>
      <c r="BA993" t="s">
        <v>74</v>
      </c>
      <c r="BB993">
        <v>1087</v>
      </c>
      <c r="BC993">
        <v>1097</v>
      </c>
      <c r="BD993" t="s">
        <v>74</v>
      </c>
      <c r="BE993" t="s">
        <v>18469</v>
      </c>
      <c r="BF993" t="str">
        <f>HYPERLINK("http://dx.doi.org/10.1007/s00792-015-0781-y","http://dx.doi.org/10.1007/s00792-015-0781-y")</f>
        <v>http://dx.doi.org/10.1007/s00792-015-0781-y</v>
      </c>
      <c r="BG993" t="s">
        <v>74</v>
      </c>
      <c r="BH993" t="s">
        <v>74</v>
      </c>
      <c r="BI993">
        <v>11</v>
      </c>
      <c r="BJ993" t="s">
        <v>7470</v>
      </c>
      <c r="BK993" t="s">
        <v>264</v>
      </c>
      <c r="BL993" t="s">
        <v>7470</v>
      </c>
      <c r="BM993" t="s">
        <v>18470</v>
      </c>
      <c r="BN993">
        <v>26400492</v>
      </c>
      <c r="BO993" t="s">
        <v>74</v>
      </c>
      <c r="BP993" t="s">
        <v>74</v>
      </c>
      <c r="BQ993" t="s">
        <v>74</v>
      </c>
      <c r="BR993" t="s">
        <v>100</v>
      </c>
      <c r="BS993" t="s">
        <v>18471</v>
      </c>
      <c r="BT993" t="str">
        <f>HYPERLINK("https%3A%2F%2Fwww.webofscience.com%2Fwos%2Fwoscc%2Ffull-record%2FWOS:000363870500004","View Full Record in Web of Science")</f>
        <v>View Full Record in Web of Science</v>
      </c>
    </row>
    <row r="994" spans="1:72" x14ac:dyDescent="0.15">
      <c r="A994" t="s">
        <v>72</v>
      </c>
      <c r="B994" t="s">
        <v>18472</v>
      </c>
      <c r="C994" t="s">
        <v>74</v>
      </c>
      <c r="D994" t="s">
        <v>74</v>
      </c>
      <c r="E994" t="s">
        <v>74</v>
      </c>
      <c r="F994" t="s">
        <v>18473</v>
      </c>
      <c r="G994" t="s">
        <v>74</v>
      </c>
      <c r="H994" t="s">
        <v>74</v>
      </c>
      <c r="I994" t="s">
        <v>18474</v>
      </c>
      <c r="J994" t="s">
        <v>18475</v>
      </c>
      <c r="K994" t="s">
        <v>74</v>
      </c>
      <c r="L994" t="s">
        <v>74</v>
      </c>
      <c r="M994" t="s">
        <v>200</v>
      </c>
      <c r="N994" t="s">
        <v>79</v>
      </c>
      <c r="O994" t="s">
        <v>74</v>
      </c>
      <c r="P994" t="s">
        <v>74</v>
      </c>
      <c r="Q994" t="s">
        <v>74</v>
      </c>
      <c r="R994" t="s">
        <v>74</v>
      </c>
      <c r="S994" t="s">
        <v>74</v>
      </c>
      <c r="T994" t="s">
        <v>18476</v>
      </c>
      <c r="U994" t="s">
        <v>18477</v>
      </c>
      <c r="V994" t="s">
        <v>18478</v>
      </c>
      <c r="W994" t="s">
        <v>18479</v>
      </c>
      <c r="X994" t="s">
        <v>18480</v>
      </c>
      <c r="Y994" t="s">
        <v>18481</v>
      </c>
      <c r="Z994" t="s">
        <v>18482</v>
      </c>
      <c r="AA994" t="s">
        <v>18483</v>
      </c>
      <c r="AB994" t="s">
        <v>18484</v>
      </c>
      <c r="AC994" t="s">
        <v>18485</v>
      </c>
      <c r="AD994" t="s">
        <v>18486</v>
      </c>
      <c r="AE994" t="s">
        <v>18487</v>
      </c>
      <c r="AF994" t="s">
        <v>74</v>
      </c>
      <c r="AG994">
        <v>32</v>
      </c>
      <c r="AH994">
        <v>33</v>
      </c>
      <c r="AI994">
        <v>39</v>
      </c>
      <c r="AJ994">
        <v>4</v>
      </c>
      <c r="AK994">
        <v>30</v>
      </c>
      <c r="AL994" t="s">
        <v>7218</v>
      </c>
      <c r="AM994" t="s">
        <v>1386</v>
      </c>
      <c r="AN994" t="s">
        <v>7219</v>
      </c>
      <c r="AO994" t="s">
        <v>18488</v>
      </c>
      <c r="AP994" t="s">
        <v>18489</v>
      </c>
      <c r="AQ994" t="s">
        <v>74</v>
      </c>
      <c r="AR994" t="s">
        <v>18490</v>
      </c>
      <c r="AS994" t="s">
        <v>18491</v>
      </c>
      <c r="AT994" t="s">
        <v>16633</v>
      </c>
      <c r="AU994">
        <v>2015</v>
      </c>
      <c r="AV994">
        <v>119</v>
      </c>
      <c r="AW994">
        <v>11</v>
      </c>
      <c r="AX994" t="s">
        <v>74</v>
      </c>
      <c r="AY994" t="s">
        <v>74</v>
      </c>
      <c r="AZ994" t="s">
        <v>74</v>
      </c>
      <c r="BA994" t="s">
        <v>74</v>
      </c>
      <c r="BB994">
        <v>1129</v>
      </c>
      <c r="BC994">
        <v>1136</v>
      </c>
      <c r="BD994" t="s">
        <v>74</v>
      </c>
      <c r="BE994" t="s">
        <v>18492</v>
      </c>
      <c r="BF994" t="str">
        <f>HYPERLINK("http://dx.doi.org/10.1016/j.funbio.2015.08.012","http://dx.doi.org/10.1016/j.funbio.2015.08.012")</f>
        <v>http://dx.doi.org/10.1016/j.funbio.2015.08.012</v>
      </c>
      <c r="BG994" t="s">
        <v>74</v>
      </c>
      <c r="BH994" t="s">
        <v>74</v>
      </c>
      <c r="BI994">
        <v>8</v>
      </c>
      <c r="BJ994" t="s">
        <v>9320</v>
      </c>
      <c r="BK994" t="s">
        <v>264</v>
      </c>
      <c r="BL994" t="s">
        <v>9320</v>
      </c>
      <c r="BM994" t="s">
        <v>18493</v>
      </c>
      <c r="BN994">
        <v>26466885</v>
      </c>
      <c r="BO994" t="s">
        <v>74</v>
      </c>
      <c r="BP994" t="s">
        <v>74</v>
      </c>
      <c r="BQ994" t="s">
        <v>74</v>
      </c>
      <c r="BR994" t="s">
        <v>100</v>
      </c>
      <c r="BS994" t="s">
        <v>18494</v>
      </c>
      <c r="BT994" t="str">
        <f>HYPERLINK("https%3A%2F%2Fwww.webofscience.com%2Fwos%2Fwoscc%2Ffull-record%2FWOS:000364263800014","View Full Record in Web of Science")</f>
        <v>View Full Record in Web of Science</v>
      </c>
    </row>
    <row r="995" spans="1:72" x14ac:dyDescent="0.15">
      <c r="A995" t="s">
        <v>72</v>
      </c>
      <c r="B995" t="s">
        <v>18495</v>
      </c>
      <c r="C995" t="s">
        <v>74</v>
      </c>
      <c r="D995" t="s">
        <v>74</v>
      </c>
      <c r="E995" t="s">
        <v>74</v>
      </c>
      <c r="F995" t="s">
        <v>18496</v>
      </c>
      <c r="G995" t="s">
        <v>74</v>
      </c>
      <c r="H995" t="s">
        <v>74</v>
      </c>
      <c r="I995" t="s">
        <v>18497</v>
      </c>
      <c r="J995" t="s">
        <v>18498</v>
      </c>
      <c r="K995" t="s">
        <v>74</v>
      </c>
      <c r="L995" t="s">
        <v>74</v>
      </c>
      <c r="M995" t="s">
        <v>200</v>
      </c>
      <c r="N995" t="s">
        <v>79</v>
      </c>
      <c r="O995" t="s">
        <v>74</v>
      </c>
      <c r="P995" t="s">
        <v>74</v>
      </c>
      <c r="Q995" t="s">
        <v>74</v>
      </c>
      <c r="R995" t="s">
        <v>74</v>
      </c>
      <c r="S995" t="s">
        <v>74</v>
      </c>
      <c r="T995" t="s">
        <v>18499</v>
      </c>
      <c r="U995" t="s">
        <v>18500</v>
      </c>
      <c r="V995" t="s">
        <v>18501</v>
      </c>
      <c r="W995" t="s">
        <v>18502</v>
      </c>
      <c r="X995" t="s">
        <v>3986</v>
      </c>
      <c r="Y995" t="s">
        <v>18503</v>
      </c>
      <c r="Z995" t="s">
        <v>18504</v>
      </c>
      <c r="AA995" t="s">
        <v>18505</v>
      </c>
      <c r="AB995" t="s">
        <v>18506</v>
      </c>
      <c r="AC995" t="s">
        <v>74</v>
      </c>
      <c r="AD995" t="s">
        <v>74</v>
      </c>
      <c r="AE995" t="s">
        <v>74</v>
      </c>
      <c r="AF995" t="s">
        <v>74</v>
      </c>
      <c r="AG995">
        <v>50</v>
      </c>
      <c r="AH995">
        <v>19</v>
      </c>
      <c r="AI995">
        <v>21</v>
      </c>
      <c r="AJ995">
        <v>0</v>
      </c>
      <c r="AK995">
        <v>2</v>
      </c>
      <c r="AL995" t="s">
        <v>6056</v>
      </c>
      <c r="AM995" t="s">
        <v>6057</v>
      </c>
      <c r="AN995" t="s">
        <v>18507</v>
      </c>
      <c r="AO995" t="s">
        <v>18508</v>
      </c>
      <c r="AP995" t="s">
        <v>74</v>
      </c>
      <c r="AQ995" t="s">
        <v>74</v>
      </c>
      <c r="AR995" t="s">
        <v>18509</v>
      </c>
      <c r="AS995" t="s">
        <v>18510</v>
      </c>
      <c r="AT995" t="s">
        <v>16633</v>
      </c>
      <c r="AU995">
        <v>2015</v>
      </c>
      <c r="AV995">
        <v>6</v>
      </c>
      <c r="AW995">
        <v>6</v>
      </c>
      <c r="AX995" t="s">
        <v>74</v>
      </c>
      <c r="AY995" t="s">
        <v>74</v>
      </c>
      <c r="AZ995" t="s">
        <v>74</v>
      </c>
      <c r="BA995" t="s">
        <v>74</v>
      </c>
      <c r="BB995">
        <v>409</v>
      </c>
      <c r="BC995">
        <v>422</v>
      </c>
      <c r="BD995" t="s">
        <v>74</v>
      </c>
      <c r="BE995" t="s">
        <v>18511</v>
      </c>
      <c r="BF995" t="str">
        <f>HYPERLINK("http://dx.doi.org/10.1016/j.geog.2015.12.006","http://dx.doi.org/10.1016/j.geog.2015.12.006")</f>
        <v>http://dx.doi.org/10.1016/j.geog.2015.12.006</v>
      </c>
      <c r="BG995" t="s">
        <v>74</v>
      </c>
      <c r="BH995" t="s">
        <v>74</v>
      </c>
      <c r="BI995">
        <v>14</v>
      </c>
      <c r="BJ995" t="s">
        <v>4474</v>
      </c>
      <c r="BK995" t="s">
        <v>96</v>
      </c>
      <c r="BL995" t="s">
        <v>4474</v>
      </c>
      <c r="BM995" t="s">
        <v>18512</v>
      </c>
      <c r="BN995" t="s">
        <v>74</v>
      </c>
      <c r="BO995" t="s">
        <v>99</v>
      </c>
      <c r="BP995" t="s">
        <v>74</v>
      </c>
      <c r="BQ995" t="s">
        <v>74</v>
      </c>
      <c r="BR995" t="s">
        <v>100</v>
      </c>
      <c r="BS995" t="s">
        <v>18513</v>
      </c>
      <c r="BT995" t="str">
        <f>HYPERLINK("https%3A%2F%2Fwww.webofscience.com%2Fwos%2Fwoscc%2Ffull-record%2FWOS:000384893600002","View Full Record in Web of Science")</f>
        <v>View Full Record in Web of Science</v>
      </c>
    </row>
    <row r="996" spans="1:72" x14ac:dyDescent="0.15">
      <c r="A996" t="s">
        <v>72</v>
      </c>
      <c r="B996" t="s">
        <v>18514</v>
      </c>
      <c r="C996" t="s">
        <v>74</v>
      </c>
      <c r="D996" t="s">
        <v>74</v>
      </c>
      <c r="E996" t="s">
        <v>74</v>
      </c>
      <c r="F996" t="s">
        <v>18515</v>
      </c>
      <c r="G996" t="s">
        <v>74</v>
      </c>
      <c r="H996" t="s">
        <v>74</v>
      </c>
      <c r="I996" t="s">
        <v>18516</v>
      </c>
      <c r="J996" t="s">
        <v>6149</v>
      </c>
      <c r="K996" t="s">
        <v>74</v>
      </c>
      <c r="L996" t="s">
        <v>74</v>
      </c>
      <c r="M996" t="s">
        <v>200</v>
      </c>
      <c r="N996" t="s">
        <v>79</v>
      </c>
      <c r="O996" t="s">
        <v>74</v>
      </c>
      <c r="P996" t="s">
        <v>74</v>
      </c>
      <c r="Q996" t="s">
        <v>74</v>
      </c>
      <c r="R996" t="s">
        <v>74</v>
      </c>
      <c r="S996" t="s">
        <v>74</v>
      </c>
      <c r="T996" t="s">
        <v>74</v>
      </c>
      <c r="U996" t="s">
        <v>18517</v>
      </c>
      <c r="V996" t="s">
        <v>18518</v>
      </c>
      <c r="W996" t="s">
        <v>18519</v>
      </c>
      <c r="X996" t="s">
        <v>18520</v>
      </c>
      <c r="Y996" t="s">
        <v>18521</v>
      </c>
      <c r="Z996" t="s">
        <v>74</v>
      </c>
      <c r="AA996" t="s">
        <v>74</v>
      </c>
      <c r="AB996" t="s">
        <v>18522</v>
      </c>
      <c r="AC996" t="s">
        <v>18523</v>
      </c>
      <c r="AD996" t="s">
        <v>18524</v>
      </c>
      <c r="AE996" t="s">
        <v>18525</v>
      </c>
      <c r="AF996" t="s">
        <v>74</v>
      </c>
      <c r="AG996">
        <v>53</v>
      </c>
      <c r="AH996">
        <v>15</v>
      </c>
      <c r="AI996">
        <v>16</v>
      </c>
      <c r="AJ996">
        <v>0</v>
      </c>
      <c r="AK996">
        <v>29</v>
      </c>
      <c r="AL996" t="s">
        <v>6160</v>
      </c>
      <c r="AM996" t="s">
        <v>6161</v>
      </c>
      <c r="AN996" t="s">
        <v>6162</v>
      </c>
      <c r="AO996" t="s">
        <v>6163</v>
      </c>
      <c r="AP996" t="s">
        <v>6164</v>
      </c>
      <c r="AQ996" t="s">
        <v>74</v>
      </c>
      <c r="AR996" t="s">
        <v>6149</v>
      </c>
      <c r="AS996" t="s">
        <v>97</v>
      </c>
      <c r="AT996" t="s">
        <v>16633</v>
      </c>
      <c r="AU996">
        <v>2015</v>
      </c>
      <c r="AV996">
        <v>43</v>
      </c>
      <c r="AW996">
        <v>11</v>
      </c>
      <c r="AX996" t="s">
        <v>74</v>
      </c>
      <c r="AY996" t="s">
        <v>74</v>
      </c>
      <c r="AZ996" t="s">
        <v>74</v>
      </c>
      <c r="BA996" t="s">
        <v>74</v>
      </c>
      <c r="BB996">
        <v>1003</v>
      </c>
      <c r="BC996">
        <v>1006</v>
      </c>
      <c r="BD996" t="s">
        <v>74</v>
      </c>
      <c r="BE996" t="s">
        <v>18526</v>
      </c>
      <c r="BF996" t="str">
        <f>HYPERLINK("http://dx.doi.org/10.1130/G36989.1","http://dx.doi.org/10.1130/G36989.1")</f>
        <v>http://dx.doi.org/10.1130/G36989.1</v>
      </c>
      <c r="BG996" t="s">
        <v>74</v>
      </c>
      <c r="BH996" t="s">
        <v>74</v>
      </c>
      <c r="BI996">
        <v>4</v>
      </c>
      <c r="BJ996" t="s">
        <v>97</v>
      </c>
      <c r="BK996" t="s">
        <v>264</v>
      </c>
      <c r="BL996" t="s">
        <v>97</v>
      </c>
      <c r="BM996" t="s">
        <v>18527</v>
      </c>
      <c r="BN996" t="s">
        <v>74</v>
      </c>
      <c r="BO996" t="s">
        <v>74</v>
      </c>
      <c r="BP996" t="s">
        <v>74</v>
      </c>
      <c r="BQ996" t="s">
        <v>74</v>
      </c>
      <c r="BR996" t="s">
        <v>100</v>
      </c>
      <c r="BS996" t="s">
        <v>18528</v>
      </c>
      <c r="BT996" t="str">
        <f>HYPERLINK("https%3A%2F%2Fwww.webofscience.com%2Fwos%2Fwoscc%2Ffull-record%2FWOS:000364057700019","View Full Record in Web of Science")</f>
        <v>View Full Record in Web of Science</v>
      </c>
    </row>
    <row r="997" spans="1:72" x14ac:dyDescent="0.15">
      <c r="A997" t="s">
        <v>72</v>
      </c>
      <c r="B997" t="s">
        <v>18529</v>
      </c>
      <c r="C997" t="s">
        <v>74</v>
      </c>
      <c r="D997" t="s">
        <v>74</v>
      </c>
      <c r="E997" t="s">
        <v>74</v>
      </c>
      <c r="F997" t="s">
        <v>18530</v>
      </c>
      <c r="G997" t="s">
        <v>74</v>
      </c>
      <c r="H997" t="s">
        <v>74</v>
      </c>
      <c r="I997" t="s">
        <v>18531</v>
      </c>
      <c r="J997" t="s">
        <v>18532</v>
      </c>
      <c r="K997" t="s">
        <v>74</v>
      </c>
      <c r="L997" t="s">
        <v>74</v>
      </c>
      <c r="M997" t="s">
        <v>200</v>
      </c>
      <c r="N997" t="s">
        <v>79</v>
      </c>
      <c r="O997" t="s">
        <v>74</v>
      </c>
      <c r="P997" t="s">
        <v>74</v>
      </c>
      <c r="Q997" t="s">
        <v>74</v>
      </c>
      <c r="R997" t="s">
        <v>74</v>
      </c>
      <c r="S997" t="s">
        <v>74</v>
      </c>
      <c r="T997" t="s">
        <v>74</v>
      </c>
      <c r="U997" t="s">
        <v>74</v>
      </c>
      <c r="V997" t="s">
        <v>18533</v>
      </c>
      <c r="W997" t="s">
        <v>18534</v>
      </c>
      <c r="X997" t="s">
        <v>18535</v>
      </c>
      <c r="Y997" t="s">
        <v>18536</v>
      </c>
      <c r="Z997" t="s">
        <v>18537</v>
      </c>
      <c r="AA997" t="s">
        <v>74</v>
      </c>
      <c r="AB997" t="s">
        <v>18538</v>
      </c>
      <c r="AC997" t="s">
        <v>74</v>
      </c>
      <c r="AD997" t="s">
        <v>74</v>
      </c>
      <c r="AE997" t="s">
        <v>74</v>
      </c>
      <c r="AF997" t="s">
        <v>74</v>
      </c>
      <c r="AG997">
        <v>0</v>
      </c>
      <c r="AH997">
        <v>11</v>
      </c>
      <c r="AI997">
        <v>12</v>
      </c>
      <c r="AJ997">
        <v>0</v>
      </c>
      <c r="AK997">
        <v>6</v>
      </c>
      <c r="AL997" t="s">
        <v>18539</v>
      </c>
      <c r="AM997" t="s">
        <v>18540</v>
      </c>
      <c r="AN997" t="s">
        <v>18541</v>
      </c>
      <c r="AO997" t="s">
        <v>18542</v>
      </c>
      <c r="AP997" t="s">
        <v>74</v>
      </c>
      <c r="AQ997" t="s">
        <v>74</v>
      </c>
      <c r="AR997" t="s">
        <v>18543</v>
      </c>
      <c r="AS997" t="s">
        <v>18544</v>
      </c>
      <c r="AT997" t="s">
        <v>16633</v>
      </c>
      <c r="AU997">
        <v>2015</v>
      </c>
      <c r="AV997">
        <v>6</v>
      </c>
      <c r="AW997">
        <v>6</v>
      </c>
      <c r="AX997" t="s">
        <v>74</v>
      </c>
      <c r="AY997" t="s">
        <v>74</v>
      </c>
      <c r="AZ997" t="s">
        <v>2540</v>
      </c>
      <c r="BA997" t="s">
        <v>74</v>
      </c>
      <c r="BB997">
        <v>913</v>
      </c>
      <c r="BC997">
        <v>925</v>
      </c>
      <c r="BD997" t="s">
        <v>74</v>
      </c>
      <c r="BE997" t="s">
        <v>18545</v>
      </c>
      <c r="BF997" t="str">
        <f>HYPERLINK("http://dx.doi.org/10.1016/j.gsf.2015.03.003","http://dx.doi.org/10.1016/j.gsf.2015.03.003")</f>
        <v>http://dx.doi.org/10.1016/j.gsf.2015.03.003</v>
      </c>
      <c r="BG997" t="s">
        <v>74</v>
      </c>
      <c r="BH997" t="s">
        <v>74</v>
      </c>
      <c r="BI997">
        <v>13</v>
      </c>
      <c r="BJ997" t="s">
        <v>95</v>
      </c>
      <c r="BK997" t="s">
        <v>264</v>
      </c>
      <c r="BL997" t="s">
        <v>97</v>
      </c>
      <c r="BM997" t="s">
        <v>18546</v>
      </c>
      <c r="BN997" t="s">
        <v>74</v>
      </c>
      <c r="BO997" t="s">
        <v>99</v>
      </c>
      <c r="BP997" t="s">
        <v>74</v>
      </c>
      <c r="BQ997" t="s">
        <v>74</v>
      </c>
      <c r="BR997" t="s">
        <v>100</v>
      </c>
      <c r="BS997" t="s">
        <v>18547</v>
      </c>
      <c r="BT997" t="str">
        <f>HYPERLINK("https%3A%2F%2Fwww.webofscience.com%2Fwos%2Fwoscc%2Ffull-record%2FWOS:000365934400011","View Full Record in Web of Science")</f>
        <v>View Full Record in Web of Science</v>
      </c>
    </row>
    <row r="998" spans="1:72" x14ac:dyDescent="0.15">
      <c r="A998" t="s">
        <v>72</v>
      </c>
      <c r="B998" t="s">
        <v>18548</v>
      </c>
      <c r="C998" t="s">
        <v>74</v>
      </c>
      <c r="D998" t="s">
        <v>74</v>
      </c>
      <c r="E998" t="s">
        <v>74</v>
      </c>
      <c r="F998" t="s">
        <v>18549</v>
      </c>
      <c r="G998" t="s">
        <v>74</v>
      </c>
      <c r="H998" t="s">
        <v>74</v>
      </c>
      <c r="I998" t="s">
        <v>18550</v>
      </c>
      <c r="J998" t="s">
        <v>16685</v>
      </c>
      <c r="K998" t="s">
        <v>74</v>
      </c>
      <c r="L998" t="s">
        <v>74</v>
      </c>
      <c r="M998" t="s">
        <v>200</v>
      </c>
      <c r="N998" t="s">
        <v>79</v>
      </c>
      <c r="O998" t="s">
        <v>74</v>
      </c>
      <c r="P998" t="s">
        <v>74</v>
      </c>
      <c r="Q998" t="s">
        <v>74</v>
      </c>
      <c r="R998" t="s">
        <v>74</v>
      </c>
      <c r="S998" t="s">
        <v>74</v>
      </c>
      <c r="T998" t="s">
        <v>74</v>
      </c>
      <c r="U998" t="s">
        <v>18551</v>
      </c>
      <c r="V998" t="s">
        <v>18552</v>
      </c>
      <c r="W998" t="s">
        <v>18553</v>
      </c>
      <c r="X998" t="s">
        <v>18554</v>
      </c>
      <c r="Y998" t="s">
        <v>18555</v>
      </c>
      <c r="Z998" t="s">
        <v>18556</v>
      </c>
      <c r="AA998" t="s">
        <v>18557</v>
      </c>
      <c r="AB998" t="s">
        <v>18558</v>
      </c>
      <c r="AC998" t="s">
        <v>18559</v>
      </c>
      <c r="AD998" t="s">
        <v>18560</v>
      </c>
      <c r="AE998" t="s">
        <v>18561</v>
      </c>
      <c r="AF998" t="s">
        <v>74</v>
      </c>
      <c r="AG998">
        <v>78</v>
      </c>
      <c r="AH998">
        <v>34</v>
      </c>
      <c r="AI998">
        <v>36</v>
      </c>
      <c r="AJ998">
        <v>1</v>
      </c>
      <c r="AK998">
        <v>33</v>
      </c>
      <c r="AL998" t="s">
        <v>2410</v>
      </c>
      <c r="AM998" t="s">
        <v>1559</v>
      </c>
      <c r="AN998" t="s">
        <v>2411</v>
      </c>
      <c r="AO998" t="s">
        <v>16697</v>
      </c>
      <c r="AP998" t="s">
        <v>16698</v>
      </c>
      <c r="AQ998" t="s">
        <v>74</v>
      </c>
      <c r="AR998" t="s">
        <v>16699</v>
      </c>
      <c r="AS998" t="s">
        <v>16700</v>
      </c>
      <c r="AT998" t="s">
        <v>16633</v>
      </c>
      <c r="AU998">
        <v>2015</v>
      </c>
      <c r="AV998">
        <v>29</v>
      </c>
      <c r="AW998">
        <v>11</v>
      </c>
      <c r="AX998" t="s">
        <v>74</v>
      </c>
      <c r="AY998" t="s">
        <v>74</v>
      </c>
      <c r="AZ998" t="s">
        <v>74</v>
      </c>
      <c r="BA998" t="s">
        <v>74</v>
      </c>
      <c r="BB998">
        <v>1944</v>
      </c>
      <c r="BC998">
        <v>1961</v>
      </c>
      <c r="BD998" t="s">
        <v>74</v>
      </c>
      <c r="BE998" t="s">
        <v>18562</v>
      </c>
      <c r="BF998" t="str">
        <f>HYPERLINK("http://dx.doi.org/10.1002/2015GB005207","http://dx.doi.org/10.1002/2015GB005207")</f>
        <v>http://dx.doi.org/10.1002/2015GB005207</v>
      </c>
      <c r="BG998" t="s">
        <v>74</v>
      </c>
      <c r="BH998" t="s">
        <v>74</v>
      </c>
      <c r="BI998">
        <v>18</v>
      </c>
      <c r="BJ998" t="s">
        <v>16702</v>
      </c>
      <c r="BK998" t="s">
        <v>264</v>
      </c>
      <c r="BL998" t="s">
        <v>16703</v>
      </c>
      <c r="BM998" t="s">
        <v>16704</v>
      </c>
      <c r="BN998" t="s">
        <v>74</v>
      </c>
      <c r="BO998" t="s">
        <v>3183</v>
      </c>
      <c r="BP998" t="s">
        <v>74</v>
      </c>
      <c r="BQ998" t="s">
        <v>74</v>
      </c>
      <c r="BR998" t="s">
        <v>100</v>
      </c>
      <c r="BS998" t="s">
        <v>18563</v>
      </c>
      <c r="BT998" t="str">
        <f>HYPERLINK("https%3A%2F%2Fwww.webofscience.com%2Fwos%2Fwoscc%2Ffull-record%2FWOS:000368907500006","View Full Record in Web of Science")</f>
        <v>View Full Record in Web of Science</v>
      </c>
    </row>
    <row r="999" spans="1:72" x14ac:dyDescent="0.15">
      <c r="A999" t="s">
        <v>72</v>
      </c>
      <c r="B999" t="s">
        <v>18564</v>
      </c>
      <c r="C999" t="s">
        <v>74</v>
      </c>
      <c r="D999" t="s">
        <v>74</v>
      </c>
      <c r="E999" t="s">
        <v>74</v>
      </c>
      <c r="F999" t="s">
        <v>18565</v>
      </c>
      <c r="G999" t="s">
        <v>74</v>
      </c>
      <c r="H999" t="s">
        <v>74</v>
      </c>
      <c r="I999" t="s">
        <v>18566</v>
      </c>
      <c r="J999" t="s">
        <v>9609</v>
      </c>
      <c r="K999" t="s">
        <v>74</v>
      </c>
      <c r="L999" t="s">
        <v>74</v>
      </c>
      <c r="M999" t="s">
        <v>200</v>
      </c>
      <c r="N999" t="s">
        <v>79</v>
      </c>
      <c r="O999" t="s">
        <v>74</v>
      </c>
      <c r="P999" t="s">
        <v>74</v>
      </c>
      <c r="Q999" t="s">
        <v>74</v>
      </c>
      <c r="R999" t="s">
        <v>74</v>
      </c>
      <c r="S999" t="s">
        <v>74</v>
      </c>
      <c r="T999" t="s">
        <v>18567</v>
      </c>
      <c r="U999" t="s">
        <v>74</v>
      </c>
      <c r="V999" t="s">
        <v>18568</v>
      </c>
      <c r="W999" t="s">
        <v>18569</v>
      </c>
      <c r="X999" t="s">
        <v>18570</v>
      </c>
      <c r="Y999" t="s">
        <v>18571</v>
      </c>
      <c r="Z999" t="s">
        <v>18572</v>
      </c>
      <c r="AA999" t="s">
        <v>18573</v>
      </c>
      <c r="AB999" t="s">
        <v>18574</v>
      </c>
      <c r="AC999" t="s">
        <v>18575</v>
      </c>
      <c r="AD999" t="s">
        <v>18576</v>
      </c>
      <c r="AE999" t="s">
        <v>18577</v>
      </c>
      <c r="AF999" t="s">
        <v>74</v>
      </c>
      <c r="AG999">
        <v>0</v>
      </c>
      <c r="AH999">
        <v>50</v>
      </c>
      <c r="AI999">
        <v>58</v>
      </c>
      <c r="AJ999">
        <v>0</v>
      </c>
      <c r="AK999">
        <v>59</v>
      </c>
      <c r="AL999" t="s">
        <v>3560</v>
      </c>
      <c r="AM999" t="s">
        <v>4093</v>
      </c>
      <c r="AN999" t="s">
        <v>6706</v>
      </c>
      <c r="AO999" t="s">
        <v>9625</v>
      </c>
      <c r="AP999" t="s">
        <v>9626</v>
      </c>
      <c r="AQ999" t="s">
        <v>74</v>
      </c>
      <c r="AR999" t="s">
        <v>9609</v>
      </c>
      <c r="AS999" t="s">
        <v>9627</v>
      </c>
      <c r="AT999" t="s">
        <v>16633</v>
      </c>
      <c r="AU999">
        <v>2015</v>
      </c>
      <c r="AV999">
        <v>761</v>
      </c>
      <c r="AW999">
        <v>1</v>
      </c>
      <c r="AX999" t="s">
        <v>74</v>
      </c>
      <c r="AY999" t="s">
        <v>74</v>
      </c>
      <c r="AZ999" t="s">
        <v>74</v>
      </c>
      <c r="BA999" t="s">
        <v>74</v>
      </c>
      <c r="BB999">
        <v>5</v>
      </c>
      <c r="BC999">
        <v>43</v>
      </c>
      <c r="BD999" t="s">
        <v>74</v>
      </c>
      <c r="BE999" t="s">
        <v>18578</v>
      </c>
      <c r="BF999" t="str">
        <f>HYPERLINK("http://dx.doi.org/10.1007/s10750-015-2463-2","http://dx.doi.org/10.1007/s10750-015-2463-2")</f>
        <v>http://dx.doi.org/10.1007/s10750-015-2463-2</v>
      </c>
      <c r="BG999" t="s">
        <v>74</v>
      </c>
      <c r="BH999" t="s">
        <v>74</v>
      </c>
      <c r="BI999">
        <v>39</v>
      </c>
      <c r="BJ999" t="s">
        <v>1479</v>
      </c>
      <c r="BK999" t="s">
        <v>264</v>
      </c>
      <c r="BL999" t="s">
        <v>1479</v>
      </c>
      <c r="BM999" t="s">
        <v>17839</v>
      </c>
      <c r="BN999" t="s">
        <v>74</v>
      </c>
      <c r="BO999" t="s">
        <v>431</v>
      </c>
      <c r="BP999" t="s">
        <v>74</v>
      </c>
      <c r="BQ999" t="s">
        <v>74</v>
      </c>
      <c r="BR999" t="s">
        <v>100</v>
      </c>
      <c r="BS999" t="s">
        <v>18579</v>
      </c>
      <c r="BT999" t="str">
        <f>HYPERLINK("https%3A%2F%2Fwww.webofscience.com%2Fwos%2Fwoscc%2Ffull-record%2FWOS:000362964400002","View Full Record in Web of Science")</f>
        <v>View Full Record in Web of Science</v>
      </c>
    </row>
    <row r="1000" spans="1:72" x14ac:dyDescent="0.15">
      <c r="A1000" t="s">
        <v>72</v>
      </c>
      <c r="B1000" t="s">
        <v>18580</v>
      </c>
      <c r="C1000" t="s">
        <v>74</v>
      </c>
      <c r="D1000" t="s">
        <v>74</v>
      </c>
      <c r="E1000" t="s">
        <v>74</v>
      </c>
      <c r="F1000" t="s">
        <v>18581</v>
      </c>
      <c r="G1000" t="s">
        <v>74</v>
      </c>
      <c r="H1000" t="s">
        <v>74</v>
      </c>
      <c r="I1000" t="s">
        <v>18582</v>
      </c>
      <c r="J1000" t="s">
        <v>9609</v>
      </c>
      <c r="K1000" t="s">
        <v>74</v>
      </c>
      <c r="L1000" t="s">
        <v>74</v>
      </c>
      <c r="M1000" t="s">
        <v>200</v>
      </c>
      <c r="N1000" t="s">
        <v>79</v>
      </c>
      <c r="O1000" t="s">
        <v>74</v>
      </c>
      <c r="P1000" t="s">
        <v>74</v>
      </c>
      <c r="Q1000" t="s">
        <v>74</v>
      </c>
      <c r="R1000" t="s">
        <v>74</v>
      </c>
      <c r="S1000" t="s">
        <v>74</v>
      </c>
      <c r="T1000" t="s">
        <v>18583</v>
      </c>
      <c r="U1000" t="s">
        <v>18584</v>
      </c>
      <c r="V1000" t="s">
        <v>18585</v>
      </c>
      <c r="W1000" t="s">
        <v>18586</v>
      </c>
      <c r="X1000" t="s">
        <v>18587</v>
      </c>
      <c r="Y1000" t="s">
        <v>18588</v>
      </c>
      <c r="Z1000" t="s">
        <v>15006</v>
      </c>
      <c r="AA1000" t="s">
        <v>18589</v>
      </c>
      <c r="AB1000" t="s">
        <v>18590</v>
      </c>
      <c r="AC1000" t="s">
        <v>18591</v>
      </c>
      <c r="AD1000" t="s">
        <v>18592</v>
      </c>
      <c r="AE1000" t="s">
        <v>18593</v>
      </c>
      <c r="AF1000" t="s">
        <v>74</v>
      </c>
      <c r="AG1000">
        <v>60</v>
      </c>
      <c r="AH1000">
        <v>4</v>
      </c>
      <c r="AI1000">
        <v>4</v>
      </c>
      <c r="AJ1000">
        <v>1</v>
      </c>
      <c r="AK1000">
        <v>50</v>
      </c>
      <c r="AL1000" t="s">
        <v>3560</v>
      </c>
      <c r="AM1000" t="s">
        <v>4093</v>
      </c>
      <c r="AN1000" t="s">
        <v>6706</v>
      </c>
      <c r="AO1000" t="s">
        <v>9625</v>
      </c>
      <c r="AP1000" t="s">
        <v>9626</v>
      </c>
      <c r="AQ1000" t="s">
        <v>74</v>
      </c>
      <c r="AR1000" t="s">
        <v>9609</v>
      </c>
      <c r="AS1000" t="s">
        <v>9627</v>
      </c>
      <c r="AT1000" t="s">
        <v>16633</v>
      </c>
      <c r="AU1000">
        <v>2015</v>
      </c>
      <c r="AV1000">
        <v>761</v>
      </c>
      <c r="AW1000">
        <v>1</v>
      </c>
      <c r="AX1000" t="s">
        <v>74</v>
      </c>
      <c r="AY1000" t="s">
        <v>74</v>
      </c>
      <c r="AZ1000" t="s">
        <v>74</v>
      </c>
      <c r="BA1000" t="s">
        <v>74</v>
      </c>
      <c r="BB1000">
        <v>261</v>
      </c>
      <c r="BC1000">
        <v>275</v>
      </c>
      <c r="BD1000" t="s">
        <v>74</v>
      </c>
      <c r="BE1000" t="s">
        <v>18594</v>
      </c>
      <c r="BF1000" t="str">
        <f>HYPERLINK("http://dx.doi.org/10.1007/s10750-015-2362-6","http://dx.doi.org/10.1007/s10750-015-2362-6")</f>
        <v>http://dx.doi.org/10.1007/s10750-015-2362-6</v>
      </c>
      <c r="BG1000" t="s">
        <v>74</v>
      </c>
      <c r="BH1000" t="s">
        <v>74</v>
      </c>
      <c r="BI1000">
        <v>15</v>
      </c>
      <c r="BJ1000" t="s">
        <v>1479</v>
      </c>
      <c r="BK1000" t="s">
        <v>264</v>
      </c>
      <c r="BL1000" t="s">
        <v>1479</v>
      </c>
      <c r="BM1000" t="s">
        <v>17839</v>
      </c>
      <c r="BN1000" t="s">
        <v>74</v>
      </c>
      <c r="BO1000" t="s">
        <v>431</v>
      </c>
      <c r="BP1000" t="s">
        <v>74</v>
      </c>
      <c r="BQ1000" t="s">
        <v>74</v>
      </c>
      <c r="BR1000" t="s">
        <v>100</v>
      </c>
      <c r="BS1000" t="s">
        <v>18595</v>
      </c>
      <c r="BT1000" t="str">
        <f>HYPERLINK("https%3A%2F%2Fwww.webofscience.com%2Fwos%2Fwoscc%2Ffull-record%2FWOS:000362964400015","View Full Record in Web of Science")</f>
        <v>View Full Record in Web of Science</v>
      </c>
    </row>
    <row r="1001" spans="1:72" x14ac:dyDescent="0.15">
      <c r="A1001" t="s">
        <v>72</v>
      </c>
      <c r="B1001" t="s">
        <v>18596</v>
      </c>
      <c r="C1001" t="s">
        <v>74</v>
      </c>
      <c r="D1001" t="s">
        <v>74</v>
      </c>
      <c r="E1001" t="s">
        <v>74</v>
      </c>
      <c r="F1001" t="s">
        <v>18597</v>
      </c>
      <c r="G1001" t="s">
        <v>74</v>
      </c>
      <c r="H1001" t="s">
        <v>74</v>
      </c>
      <c r="I1001" t="s">
        <v>18598</v>
      </c>
      <c r="J1001" t="s">
        <v>9609</v>
      </c>
      <c r="K1001" t="s">
        <v>74</v>
      </c>
      <c r="L1001" t="s">
        <v>74</v>
      </c>
      <c r="M1001" t="s">
        <v>200</v>
      </c>
      <c r="N1001" t="s">
        <v>79</v>
      </c>
      <c r="O1001" t="s">
        <v>74</v>
      </c>
      <c r="P1001" t="s">
        <v>74</v>
      </c>
      <c r="Q1001" t="s">
        <v>74</v>
      </c>
      <c r="R1001" t="s">
        <v>74</v>
      </c>
      <c r="S1001" t="s">
        <v>74</v>
      </c>
      <c r="T1001" t="s">
        <v>18599</v>
      </c>
      <c r="U1001" t="s">
        <v>18600</v>
      </c>
      <c r="V1001" t="s">
        <v>18601</v>
      </c>
      <c r="W1001" t="s">
        <v>18602</v>
      </c>
      <c r="X1001" t="s">
        <v>18603</v>
      </c>
      <c r="Y1001" t="s">
        <v>18604</v>
      </c>
      <c r="Z1001" t="s">
        <v>9881</v>
      </c>
      <c r="AA1001" t="s">
        <v>18605</v>
      </c>
      <c r="AB1001" t="s">
        <v>18606</v>
      </c>
      <c r="AC1001" t="s">
        <v>74</v>
      </c>
      <c r="AD1001" t="s">
        <v>74</v>
      </c>
      <c r="AE1001" t="s">
        <v>74</v>
      </c>
      <c r="AF1001" t="s">
        <v>74</v>
      </c>
      <c r="AG1001">
        <v>48</v>
      </c>
      <c r="AH1001">
        <v>37</v>
      </c>
      <c r="AI1001">
        <v>38</v>
      </c>
      <c r="AJ1001">
        <v>0</v>
      </c>
      <c r="AK1001">
        <v>19</v>
      </c>
      <c r="AL1001" t="s">
        <v>3560</v>
      </c>
      <c r="AM1001" t="s">
        <v>4093</v>
      </c>
      <c r="AN1001" t="s">
        <v>6706</v>
      </c>
      <c r="AO1001" t="s">
        <v>9625</v>
      </c>
      <c r="AP1001" t="s">
        <v>9626</v>
      </c>
      <c r="AQ1001" t="s">
        <v>74</v>
      </c>
      <c r="AR1001" t="s">
        <v>9609</v>
      </c>
      <c r="AS1001" t="s">
        <v>9627</v>
      </c>
      <c r="AT1001" t="s">
        <v>16633</v>
      </c>
      <c r="AU1001">
        <v>2015</v>
      </c>
      <c r="AV1001">
        <v>761</v>
      </c>
      <c r="AW1001">
        <v>1</v>
      </c>
      <c r="AX1001" t="s">
        <v>74</v>
      </c>
      <c r="AY1001" t="s">
        <v>74</v>
      </c>
      <c r="AZ1001" t="s">
        <v>74</v>
      </c>
      <c r="BA1001" t="s">
        <v>74</v>
      </c>
      <c r="BB1001">
        <v>363</v>
      </c>
      <c r="BC1001">
        <v>372</v>
      </c>
      <c r="BD1001" t="s">
        <v>74</v>
      </c>
      <c r="BE1001" t="s">
        <v>18607</v>
      </c>
      <c r="BF1001" t="str">
        <f>HYPERLINK("http://dx.doi.org/10.1007/s10750-015-2488-6","http://dx.doi.org/10.1007/s10750-015-2488-6")</f>
        <v>http://dx.doi.org/10.1007/s10750-015-2488-6</v>
      </c>
      <c r="BG1001" t="s">
        <v>74</v>
      </c>
      <c r="BH1001" t="s">
        <v>74</v>
      </c>
      <c r="BI1001">
        <v>10</v>
      </c>
      <c r="BJ1001" t="s">
        <v>1479</v>
      </c>
      <c r="BK1001" t="s">
        <v>264</v>
      </c>
      <c r="BL1001" t="s">
        <v>1479</v>
      </c>
      <c r="BM1001" t="s">
        <v>17839</v>
      </c>
      <c r="BN1001" t="s">
        <v>74</v>
      </c>
      <c r="BO1001" t="s">
        <v>74</v>
      </c>
      <c r="BP1001" t="s">
        <v>74</v>
      </c>
      <c r="BQ1001" t="s">
        <v>74</v>
      </c>
      <c r="BR1001" t="s">
        <v>100</v>
      </c>
      <c r="BS1001" t="s">
        <v>18608</v>
      </c>
      <c r="BT1001" t="str">
        <f>HYPERLINK("https%3A%2F%2Fwww.webofscience.com%2Fwos%2Fwoscc%2Ffull-record%2FWOS:000362964400021","View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2024-07-28T15:24:00Z</dcterms:created>
  <dcterms:modified xsi:type="dcterms:W3CDTF">2024-08-01T13:44:12Z</dcterms:modified>
</cp:coreProperties>
</file>